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jone\OneDrive\Documents\"/>
    </mc:Choice>
  </mc:AlternateContent>
  <xr:revisionPtr revIDLastSave="487" documentId="8_{FBC74D05-8E79-4216-A7D8-7277078BB55F}" xr6:coauthVersionLast="40" xr6:coauthVersionMax="40" xr10:uidLastSave="{D516289B-9524-4833-B336-5093EA078192}"/>
  <bookViews>
    <workbookView xWindow="-108" yWindow="-108" windowWidth="23256" windowHeight="12576" activeTab="3" xr2:uid="{00000000-000D-0000-FFFF-FFFF00000000}"/>
  </bookViews>
  <sheets>
    <sheet name="Table" sheetId="1" r:id="rId1"/>
    <sheet name="Category and Subcategory Pivot" sheetId="2" r:id="rId2"/>
    <sheet name="Date Pivot" sheetId="7" r:id="rId3"/>
    <sheet name="Bonus" sheetId="8" r:id="rId4"/>
  </sheets>
  <definedNames>
    <definedName name="_xlcn.WorksheetConnection_StarterBookMDJedit.xlsxTable11" hidden="1">Table1[]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StarterBook - MDJ edit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D13" i="8" l="1"/>
  <c r="D12" i="8"/>
  <c r="D11" i="8"/>
  <c r="D10" i="8"/>
  <c r="D9" i="8"/>
  <c r="D8" i="8"/>
  <c r="D7" i="8"/>
  <c r="D6" i="8"/>
  <c r="D5" i="8"/>
  <c r="D4" i="8"/>
  <c r="D3" i="8"/>
  <c r="D2" i="8"/>
  <c r="C2" i="8"/>
  <c r="C13" i="8"/>
  <c r="C12" i="8"/>
  <c r="C11" i="8"/>
  <c r="C10" i="8"/>
  <c r="C9" i="8"/>
  <c r="C8" i="8"/>
  <c r="C7" i="8"/>
  <c r="C6" i="8"/>
  <c r="C5" i="8"/>
  <c r="C4" i="8"/>
  <c r="C3" i="8"/>
  <c r="B7" i="8"/>
  <c r="B6" i="8"/>
  <c r="B13" i="8"/>
  <c r="B12" i="8"/>
  <c r="B11" i="8"/>
  <c r="B10" i="8"/>
  <c r="B9" i="8"/>
  <c r="B8" i="8"/>
  <c r="B5" i="8"/>
  <c r="B4" i="8"/>
  <c r="B3" i="8"/>
  <c r="E13" i="8" l="1"/>
  <c r="B2" i="8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N2008" i="1" s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M2124" i="1" s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M2343" i="1" s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N2405" i="1" s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N2517" i="1" s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N2573" i="1" s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N2637" i="1" s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M2665" i="1" s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M2721" i="1" s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N2748" i="1" s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N2776" i="1" s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N2790" i="1" s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N2818" i="1" s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M2832" i="1" s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M2860" i="1" s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N2876" i="1" s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N2904" i="1" s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N2918" i="1" s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N2946" i="1" s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M2960" i="1" s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M2988" i="1" s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N3004" i="1" s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N3032" i="1" s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N3046" i="1" s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N3074" i="1" s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N3086" i="1" s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M3106" i="1" s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N3118" i="1" s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M3138" i="1" s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N3150" i="1" s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M3170" i="1" s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N3182" i="1" s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M3202" i="1" s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N3214" i="1" s="1"/>
  <c r="L3215" i="1"/>
  <c r="L3216" i="1"/>
  <c r="L3217" i="1"/>
  <c r="L3218" i="1"/>
  <c r="L3219" i="1"/>
  <c r="L3220" i="1"/>
  <c r="L3221" i="1"/>
  <c r="L3222" i="1"/>
  <c r="L3223" i="1"/>
  <c r="L3224" i="1"/>
  <c r="L3225" i="1"/>
  <c r="M3225" i="1" s="1"/>
  <c r="L3226" i="1"/>
  <c r="L3227" i="1"/>
  <c r="L3228" i="1"/>
  <c r="L3229" i="1"/>
  <c r="L3230" i="1"/>
  <c r="L3231" i="1"/>
  <c r="N3231" i="1" s="1"/>
  <c r="L3232" i="1"/>
  <c r="L3233" i="1"/>
  <c r="L3234" i="1"/>
  <c r="L3235" i="1"/>
  <c r="L3236" i="1"/>
  <c r="L3237" i="1"/>
  <c r="L3238" i="1"/>
  <c r="L3239" i="1"/>
  <c r="L3240" i="1"/>
  <c r="L3241" i="1"/>
  <c r="M3241" i="1" s="1"/>
  <c r="L3242" i="1"/>
  <c r="L3243" i="1"/>
  <c r="L3244" i="1"/>
  <c r="L3245" i="1"/>
  <c r="L3246" i="1"/>
  <c r="L3247" i="1"/>
  <c r="N3247" i="1" s="1"/>
  <c r="L3248" i="1"/>
  <c r="L3249" i="1"/>
  <c r="L3250" i="1"/>
  <c r="L3251" i="1"/>
  <c r="L3252" i="1"/>
  <c r="L3253" i="1"/>
  <c r="L3254" i="1"/>
  <c r="L3255" i="1"/>
  <c r="L3256" i="1"/>
  <c r="L3257" i="1"/>
  <c r="M3257" i="1" s="1"/>
  <c r="L3258" i="1"/>
  <c r="L3259" i="1"/>
  <c r="L3260" i="1"/>
  <c r="L3261" i="1"/>
  <c r="L3262" i="1"/>
  <c r="L3263" i="1"/>
  <c r="N3263" i="1" s="1"/>
  <c r="L3264" i="1"/>
  <c r="L3265" i="1"/>
  <c r="L3266" i="1"/>
  <c r="L3267" i="1"/>
  <c r="L3268" i="1"/>
  <c r="L3269" i="1"/>
  <c r="L3270" i="1"/>
  <c r="L3271" i="1"/>
  <c r="L3272" i="1"/>
  <c r="L3273" i="1"/>
  <c r="M3273" i="1" s="1"/>
  <c r="L3274" i="1"/>
  <c r="L3275" i="1"/>
  <c r="L3276" i="1"/>
  <c r="L3277" i="1"/>
  <c r="L3278" i="1"/>
  <c r="L3279" i="1"/>
  <c r="N3279" i="1" s="1"/>
  <c r="L3280" i="1"/>
  <c r="L3281" i="1"/>
  <c r="L3282" i="1"/>
  <c r="L3283" i="1"/>
  <c r="L3284" i="1"/>
  <c r="L3285" i="1"/>
  <c r="L3286" i="1"/>
  <c r="L3287" i="1"/>
  <c r="L3288" i="1"/>
  <c r="L3289" i="1"/>
  <c r="M3289" i="1" s="1"/>
  <c r="L3290" i="1"/>
  <c r="L3291" i="1"/>
  <c r="L3292" i="1"/>
  <c r="L3293" i="1"/>
  <c r="L3294" i="1"/>
  <c r="L3295" i="1"/>
  <c r="N3295" i="1" s="1"/>
  <c r="L3296" i="1"/>
  <c r="L3297" i="1"/>
  <c r="L3298" i="1"/>
  <c r="L3299" i="1"/>
  <c r="L3300" i="1"/>
  <c r="L3301" i="1"/>
  <c r="L3302" i="1"/>
  <c r="L3303" i="1"/>
  <c r="L3304" i="1"/>
  <c r="L3305" i="1"/>
  <c r="M3305" i="1" s="1"/>
  <c r="L3306" i="1"/>
  <c r="L3307" i="1"/>
  <c r="L3308" i="1"/>
  <c r="L3309" i="1"/>
  <c r="L3310" i="1"/>
  <c r="L3311" i="1"/>
  <c r="N3311" i="1" s="1"/>
  <c r="L3312" i="1"/>
  <c r="L3313" i="1"/>
  <c r="L3314" i="1"/>
  <c r="L3315" i="1"/>
  <c r="L3316" i="1"/>
  <c r="L3317" i="1"/>
  <c r="L3318" i="1"/>
  <c r="L3319" i="1"/>
  <c r="L3320" i="1"/>
  <c r="L3321" i="1"/>
  <c r="M3321" i="1" s="1"/>
  <c r="L3322" i="1"/>
  <c r="L3323" i="1"/>
  <c r="L3324" i="1"/>
  <c r="L3325" i="1"/>
  <c r="L3326" i="1"/>
  <c r="L3327" i="1"/>
  <c r="N3327" i="1" s="1"/>
  <c r="L3328" i="1"/>
  <c r="L3329" i="1"/>
  <c r="L3330" i="1"/>
  <c r="L3331" i="1"/>
  <c r="L3332" i="1"/>
  <c r="L3333" i="1"/>
  <c r="L3334" i="1"/>
  <c r="L3335" i="1"/>
  <c r="L3336" i="1"/>
  <c r="L3337" i="1"/>
  <c r="M3337" i="1" s="1"/>
  <c r="L3338" i="1"/>
  <c r="L3339" i="1"/>
  <c r="L3340" i="1"/>
  <c r="L3341" i="1"/>
  <c r="L3342" i="1"/>
  <c r="L3343" i="1"/>
  <c r="N3343" i="1" s="1"/>
  <c r="L3344" i="1"/>
  <c r="L3345" i="1"/>
  <c r="L3346" i="1"/>
  <c r="L3347" i="1"/>
  <c r="L3348" i="1"/>
  <c r="L3349" i="1"/>
  <c r="L3350" i="1"/>
  <c r="L3351" i="1"/>
  <c r="L3352" i="1"/>
  <c r="L3353" i="1"/>
  <c r="M3353" i="1" s="1"/>
  <c r="L3354" i="1"/>
  <c r="L3355" i="1"/>
  <c r="L3356" i="1"/>
  <c r="L3357" i="1"/>
  <c r="L3358" i="1"/>
  <c r="L3359" i="1"/>
  <c r="N3359" i="1" s="1"/>
  <c r="L3360" i="1"/>
  <c r="L3361" i="1"/>
  <c r="L3362" i="1"/>
  <c r="L3363" i="1"/>
  <c r="L3364" i="1"/>
  <c r="L3365" i="1"/>
  <c r="L3366" i="1"/>
  <c r="L3367" i="1"/>
  <c r="L3368" i="1"/>
  <c r="L3369" i="1"/>
  <c r="M3369" i="1" s="1"/>
  <c r="L3370" i="1"/>
  <c r="L3371" i="1"/>
  <c r="L3372" i="1"/>
  <c r="L3373" i="1"/>
  <c r="L3374" i="1"/>
  <c r="L3375" i="1"/>
  <c r="N3375" i="1" s="1"/>
  <c r="L3376" i="1"/>
  <c r="L3377" i="1"/>
  <c r="L3378" i="1"/>
  <c r="L3379" i="1"/>
  <c r="L3380" i="1"/>
  <c r="L3381" i="1"/>
  <c r="L3382" i="1"/>
  <c r="L3383" i="1"/>
  <c r="L3384" i="1"/>
  <c r="L3385" i="1"/>
  <c r="M3385" i="1" s="1"/>
  <c r="L3386" i="1"/>
  <c r="L3387" i="1"/>
  <c r="L3388" i="1"/>
  <c r="L3389" i="1"/>
  <c r="L3390" i="1"/>
  <c r="L3391" i="1"/>
  <c r="N3391" i="1" s="1"/>
  <c r="L3392" i="1"/>
  <c r="L3393" i="1"/>
  <c r="L3394" i="1"/>
  <c r="L3395" i="1"/>
  <c r="L3396" i="1"/>
  <c r="L3397" i="1"/>
  <c r="L3398" i="1"/>
  <c r="L3399" i="1"/>
  <c r="L3400" i="1"/>
  <c r="L3401" i="1"/>
  <c r="M3401" i="1" s="1"/>
  <c r="L3402" i="1"/>
  <c r="L3403" i="1"/>
  <c r="L3404" i="1"/>
  <c r="L3405" i="1"/>
  <c r="L3406" i="1"/>
  <c r="L3407" i="1"/>
  <c r="N3407" i="1" s="1"/>
  <c r="L3408" i="1"/>
  <c r="L3409" i="1"/>
  <c r="L3410" i="1"/>
  <c r="L3411" i="1"/>
  <c r="L3412" i="1"/>
  <c r="L3413" i="1"/>
  <c r="L3414" i="1"/>
  <c r="L3415" i="1"/>
  <c r="L3416" i="1"/>
  <c r="L3417" i="1"/>
  <c r="M3417" i="1" s="1"/>
  <c r="L3418" i="1"/>
  <c r="L3419" i="1"/>
  <c r="L3420" i="1"/>
  <c r="L3421" i="1"/>
  <c r="L3422" i="1"/>
  <c r="L3423" i="1"/>
  <c r="N3423" i="1" s="1"/>
  <c r="L3424" i="1"/>
  <c r="L3425" i="1"/>
  <c r="L3426" i="1"/>
  <c r="L3427" i="1"/>
  <c r="L3428" i="1"/>
  <c r="L3429" i="1"/>
  <c r="L3430" i="1"/>
  <c r="L3431" i="1"/>
  <c r="L3432" i="1"/>
  <c r="L3433" i="1"/>
  <c r="M3433" i="1" s="1"/>
  <c r="L3434" i="1"/>
  <c r="L3435" i="1"/>
  <c r="L3436" i="1"/>
  <c r="L3437" i="1"/>
  <c r="L3438" i="1"/>
  <c r="L3439" i="1"/>
  <c r="N3439" i="1" s="1"/>
  <c r="L3440" i="1"/>
  <c r="L3441" i="1"/>
  <c r="L3442" i="1"/>
  <c r="L3443" i="1"/>
  <c r="L3444" i="1"/>
  <c r="L3445" i="1"/>
  <c r="L3446" i="1"/>
  <c r="L3447" i="1"/>
  <c r="L3448" i="1"/>
  <c r="L3449" i="1"/>
  <c r="M3449" i="1" s="1"/>
  <c r="L3450" i="1"/>
  <c r="L3451" i="1"/>
  <c r="L3452" i="1"/>
  <c r="L3453" i="1"/>
  <c r="L3454" i="1"/>
  <c r="L3455" i="1"/>
  <c r="N3455" i="1" s="1"/>
  <c r="L3456" i="1"/>
  <c r="L3457" i="1"/>
  <c r="L3458" i="1"/>
  <c r="L3459" i="1"/>
  <c r="L3460" i="1"/>
  <c r="L3461" i="1"/>
  <c r="L3462" i="1"/>
  <c r="L3463" i="1"/>
  <c r="L3464" i="1"/>
  <c r="L3465" i="1"/>
  <c r="M3465" i="1" s="1"/>
  <c r="L3466" i="1"/>
  <c r="L3467" i="1"/>
  <c r="L3468" i="1"/>
  <c r="L3469" i="1"/>
  <c r="L3470" i="1"/>
  <c r="L3471" i="1"/>
  <c r="N3471" i="1" s="1"/>
  <c r="L3472" i="1"/>
  <c r="L3473" i="1"/>
  <c r="L3474" i="1"/>
  <c r="L3475" i="1"/>
  <c r="L3476" i="1"/>
  <c r="L3477" i="1"/>
  <c r="L3478" i="1"/>
  <c r="L3479" i="1"/>
  <c r="L3480" i="1"/>
  <c r="L3481" i="1"/>
  <c r="M3481" i="1" s="1"/>
  <c r="L3482" i="1"/>
  <c r="L3483" i="1"/>
  <c r="L3484" i="1"/>
  <c r="L3485" i="1"/>
  <c r="L3486" i="1"/>
  <c r="L3487" i="1"/>
  <c r="N3487" i="1" s="1"/>
  <c r="L3488" i="1"/>
  <c r="L3489" i="1"/>
  <c r="L3490" i="1"/>
  <c r="L3491" i="1"/>
  <c r="L3492" i="1"/>
  <c r="L3493" i="1"/>
  <c r="L3494" i="1"/>
  <c r="L3495" i="1"/>
  <c r="L3496" i="1"/>
  <c r="L3497" i="1"/>
  <c r="M3497" i="1" s="1"/>
  <c r="L3498" i="1"/>
  <c r="L3499" i="1"/>
  <c r="L3500" i="1"/>
  <c r="L3501" i="1"/>
  <c r="L3502" i="1"/>
  <c r="L3503" i="1"/>
  <c r="N3503" i="1" s="1"/>
  <c r="L3504" i="1"/>
  <c r="L3505" i="1"/>
  <c r="L3506" i="1"/>
  <c r="L3507" i="1"/>
  <c r="L3508" i="1"/>
  <c r="L3509" i="1"/>
  <c r="L3510" i="1"/>
  <c r="L3511" i="1"/>
  <c r="L3512" i="1"/>
  <c r="L3513" i="1"/>
  <c r="M3513" i="1" s="1"/>
  <c r="L3514" i="1"/>
  <c r="L3515" i="1"/>
  <c r="L3516" i="1"/>
  <c r="L3517" i="1"/>
  <c r="L3518" i="1"/>
  <c r="L3519" i="1"/>
  <c r="N3519" i="1" s="1"/>
  <c r="L3520" i="1"/>
  <c r="L3521" i="1"/>
  <c r="L3522" i="1"/>
  <c r="L3523" i="1"/>
  <c r="L3524" i="1"/>
  <c r="L3525" i="1"/>
  <c r="L3526" i="1"/>
  <c r="L3527" i="1"/>
  <c r="L3528" i="1"/>
  <c r="L3529" i="1"/>
  <c r="M3529" i="1" s="1"/>
  <c r="L3530" i="1"/>
  <c r="L3531" i="1"/>
  <c r="L3532" i="1"/>
  <c r="L3533" i="1"/>
  <c r="L3534" i="1"/>
  <c r="L3535" i="1"/>
  <c r="N3535" i="1" s="1"/>
  <c r="L3536" i="1"/>
  <c r="L3537" i="1"/>
  <c r="L3538" i="1"/>
  <c r="L3539" i="1"/>
  <c r="L3540" i="1"/>
  <c r="L3541" i="1"/>
  <c r="L3542" i="1"/>
  <c r="L3543" i="1"/>
  <c r="L3544" i="1"/>
  <c r="L3545" i="1"/>
  <c r="M3545" i="1" s="1"/>
  <c r="L3546" i="1"/>
  <c r="L3547" i="1"/>
  <c r="L3548" i="1"/>
  <c r="L3549" i="1"/>
  <c r="L3550" i="1"/>
  <c r="L3551" i="1"/>
  <c r="N3551" i="1" s="1"/>
  <c r="L3552" i="1"/>
  <c r="L3553" i="1"/>
  <c r="L3554" i="1"/>
  <c r="L3555" i="1"/>
  <c r="L3556" i="1"/>
  <c r="L3557" i="1"/>
  <c r="L3558" i="1"/>
  <c r="L3559" i="1"/>
  <c r="L3560" i="1"/>
  <c r="L3561" i="1"/>
  <c r="M3561" i="1" s="1"/>
  <c r="L3562" i="1"/>
  <c r="L3563" i="1"/>
  <c r="L3564" i="1"/>
  <c r="L3565" i="1"/>
  <c r="L3566" i="1"/>
  <c r="L3567" i="1"/>
  <c r="N3567" i="1" s="1"/>
  <c r="L3568" i="1"/>
  <c r="L3569" i="1"/>
  <c r="L3570" i="1"/>
  <c r="M3570" i="1" s="1"/>
  <c r="L3571" i="1"/>
  <c r="L3572" i="1"/>
  <c r="M3572" i="1" s="1"/>
  <c r="L3573" i="1"/>
  <c r="L3574" i="1"/>
  <c r="L3575" i="1"/>
  <c r="L3576" i="1"/>
  <c r="N3576" i="1" s="1"/>
  <c r="L3577" i="1"/>
  <c r="L3578" i="1"/>
  <c r="N3578" i="1" s="1"/>
  <c r="L3579" i="1"/>
  <c r="L3580" i="1"/>
  <c r="L3581" i="1"/>
  <c r="M3581" i="1" s="1"/>
  <c r="L3582" i="1"/>
  <c r="L3583" i="1"/>
  <c r="N3583" i="1" s="1"/>
  <c r="L3584" i="1"/>
  <c r="L3585" i="1"/>
  <c r="L3586" i="1"/>
  <c r="M3586" i="1" s="1"/>
  <c r="L3587" i="1"/>
  <c r="L3588" i="1"/>
  <c r="M3588" i="1" s="1"/>
  <c r="L3589" i="1"/>
  <c r="L3590" i="1"/>
  <c r="L3591" i="1"/>
  <c r="L3592" i="1"/>
  <c r="N3592" i="1" s="1"/>
  <c r="L3593" i="1"/>
  <c r="L3594" i="1"/>
  <c r="N3594" i="1" s="1"/>
  <c r="L3595" i="1"/>
  <c r="L3596" i="1"/>
  <c r="L3597" i="1"/>
  <c r="M3597" i="1" s="1"/>
  <c r="L3598" i="1"/>
  <c r="L3599" i="1"/>
  <c r="N3599" i="1" s="1"/>
  <c r="L3600" i="1"/>
  <c r="L3601" i="1"/>
  <c r="L3602" i="1"/>
  <c r="M3602" i="1" s="1"/>
  <c r="L3603" i="1"/>
  <c r="L3604" i="1"/>
  <c r="M3604" i="1" s="1"/>
  <c r="L3605" i="1"/>
  <c r="L3606" i="1"/>
  <c r="L3607" i="1"/>
  <c r="L3608" i="1"/>
  <c r="N3608" i="1" s="1"/>
  <c r="L3609" i="1"/>
  <c r="L3610" i="1"/>
  <c r="N3610" i="1" s="1"/>
  <c r="L3611" i="1"/>
  <c r="L3612" i="1"/>
  <c r="L3613" i="1"/>
  <c r="M3613" i="1" s="1"/>
  <c r="L3614" i="1"/>
  <c r="L3615" i="1"/>
  <c r="N3615" i="1" s="1"/>
  <c r="L3616" i="1"/>
  <c r="L3617" i="1"/>
  <c r="L3618" i="1"/>
  <c r="M3618" i="1" s="1"/>
  <c r="L3619" i="1"/>
  <c r="L3620" i="1"/>
  <c r="M3620" i="1" s="1"/>
  <c r="L3621" i="1"/>
  <c r="L3622" i="1"/>
  <c r="L3623" i="1"/>
  <c r="M3623" i="1" s="1"/>
  <c r="L3624" i="1"/>
  <c r="L3625" i="1"/>
  <c r="N3625" i="1" s="1"/>
  <c r="L3626" i="1"/>
  <c r="L3627" i="1"/>
  <c r="M3627" i="1" s="1"/>
  <c r="L3628" i="1"/>
  <c r="L3629" i="1"/>
  <c r="N3629" i="1" s="1"/>
  <c r="L3630" i="1"/>
  <c r="L3631" i="1"/>
  <c r="M3631" i="1" s="1"/>
  <c r="L3632" i="1"/>
  <c r="L3633" i="1"/>
  <c r="N3633" i="1" s="1"/>
  <c r="L3634" i="1"/>
  <c r="L3635" i="1"/>
  <c r="M3635" i="1" s="1"/>
  <c r="L3636" i="1"/>
  <c r="L3637" i="1"/>
  <c r="N3637" i="1" s="1"/>
  <c r="L3638" i="1"/>
  <c r="L3639" i="1"/>
  <c r="M3639" i="1" s="1"/>
  <c r="L3640" i="1"/>
  <c r="L3641" i="1"/>
  <c r="N3641" i="1" s="1"/>
  <c r="L3642" i="1"/>
  <c r="L3643" i="1"/>
  <c r="M3643" i="1" s="1"/>
  <c r="L3644" i="1"/>
  <c r="L3645" i="1"/>
  <c r="N3645" i="1" s="1"/>
  <c r="L3646" i="1"/>
  <c r="L3647" i="1"/>
  <c r="M3647" i="1" s="1"/>
  <c r="L3648" i="1"/>
  <c r="L3649" i="1"/>
  <c r="N3649" i="1" s="1"/>
  <c r="L3650" i="1"/>
  <c r="L3651" i="1"/>
  <c r="M3651" i="1" s="1"/>
  <c r="L3652" i="1"/>
  <c r="L3653" i="1"/>
  <c r="N3653" i="1" s="1"/>
  <c r="L3654" i="1"/>
  <c r="L3655" i="1"/>
  <c r="M3655" i="1" s="1"/>
  <c r="L3656" i="1"/>
  <c r="L3657" i="1"/>
  <c r="N3657" i="1" s="1"/>
  <c r="L3658" i="1"/>
  <c r="L3659" i="1"/>
  <c r="M3659" i="1" s="1"/>
  <c r="L3660" i="1"/>
  <c r="L3661" i="1"/>
  <c r="N3661" i="1" s="1"/>
  <c r="L3662" i="1"/>
  <c r="L3663" i="1"/>
  <c r="M3663" i="1" s="1"/>
  <c r="L3664" i="1"/>
  <c r="L3665" i="1"/>
  <c r="N3665" i="1" s="1"/>
  <c r="L3666" i="1"/>
  <c r="L3667" i="1"/>
  <c r="M3667" i="1" s="1"/>
  <c r="L3668" i="1"/>
  <c r="L3669" i="1"/>
  <c r="N3669" i="1" s="1"/>
  <c r="L3670" i="1"/>
  <c r="L3671" i="1"/>
  <c r="M3671" i="1" s="1"/>
  <c r="L3672" i="1"/>
  <c r="L3673" i="1"/>
  <c r="N3673" i="1" s="1"/>
  <c r="L3674" i="1"/>
  <c r="L3675" i="1"/>
  <c r="M3675" i="1" s="1"/>
  <c r="L3676" i="1"/>
  <c r="L3677" i="1"/>
  <c r="N3677" i="1" s="1"/>
  <c r="L3678" i="1"/>
  <c r="L3679" i="1"/>
  <c r="M3679" i="1" s="1"/>
  <c r="L3680" i="1"/>
  <c r="L3681" i="1"/>
  <c r="N3681" i="1" s="1"/>
  <c r="L3682" i="1"/>
  <c r="L3683" i="1"/>
  <c r="M3683" i="1" s="1"/>
  <c r="L3684" i="1"/>
  <c r="L3685" i="1"/>
  <c r="N3685" i="1" s="1"/>
  <c r="L3686" i="1"/>
  <c r="L3687" i="1"/>
  <c r="M3687" i="1" s="1"/>
  <c r="L3688" i="1"/>
  <c r="L3689" i="1"/>
  <c r="N3689" i="1" s="1"/>
  <c r="L3690" i="1"/>
  <c r="L3691" i="1"/>
  <c r="M3691" i="1" s="1"/>
  <c r="L3692" i="1"/>
  <c r="L3693" i="1"/>
  <c r="N3693" i="1" s="1"/>
  <c r="L3694" i="1"/>
  <c r="L3695" i="1"/>
  <c r="M3695" i="1" s="1"/>
  <c r="L3696" i="1"/>
  <c r="L3697" i="1"/>
  <c r="N3697" i="1" s="1"/>
  <c r="L3698" i="1"/>
  <c r="L3699" i="1"/>
  <c r="M3699" i="1" s="1"/>
  <c r="L3700" i="1"/>
  <c r="L3701" i="1"/>
  <c r="N3701" i="1" s="1"/>
  <c r="L3702" i="1"/>
  <c r="L3703" i="1"/>
  <c r="M3703" i="1" s="1"/>
  <c r="L3704" i="1"/>
  <c r="L3705" i="1"/>
  <c r="N3705" i="1" s="1"/>
  <c r="L3706" i="1"/>
  <c r="L3707" i="1"/>
  <c r="M3707" i="1" s="1"/>
  <c r="L3708" i="1"/>
  <c r="L3709" i="1"/>
  <c r="N3709" i="1" s="1"/>
  <c r="L3710" i="1"/>
  <c r="L3711" i="1"/>
  <c r="M3711" i="1" s="1"/>
  <c r="L3712" i="1"/>
  <c r="L3713" i="1"/>
  <c r="N3713" i="1" s="1"/>
  <c r="L3714" i="1"/>
  <c r="L3715" i="1"/>
  <c r="M3715" i="1" s="1"/>
  <c r="L3716" i="1"/>
  <c r="L3717" i="1"/>
  <c r="N3717" i="1" s="1"/>
  <c r="L3718" i="1"/>
  <c r="L3719" i="1"/>
  <c r="M3719" i="1" s="1"/>
  <c r="L3720" i="1"/>
  <c r="L3721" i="1"/>
  <c r="N3721" i="1" s="1"/>
  <c r="L3722" i="1"/>
  <c r="L3723" i="1"/>
  <c r="M3723" i="1" s="1"/>
  <c r="L3724" i="1"/>
  <c r="L3725" i="1"/>
  <c r="N3725" i="1" s="1"/>
  <c r="L3726" i="1"/>
  <c r="L3727" i="1"/>
  <c r="M3727" i="1" s="1"/>
  <c r="L3728" i="1"/>
  <c r="L3729" i="1"/>
  <c r="N3729" i="1" s="1"/>
  <c r="L3730" i="1"/>
  <c r="L3731" i="1"/>
  <c r="M3731" i="1" s="1"/>
  <c r="L3732" i="1"/>
  <c r="L3733" i="1"/>
  <c r="N3733" i="1" s="1"/>
  <c r="L3734" i="1"/>
  <c r="L3735" i="1"/>
  <c r="M3735" i="1" s="1"/>
  <c r="L3736" i="1"/>
  <c r="L3737" i="1"/>
  <c r="N3737" i="1" s="1"/>
  <c r="L3738" i="1"/>
  <c r="L3739" i="1"/>
  <c r="M3739" i="1" s="1"/>
  <c r="L3740" i="1"/>
  <c r="L3741" i="1"/>
  <c r="N3741" i="1" s="1"/>
  <c r="L3742" i="1"/>
  <c r="L3743" i="1"/>
  <c r="M3743" i="1" s="1"/>
  <c r="L3744" i="1"/>
  <c r="L3745" i="1"/>
  <c r="N3745" i="1" s="1"/>
  <c r="L3746" i="1"/>
  <c r="L3747" i="1"/>
  <c r="M3747" i="1" s="1"/>
  <c r="L3748" i="1"/>
  <c r="L3749" i="1"/>
  <c r="N3749" i="1" s="1"/>
  <c r="L3750" i="1"/>
  <c r="L3751" i="1"/>
  <c r="M3751" i="1" s="1"/>
  <c r="L3752" i="1"/>
  <c r="L3753" i="1"/>
  <c r="N3753" i="1" s="1"/>
  <c r="L3754" i="1"/>
  <c r="L3755" i="1"/>
  <c r="M3755" i="1" s="1"/>
  <c r="L3756" i="1"/>
  <c r="L3757" i="1"/>
  <c r="N3757" i="1" s="1"/>
  <c r="L3758" i="1"/>
  <c r="L3759" i="1"/>
  <c r="M3759" i="1" s="1"/>
  <c r="L3760" i="1"/>
  <c r="L3761" i="1"/>
  <c r="N3761" i="1" s="1"/>
  <c r="L3762" i="1"/>
  <c r="L3763" i="1"/>
  <c r="M3763" i="1" s="1"/>
  <c r="L3764" i="1"/>
  <c r="L3765" i="1"/>
  <c r="N3765" i="1" s="1"/>
  <c r="L3766" i="1"/>
  <c r="L3767" i="1"/>
  <c r="M3767" i="1" s="1"/>
  <c r="L3768" i="1"/>
  <c r="L3769" i="1"/>
  <c r="N3769" i="1" s="1"/>
  <c r="L3770" i="1"/>
  <c r="L3771" i="1"/>
  <c r="M3771" i="1" s="1"/>
  <c r="L3772" i="1"/>
  <c r="L3773" i="1"/>
  <c r="N3773" i="1" s="1"/>
  <c r="L3774" i="1"/>
  <c r="L3775" i="1"/>
  <c r="M3775" i="1" s="1"/>
  <c r="L3776" i="1"/>
  <c r="L3777" i="1"/>
  <c r="N3777" i="1" s="1"/>
  <c r="L3778" i="1"/>
  <c r="L3779" i="1"/>
  <c r="M3779" i="1" s="1"/>
  <c r="L3780" i="1"/>
  <c r="L3781" i="1"/>
  <c r="N3781" i="1" s="1"/>
  <c r="L3782" i="1"/>
  <c r="L3783" i="1"/>
  <c r="M3783" i="1" s="1"/>
  <c r="L3784" i="1"/>
  <c r="L3785" i="1"/>
  <c r="N3785" i="1" s="1"/>
  <c r="L3786" i="1"/>
  <c r="L3787" i="1"/>
  <c r="M3787" i="1" s="1"/>
  <c r="L3788" i="1"/>
  <c r="L3789" i="1"/>
  <c r="N3789" i="1" s="1"/>
  <c r="L3790" i="1"/>
  <c r="L3791" i="1"/>
  <c r="M3791" i="1" s="1"/>
  <c r="L3792" i="1"/>
  <c r="L3793" i="1"/>
  <c r="N3793" i="1" s="1"/>
  <c r="L3794" i="1"/>
  <c r="L3795" i="1"/>
  <c r="M3795" i="1" s="1"/>
  <c r="L3796" i="1"/>
  <c r="L3797" i="1"/>
  <c r="N3797" i="1" s="1"/>
  <c r="L3798" i="1"/>
  <c r="L3799" i="1"/>
  <c r="M3799" i="1" s="1"/>
  <c r="L3800" i="1"/>
  <c r="L3801" i="1"/>
  <c r="N3801" i="1" s="1"/>
  <c r="L3802" i="1"/>
  <c r="L3803" i="1"/>
  <c r="M3803" i="1" s="1"/>
  <c r="L3804" i="1"/>
  <c r="L3805" i="1"/>
  <c r="N3805" i="1" s="1"/>
  <c r="L3806" i="1"/>
  <c r="L3807" i="1"/>
  <c r="M3807" i="1" s="1"/>
  <c r="L3808" i="1"/>
  <c r="L3809" i="1"/>
  <c r="N3809" i="1" s="1"/>
  <c r="L3810" i="1"/>
  <c r="L3811" i="1"/>
  <c r="M3811" i="1" s="1"/>
  <c r="L3812" i="1"/>
  <c r="L3813" i="1"/>
  <c r="N3813" i="1" s="1"/>
  <c r="L3814" i="1"/>
  <c r="L3815" i="1"/>
  <c r="M3815" i="1" s="1"/>
  <c r="L3816" i="1"/>
  <c r="L3817" i="1"/>
  <c r="N3817" i="1" s="1"/>
  <c r="L3818" i="1"/>
  <c r="L3819" i="1"/>
  <c r="M3819" i="1" s="1"/>
  <c r="L3820" i="1"/>
  <c r="L3821" i="1"/>
  <c r="N3821" i="1" s="1"/>
  <c r="L3822" i="1"/>
  <c r="L3823" i="1"/>
  <c r="M3823" i="1" s="1"/>
  <c r="L3824" i="1"/>
  <c r="L3825" i="1"/>
  <c r="N3825" i="1" s="1"/>
  <c r="L3826" i="1"/>
  <c r="L3827" i="1"/>
  <c r="M3827" i="1" s="1"/>
  <c r="L3828" i="1"/>
  <c r="L3829" i="1"/>
  <c r="N3829" i="1" s="1"/>
  <c r="L3830" i="1"/>
  <c r="L3831" i="1"/>
  <c r="M3831" i="1" s="1"/>
  <c r="L3832" i="1"/>
  <c r="L3833" i="1"/>
  <c r="N3833" i="1" s="1"/>
  <c r="L3834" i="1"/>
  <c r="L3835" i="1"/>
  <c r="M3835" i="1" s="1"/>
  <c r="L3836" i="1"/>
  <c r="L3837" i="1"/>
  <c r="N3837" i="1" s="1"/>
  <c r="L3838" i="1"/>
  <c r="L3839" i="1"/>
  <c r="M3839" i="1" s="1"/>
  <c r="L3840" i="1"/>
  <c r="L3841" i="1"/>
  <c r="N3841" i="1" s="1"/>
  <c r="L3842" i="1"/>
  <c r="L3843" i="1"/>
  <c r="M3843" i="1" s="1"/>
  <c r="L3844" i="1"/>
  <c r="L3845" i="1"/>
  <c r="N3845" i="1" s="1"/>
  <c r="L3846" i="1"/>
  <c r="L3847" i="1"/>
  <c r="M3847" i="1" s="1"/>
  <c r="L3848" i="1"/>
  <c r="L3849" i="1"/>
  <c r="N3849" i="1" s="1"/>
  <c r="L3850" i="1"/>
  <c r="L3851" i="1"/>
  <c r="M3851" i="1" s="1"/>
  <c r="L3852" i="1"/>
  <c r="L3853" i="1"/>
  <c r="N3853" i="1" s="1"/>
  <c r="L3854" i="1"/>
  <c r="L3855" i="1"/>
  <c r="M3855" i="1" s="1"/>
  <c r="L3856" i="1"/>
  <c r="L3857" i="1"/>
  <c r="N3857" i="1" s="1"/>
  <c r="L3858" i="1"/>
  <c r="L3859" i="1"/>
  <c r="M3859" i="1" s="1"/>
  <c r="L3860" i="1"/>
  <c r="L3861" i="1"/>
  <c r="N3861" i="1" s="1"/>
  <c r="L3862" i="1"/>
  <c r="L3863" i="1"/>
  <c r="M3863" i="1" s="1"/>
  <c r="L3864" i="1"/>
  <c r="L3865" i="1"/>
  <c r="N3865" i="1" s="1"/>
  <c r="L3866" i="1"/>
  <c r="L3867" i="1"/>
  <c r="M3867" i="1" s="1"/>
  <c r="L3868" i="1"/>
  <c r="L3869" i="1"/>
  <c r="N3869" i="1" s="1"/>
  <c r="L3870" i="1"/>
  <c r="L3871" i="1"/>
  <c r="M3871" i="1" s="1"/>
  <c r="L3872" i="1"/>
  <c r="L3873" i="1"/>
  <c r="N3873" i="1" s="1"/>
  <c r="L3874" i="1"/>
  <c r="L3875" i="1"/>
  <c r="M3875" i="1" s="1"/>
  <c r="L3876" i="1"/>
  <c r="L3877" i="1"/>
  <c r="N3877" i="1" s="1"/>
  <c r="L3878" i="1"/>
  <c r="L3879" i="1"/>
  <c r="M3879" i="1" s="1"/>
  <c r="L3880" i="1"/>
  <c r="L3881" i="1"/>
  <c r="N3881" i="1" s="1"/>
  <c r="L3882" i="1"/>
  <c r="L3883" i="1"/>
  <c r="M3883" i="1" s="1"/>
  <c r="L3884" i="1"/>
  <c r="L3885" i="1"/>
  <c r="N3885" i="1" s="1"/>
  <c r="L3886" i="1"/>
  <c r="L3887" i="1"/>
  <c r="M3887" i="1" s="1"/>
  <c r="L3888" i="1"/>
  <c r="L3889" i="1"/>
  <c r="N3889" i="1" s="1"/>
  <c r="L3890" i="1"/>
  <c r="L3891" i="1"/>
  <c r="M3891" i="1" s="1"/>
  <c r="L3892" i="1"/>
  <c r="L3893" i="1"/>
  <c r="N3893" i="1" s="1"/>
  <c r="L3894" i="1"/>
  <c r="L3895" i="1"/>
  <c r="M3895" i="1" s="1"/>
  <c r="L3896" i="1"/>
  <c r="L3897" i="1"/>
  <c r="N3897" i="1" s="1"/>
  <c r="L3898" i="1"/>
  <c r="L3899" i="1"/>
  <c r="M3899" i="1" s="1"/>
  <c r="L3900" i="1"/>
  <c r="L3901" i="1"/>
  <c r="N3901" i="1" s="1"/>
  <c r="L3902" i="1"/>
  <c r="L3903" i="1"/>
  <c r="M3903" i="1" s="1"/>
  <c r="L3904" i="1"/>
  <c r="L3905" i="1"/>
  <c r="N3905" i="1" s="1"/>
  <c r="L3906" i="1"/>
  <c r="L3907" i="1"/>
  <c r="M3907" i="1" s="1"/>
  <c r="L3908" i="1"/>
  <c r="L3909" i="1"/>
  <c r="N3909" i="1" s="1"/>
  <c r="L3910" i="1"/>
  <c r="L3911" i="1"/>
  <c r="M3911" i="1" s="1"/>
  <c r="L3912" i="1"/>
  <c r="L3913" i="1"/>
  <c r="N3913" i="1" s="1"/>
  <c r="L3914" i="1"/>
  <c r="L3915" i="1"/>
  <c r="M3915" i="1" s="1"/>
  <c r="L3916" i="1"/>
  <c r="L3917" i="1"/>
  <c r="N3917" i="1" s="1"/>
  <c r="L3918" i="1"/>
  <c r="L3919" i="1"/>
  <c r="M3919" i="1" s="1"/>
  <c r="L3920" i="1"/>
  <c r="L3921" i="1"/>
  <c r="N3921" i="1" s="1"/>
  <c r="L3922" i="1"/>
  <c r="L3923" i="1"/>
  <c r="M3923" i="1" s="1"/>
  <c r="L3924" i="1"/>
  <c r="L3925" i="1"/>
  <c r="N3925" i="1" s="1"/>
  <c r="L3926" i="1"/>
  <c r="L3927" i="1"/>
  <c r="M3927" i="1" s="1"/>
  <c r="L3928" i="1"/>
  <c r="L3929" i="1"/>
  <c r="N3929" i="1" s="1"/>
  <c r="L3930" i="1"/>
  <c r="L3931" i="1"/>
  <c r="M3931" i="1" s="1"/>
  <c r="L3932" i="1"/>
  <c r="L3933" i="1"/>
  <c r="N3933" i="1" s="1"/>
  <c r="L3934" i="1"/>
  <c r="L3935" i="1"/>
  <c r="M3935" i="1" s="1"/>
  <c r="L3936" i="1"/>
  <c r="L3937" i="1"/>
  <c r="N3937" i="1" s="1"/>
  <c r="L3938" i="1"/>
  <c r="L3939" i="1"/>
  <c r="M3939" i="1" s="1"/>
  <c r="L3940" i="1"/>
  <c r="L3941" i="1"/>
  <c r="N3941" i="1" s="1"/>
  <c r="L3942" i="1"/>
  <c r="L3943" i="1"/>
  <c r="M3943" i="1" s="1"/>
  <c r="L3944" i="1"/>
  <c r="L3945" i="1"/>
  <c r="N3945" i="1" s="1"/>
  <c r="L3946" i="1"/>
  <c r="L3947" i="1"/>
  <c r="M3947" i="1" s="1"/>
  <c r="L3948" i="1"/>
  <c r="L3949" i="1"/>
  <c r="N3949" i="1" s="1"/>
  <c r="L3950" i="1"/>
  <c r="L3951" i="1"/>
  <c r="M3951" i="1" s="1"/>
  <c r="L3952" i="1"/>
  <c r="L3953" i="1"/>
  <c r="N3953" i="1" s="1"/>
  <c r="L3954" i="1"/>
  <c r="L3955" i="1"/>
  <c r="M3955" i="1" s="1"/>
  <c r="L3956" i="1"/>
  <c r="L3957" i="1"/>
  <c r="N3957" i="1" s="1"/>
  <c r="L3958" i="1"/>
  <c r="L3959" i="1"/>
  <c r="M3959" i="1" s="1"/>
  <c r="L3960" i="1"/>
  <c r="L3961" i="1"/>
  <c r="N3961" i="1" s="1"/>
  <c r="L3962" i="1"/>
  <c r="L3963" i="1"/>
  <c r="M3963" i="1" s="1"/>
  <c r="L3964" i="1"/>
  <c r="L3965" i="1"/>
  <c r="N3965" i="1" s="1"/>
  <c r="L3966" i="1"/>
  <c r="L3967" i="1"/>
  <c r="M3967" i="1" s="1"/>
  <c r="L3968" i="1"/>
  <c r="L3969" i="1"/>
  <c r="N3969" i="1" s="1"/>
  <c r="L3970" i="1"/>
  <c r="L3971" i="1"/>
  <c r="M3971" i="1" s="1"/>
  <c r="L3972" i="1"/>
  <c r="L3973" i="1"/>
  <c r="N3973" i="1" s="1"/>
  <c r="L3974" i="1"/>
  <c r="L3975" i="1"/>
  <c r="M3975" i="1" s="1"/>
  <c r="L3976" i="1"/>
  <c r="L3977" i="1"/>
  <c r="N3977" i="1" s="1"/>
  <c r="L3978" i="1"/>
  <c r="L3979" i="1"/>
  <c r="M3979" i="1" s="1"/>
  <c r="L3980" i="1"/>
  <c r="L3981" i="1"/>
  <c r="N3981" i="1" s="1"/>
  <c r="L3982" i="1"/>
  <c r="L3983" i="1"/>
  <c r="M3983" i="1" s="1"/>
  <c r="L3984" i="1"/>
  <c r="L3985" i="1"/>
  <c r="N3985" i="1" s="1"/>
  <c r="L3986" i="1"/>
  <c r="L3987" i="1"/>
  <c r="M3987" i="1" s="1"/>
  <c r="L3988" i="1"/>
  <c r="L3989" i="1"/>
  <c r="N3989" i="1" s="1"/>
  <c r="L3990" i="1"/>
  <c r="L3991" i="1"/>
  <c r="M3991" i="1" s="1"/>
  <c r="L3992" i="1"/>
  <c r="L3993" i="1"/>
  <c r="N3993" i="1" s="1"/>
  <c r="L3994" i="1"/>
  <c r="L3995" i="1"/>
  <c r="M3995" i="1" s="1"/>
  <c r="L3996" i="1"/>
  <c r="L3997" i="1"/>
  <c r="N3997" i="1" s="1"/>
  <c r="L3998" i="1"/>
  <c r="L3999" i="1"/>
  <c r="M3999" i="1" s="1"/>
  <c r="L4000" i="1"/>
  <c r="L4001" i="1"/>
  <c r="N4001" i="1" s="1"/>
  <c r="L4002" i="1"/>
  <c r="L4003" i="1"/>
  <c r="M4003" i="1" s="1"/>
  <c r="L4004" i="1"/>
  <c r="L4005" i="1"/>
  <c r="N4005" i="1" s="1"/>
  <c r="L4006" i="1"/>
  <c r="L4007" i="1"/>
  <c r="M4007" i="1" s="1"/>
  <c r="L4008" i="1"/>
  <c r="L4009" i="1"/>
  <c r="N4009" i="1" s="1"/>
  <c r="L4010" i="1"/>
  <c r="L4011" i="1"/>
  <c r="M4011" i="1" s="1"/>
  <c r="L4012" i="1"/>
  <c r="L4013" i="1"/>
  <c r="N4013" i="1" s="1"/>
  <c r="L4014" i="1"/>
  <c r="L4015" i="1"/>
  <c r="M4015" i="1" s="1"/>
  <c r="L4016" i="1"/>
  <c r="L4017" i="1"/>
  <c r="N4017" i="1" s="1"/>
  <c r="L4018" i="1"/>
  <c r="L4019" i="1"/>
  <c r="M4019" i="1" s="1"/>
  <c r="L4020" i="1"/>
  <c r="L4021" i="1"/>
  <c r="N4021" i="1" s="1"/>
  <c r="L4022" i="1"/>
  <c r="L4023" i="1"/>
  <c r="M4023" i="1" s="1"/>
  <c r="L4024" i="1"/>
  <c r="L4025" i="1"/>
  <c r="N4025" i="1" s="1"/>
  <c r="L4026" i="1"/>
  <c r="L4027" i="1"/>
  <c r="M4027" i="1" s="1"/>
  <c r="L4028" i="1"/>
  <c r="L4029" i="1"/>
  <c r="N4029" i="1" s="1"/>
  <c r="L4030" i="1"/>
  <c r="L4031" i="1"/>
  <c r="M4031" i="1" s="1"/>
  <c r="L4032" i="1"/>
  <c r="L4033" i="1"/>
  <c r="N4033" i="1" s="1"/>
  <c r="L4034" i="1"/>
  <c r="L4035" i="1"/>
  <c r="M4035" i="1" s="1"/>
  <c r="L4036" i="1"/>
  <c r="L4037" i="1"/>
  <c r="N4037" i="1" s="1"/>
  <c r="L4038" i="1"/>
  <c r="L4039" i="1"/>
  <c r="M4039" i="1" s="1"/>
  <c r="L4040" i="1"/>
  <c r="L4041" i="1"/>
  <c r="N4041" i="1" s="1"/>
  <c r="L4042" i="1"/>
  <c r="L4043" i="1"/>
  <c r="M4043" i="1" s="1"/>
  <c r="L4044" i="1"/>
  <c r="L4045" i="1"/>
  <c r="N4045" i="1" s="1"/>
  <c r="L4046" i="1"/>
  <c r="L4047" i="1"/>
  <c r="M4047" i="1" s="1"/>
  <c r="L4048" i="1"/>
  <c r="L4049" i="1"/>
  <c r="N4049" i="1" s="1"/>
  <c r="L4050" i="1"/>
  <c r="L4051" i="1"/>
  <c r="M4051" i="1" s="1"/>
  <c r="L4052" i="1"/>
  <c r="L4053" i="1"/>
  <c r="N4053" i="1" s="1"/>
  <c r="L4054" i="1"/>
  <c r="L4055" i="1"/>
  <c r="M4055" i="1" s="1"/>
  <c r="L4056" i="1"/>
  <c r="L4057" i="1"/>
  <c r="N4057" i="1" s="1"/>
  <c r="L4058" i="1"/>
  <c r="L4059" i="1"/>
  <c r="M4059" i="1" s="1"/>
  <c r="L4060" i="1"/>
  <c r="L4061" i="1"/>
  <c r="N4061" i="1" s="1"/>
  <c r="L4062" i="1"/>
  <c r="L4063" i="1"/>
  <c r="M4063" i="1" s="1"/>
  <c r="L4064" i="1"/>
  <c r="L4065" i="1"/>
  <c r="N4065" i="1" s="1"/>
  <c r="L4066" i="1"/>
  <c r="L4067" i="1"/>
  <c r="M4067" i="1" s="1"/>
  <c r="L4068" i="1"/>
  <c r="L4069" i="1"/>
  <c r="N4069" i="1" s="1"/>
  <c r="L4070" i="1"/>
  <c r="L4071" i="1"/>
  <c r="M4071" i="1" s="1"/>
  <c r="L4072" i="1"/>
  <c r="L4073" i="1"/>
  <c r="N4073" i="1" s="1"/>
  <c r="L4074" i="1"/>
  <c r="L4075" i="1"/>
  <c r="M4075" i="1" s="1"/>
  <c r="L4076" i="1"/>
  <c r="L4077" i="1"/>
  <c r="N4077" i="1" s="1"/>
  <c r="L4078" i="1"/>
  <c r="L4079" i="1"/>
  <c r="M4079" i="1" s="1"/>
  <c r="L4080" i="1"/>
  <c r="L4081" i="1"/>
  <c r="N4081" i="1" s="1"/>
  <c r="L4082" i="1"/>
  <c r="L4083" i="1"/>
  <c r="M4083" i="1" s="1"/>
  <c r="L4084" i="1"/>
  <c r="L4085" i="1"/>
  <c r="N4085" i="1" s="1"/>
  <c r="L4086" i="1"/>
  <c r="L4087" i="1"/>
  <c r="M4087" i="1" s="1"/>
  <c r="L4088" i="1"/>
  <c r="L4089" i="1"/>
  <c r="N4089" i="1" s="1"/>
  <c r="L4090" i="1"/>
  <c r="L4091" i="1"/>
  <c r="M4091" i="1" s="1"/>
  <c r="L4092" i="1"/>
  <c r="L4093" i="1"/>
  <c r="N4093" i="1" s="1"/>
  <c r="L4094" i="1"/>
  <c r="L4095" i="1"/>
  <c r="M4095" i="1" s="1"/>
  <c r="L4096" i="1"/>
  <c r="L4097" i="1"/>
  <c r="N4097" i="1" s="1"/>
  <c r="L4098" i="1"/>
  <c r="L4099" i="1"/>
  <c r="M4099" i="1" s="1"/>
  <c r="L4100" i="1"/>
  <c r="L4101" i="1"/>
  <c r="N4101" i="1" s="1"/>
  <c r="L4102" i="1"/>
  <c r="L4103" i="1"/>
  <c r="M4103" i="1" s="1"/>
  <c r="L4104" i="1"/>
  <c r="L4105" i="1"/>
  <c r="N4105" i="1" s="1"/>
  <c r="L4106" i="1"/>
  <c r="L4107" i="1"/>
  <c r="N4107" i="1" s="1"/>
  <c r="L4108" i="1"/>
  <c r="L4109" i="1"/>
  <c r="M4109" i="1" s="1"/>
  <c r="L4110" i="1"/>
  <c r="L4111" i="1"/>
  <c r="M4111" i="1" s="1"/>
  <c r="L4112" i="1"/>
  <c r="L4113" i="1"/>
  <c r="M4113" i="1" s="1"/>
  <c r="L4114" i="1"/>
  <c r="L4115" i="1"/>
  <c r="N4115" i="1" s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M3905" i="1" l="1"/>
  <c r="M3969" i="1"/>
  <c r="M3841" i="1"/>
  <c r="M3777" i="1"/>
  <c r="M3713" i="1"/>
  <c r="E10" i="8"/>
  <c r="M3649" i="1"/>
  <c r="M4097" i="1"/>
  <c r="N3433" i="1"/>
  <c r="M4033" i="1"/>
  <c r="N2665" i="1"/>
  <c r="N4091" i="1"/>
  <c r="N4027" i="1"/>
  <c r="N3963" i="1"/>
  <c r="N3899" i="1"/>
  <c r="N3835" i="1"/>
  <c r="N3771" i="1"/>
  <c r="N3707" i="1"/>
  <c r="N3643" i="1"/>
  <c r="N3369" i="1"/>
  <c r="M4081" i="1"/>
  <c r="M4017" i="1"/>
  <c r="M3953" i="1"/>
  <c r="M3889" i="1"/>
  <c r="M3825" i="1"/>
  <c r="M3761" i="1"/>
  <c r="M3697" i="1"/>
  <c r="M3633" i="1"/>
  <c r="N3305" i="1"/>
  <c r="N4075" i="1"/>
  <c r="N4011" i="1"/>
  <c r="N3947" i="1"/>
  <c r="N3883" i="1"/>
  <c r="N3819" i="1"/>
  <c r="N3755" i="1"/>
  <c r="N3691" i="1"/>
  <c r="N3627" i="1"/>
  <c r="N3241" i="1"/>
  <c r="M4065" i="1"/>
  <c r="M4001" i="1"/>
  <c r="M3937" i="1"/>
  <c r="M3873" i="1"/>
  <c r="M3809" i="1"/>
  <c r="M3745" i="1"/>
  <c r="M3681" i="1"/>
  <c r="M3608" i="1"/>
  <c r="M3182" i="1"/>
  <c r="M4115" i="1"/>
  <c r="N4059" i="1"/>
  <c r="N3995" i="1"/>
  <c r="N3931" i="1"/>
  <c r="N3867" i="1"/>
  <c r="N3803" i="1"/>
  <c r="N3739" i="1"/>
  <c r="N3675" i="1"/>
  <c r="N3572" i="1"/>
  <c r="M3046" i="1"/>
  <c r="N4109" i="1"/>
  <c r="M4049" i="1"/>
  <c r="M3985" i="1"/>
  <c r="M3921" i="1"/>
  <c r="M3857" i="1"/>
  <c r="M3793" i="1"/>
  <c r="M3729" i="1"/>
  <c r="M3665" i="1"/>
  <c r="N3561" i="1"/>
  <c r="N2988" i="1"/>
  <c r="M4107" i="1"/>
  <c r="N4043" i="1"/>
  <c r="N3979" i="1"/>
  <c r="N3915" i="1"/>
  <c r="N3851" i="1"/>
  <c r="N3787" i="1"/>
  <c r="N3723" i="1"/>
  <c r="N3659" i="1"/>
  <c r="N3497" i="1"/>
  <c r="M2876" i="1"/>
  <c r="M4114" i="1"/>
  <c r="N4114" i="1"/>
  <c r="M4066" i="1"/>
  <c r="N4066" i="1"/>
  <c r="M3994" i="1"/>
  <c r="N3994" i="1"/>
  <c r="M3938" i="1"/>
  <c r="N3938" i="1"/>
  <c r="M3874" i="1"/>
  <c r="N3874" i="1"/>
  <c r="M3818" i="1"/>
  <c r="N3818" i="1"/>
  <c r="M3762" i="1"/>
  <c r="N3762" i="1"/>
  <c r="M3698" i="1"/>
  <c r="N3698" i="1"/>
  <c r="M3642" i="1"/>
  <c r="N3642" i="1"/>
  <c r="M3522" i="1"/>
  <c r="N3522" i="1"/>
  <c r="M3458" i="1"/>
  <c r="N3458" i="1"/>
  <c r="M3410" i="1"/>
  <c r="N3410" i="1"/>
  <c r="M3354" i="1"/>
  <c r="N3354" i="1"/>
  <c r="M3290" i="1"/>
  <c r="N3290" i="1"/>
  <c r="M3242" i="1"/>
  <c r="N3242" i="1"/>
  <c r="M3194" i="1"/>
  <c r="N3194" i="1"/>
  <c r="N3034" i="1"/>
  <c r="M3034" i="1"/>
  <c r="N2882" i="1"/>
  <c r="M2882" i="1"/>
  <c r="N2826" i="1"/>
  <c r="M2826" i="1"/>
  <c r="N2778" i="1"/>
  <c r="M2778" i="1"/>
  <c r="M2714" i="1"/>
  <c r="N2714" i="1"/>
  <c r="M2658" i="1"/>
  <c r="N2658" i="1"/>
  <c r="M2610" i="1"/>
  <c r="N2610" i="1"/>
  <c r="M2546" i="1"/>
  <c r="N2546" i="1"/>
  <c r="M2482" i="1"/>
  <c r="N2482" i="1"/>
  <c r="M2434" i="1"/>
  <c r="N2434" i="1"/>
  <c r="M2378" i="1"/>
  <c r="N2378" i="1"/>
  <c r="M2314" i="1"/>
  <c r="N2314" i="1"/>
  <c r="M2250" i="1"/>
  <c r="N2250" i="1"/>
  <c r="M2202" i="1"/>
  <c r="N2202" i="1"/>
  <c r="M2154" i="1"/>
  <c r="N2154" i="1"/>
  <c r="M2090" i="1"/>
  <c r="N2090" i="1"/>
  <c r="M2026" i="1"/>
  <c r="N2026" i="1"/>
  <c r="M1978" i="1"/>
  <c r="N1978" i="1"/>
  <c r="M1922" i="1"/>
  <c r="N1922" i="1"/>
  <c r="N1842" i="1"/>
  <c r="M1842" i="1"/>
  <c r="M1754" i="1"/>
  <c r="N1754" i="1"/>
  <c r="M1658" i="1"/>
  <c r="N1658" i="1"/>
  <c r="M1426" i="1"/>
  <c r="N1426" i="1"/>
  <c r="M818" i="1"/>
  <c r="N818" i="1"/>
  <c r="M3617" i="1"/>
  <c r="N3617" i="1"/>
  <c r="M3601" i="1"/>
  <c r="N3601" i="1"/>
  <c r="M3585" i="1"/>
  <c r="N3585" i="1"/>
  <c r="M3553" i="1"/>
  <c r="N3553" i="1"/>
  <c r="M3537" i="1"/>
  <c r="N3537" i="1"/>
  <c r="M3489" i="1"/>
  <c r="N3489" i="1"/>
  <c r="M3473" i="1"/>
  <c r="N3473" i="1"/>
  <c r="M3441" i="1"/>
  <c r="N3441" i="1"/>
  <c r="M3409" i="1"/>
  <c r="N3409" i="1"/>
  <c r="M3393" i="1"/>
  <c r="N3393" i="1"/>
  <c r="M3345" i="1"/>
  <c r="N3345" i="1"/>
  <c r="M3329" i="1"/>
  <c r="N3329" i="1"/>
  <c r="M3297" i="1"/>
  <c r="N3297" i="1"/>
  <c r="M3265" i="1"/>
  <c r="N3265" i="1"/>
  <c r="M3233" i="1"/>
  <c r="N3233" i="1"/>
  <c r="M3217" i="1"/>
  <c r="N3217" i="1"/>
  <c r="M3193" i="1"/>
  <c r="N3193" i="1"/>
  <c r="M3177" i="1"/>
  <c r="N3177" i="1"/>
  <c r="M3161" i="1"/>
  <c r="N3161" i="1"/>
  <c r="M3145" i="1"/>
  <c r="N3145" i="1"/>
  <c r="M3129" i="1"/>
  <c r="N3129" i="1"/>
  <c r="M3105" i="1"/>
  <c r="N3105" i="1"/>
  <c r="M3089" i="1"/>
  <c r="N3089" i="1"/>
  <c r="M3073" i="1"/>
  <c r="N3073" i="1"/>
  <c r="M3057" i="1"/>
  <c r="N3057" i="1"/>
  <c r="M3041" i="1"/>
  <c r="N3041" i="1"/>
  <c r="M3025" i="1"/>
  <c r="N3025" i="1"/>
  <c r="M3009" i="1"/>
  <c r="N3009" i="1"/>
  <c r="M2993" i="1"/>
  <c r="N2993" i="1"/>
  <c r="M2977" i="1"/>
  <c r="N2977" i="1"/>
  <c r="M2961" i="1"/>
  <c r="N2961" i="1"/>
  <c r="M2945" i="1"/>
  <c r="N2945" i="1"/>
  <c r="M2929" i="1"/>
  <c r="N2929" i="1"/>
  <c r="M2913" i="1"/>
  <c r="N2913" i="1"/>
  <c r="M2889" i="1"/>
  <c r="N2889" i="1"/>
  <c r="M2873" i="1"/>
  <c r="N2873" i="1"/>
  <c r="M2857" i="1"/>
  <c r="N2857" i="1"/>
  <c r="M2841" i="1"/>
  <c r="N2841" i="1"/>
  <c r="M2825" i="1"/>
  <c r="N2825" i="1"/>
  <c r="M2809" i="1"/>
  <c r="N2809" i="1"/>
  <c r="M2793" i="1"/>
  <c r="N2793" i="1"/>
  <c r="M2777" i="1"/>
  <c r="N2777" i="1"/>
  <c r="M2761" i="1"/>
  <c r="N2761" i="1"/>
  <c r="M2745" i="1"/>
  <c r="N2745" i="1"/>
  <c r="M2705" i="1"/>
  <c r="N2705" i="1"/>
  <c r="M2697" i="1"/>
  <c r="N2697" i="1"/>
  <c r="N2681" i="1"/>
  <c r="M2681" i="1"/>
  <c r="M2673" i="1"/>
  <c r="N2673" i="1"/>
  <c r="M2657" i="1"/>
  <c r="N2657" i="1"/>
  <c r="M2641" i="1"/>
  <c r="N2641" i="1"/>
  <c r="N2625" i="1"/>
  <c r="M2625" i="1"/>
  <c r="M2601" i="1"/>
  <c r="N2601" i="1"/>
  <c r="N2585" i="1"/>
  <c r="M2585" i="1"/>
  <c r="N2561" i="1"/>
  <c r="M2561" i="1"/>
  <c r="N2497" i="1"/>
  <c r="M2497" i="1"/>
  <c r="M2161" i="1"/>
  <c r="N2161" i="1"/>
  <c r="M2145" i="1"/>
  <c r="N2145" i="1"/>
  <c r="M2129" i="1"/>
  <c r="N2129" i="1"/>
  <c r="M2105" i="1"/>
  <c r="N2105" i="1"/>
  <c r="M2089" i="1"/>
  <c r="N2089" i="1"/>
  <c r="M2073" i="1"/>
  <c r="N2073" i="1"/>
  <c r="M2049" i="1"/>
  <c r="N2049" i="1"/>
  <c r="M2033" i="1"/>
  <c r="N2033" i="1"/>
  <c r="M2017" i="1"/>
  <c r="N2017" i="1"/>
  <c r="M1993" i="1"/>
  <c r="N1993" i="1"/>
  <c r="M1977" i="1"/>
  <c r="N1977" i="1"/>
  <c r="M1961" i="1"/>
  <c r="N1961" i="1"/>
  <c r="M1945" i="1"/>
  <c r="N1945" i="1"/>
  <c r="M1921" i="1"/>
  <c r="N1921" i="1"/>
  <c r="M1905" i="1"/>
  <c r="N1905" i="1"/>
  <c r="M1889" i="1"/>
  <c r="N1889" i="1"/>
  <c r="M1865" i="1"/>
  <c r="N1865" i="1"/>
  <c r="M1849" i="1"/>
  <c r="N1849" i="1"/>
  <c r="M1833" i="1"/>
  <c r="N1833" i="1"/>
  <c r="M1817" i="1"/>
  <c r="N1817" i="1"/>
  <c r="M1793" i="1"/>
  <c r="N1793" i="1"/>
  <c r="M1777" i="1"/>
  <c r="N1777" i="1"/>
  <c r="M1753" i="1"/>
  <c r="N1753" i="1"/>
  <c r="M1737" i="1"/>
  <c r="N1737" i="1"/>
  <c r="M1721" i="1"/>
  <c r="N1721" i="1"/>
  <c r="M1705" i="1"/>
  <c r="N1705" i="1"/>
  <c r="N1681" i="1"/>
  <c r="M1681" i="1"/>
  <c r="N1665" i="1"/>
  <c r="M1665" i="1"/>
  <c r="N1649" i="1"/>
  <c r="M1649" i="1"/>
  <c r="N1633" i="1"/>
  <c r="M1633" i="1"/>
  <c r="N1617" i="1"/>
  <c r="M1617" i="1"/>
  <c r="N1601" i="1"/>
  <c r="M1601" i="1"/>
  <c r="N1577" i="1"/>
  <c r="M1577" i="1"/>
  <c r="N1561" i="1"/>
  <c r="M1561" i="1"/>
  <c r="N1545" i="1"/>
  <c r="M1545" i="1"/>
  <c r="N1529" i="1"/>
  <c r="M1529" i="1"/>
  <c r="N1513" i="1"/>
  <c r="M1513" i="1"/>
  <c r="N1497" i="1"/>
  <c r="M1497" i="1"/>
  <c r="N1481" i="1"/>
  <c r="M1481" i="1"/>
  <c r="N1465" i="1"/>
  <c r="M1465" i="1"/>
  <c r="N1449" i="1"/>
  <c r="M1449" i="1"/>
  <c r="N1433" i="1"/>
  <c r="M1433" i="1"/>
  <c r="N1417" i="1"/>
  <c r="M1417" i="1"/>
  <c r="N1401" i="1"/>
  <c r="M1401" i="1"/>
  <c r="N1385" i="1"/>
  <c r="M1385" i="1"/>
  <c r="N1369" i="1"/>
  <c r="M1369" i="1"/>
  <c r="N1345" i="1"/>
  <c r="M1345" i="1"/>
  <c r="N1329" i="1"/>
  <c r="M1329" i="1"/>
  <c r="N1313" i="1"/>
  <c r="M1313" i="1"/>
  <c r="N1289" i="1"/>
  <c r="M1289" i="1"/>
  <c r="N1273" i="1"/>
  <c r="M1273" i="1"/>
  <c r="N1233" i="1"/>
  <c r="M1233" i="1"/>
  <c r="N1153" i="1"/>
  <c r="M1153" i="1"/>
  <c r="N1137" i="1"/>
  <c r="M1137" i="1"/>
  <c r="N1121" i="1"/>
  <c r="M1121" i="1"/>
  <c r="N1097" i="1"/>
  <c r="M1097" i="1"/>
  <c r="M1081" i="1"/>
  <c r="N1081" i="1"/>
  <c r="M1065" i="1"/>
  <c r="N1065" i="1"/>
  <c r="M1049" i="1"/>
  <c r="N1049" i="1"/>
  <c r="M1033" i="1"/>
  <c r="N1033" i="1"/>
  <c r="M1017" i="1"/>
  <c r="N1017" i="1"/>
  <c r="M1001" i="1"/>
  <c r="N1001" i="1"/>
  <c r="M985" i="1"/>
  <c r="N985" i="1"/>
  <c r="M969" i="1"/>
  <c r="N969" i="1"/>
  <c r="M953" i="1"/>
  <c r="N953" i="1"/>
  <c r="M937" i="1"/>
  <c r="N937" i="1"/>
  <c r="M921" i="1"/>
  <c r="N921" i="1"/>
  <c r="N905" i="1"/>
  <c r="M905" i="1"/>
  <c r="N889" i="1"/>
  <c r="M889" i="1"/>
  <c r="N873" i="1"/>
  <c r="M873" i="1"/>
  <c r="N857" i="1"/>
  <c r="M857" i="1"/>
  <c r="N841" i="1"/>
  <c r="M841" i="1"/>
  <c r="N817" i="1"/>
  <c r="M817" i="1"/>
  <c r="N801" i="1"/>
  <c r="M801" i="1"/>
  <c r="N785" i="1"/>
  <c r="M785" i="1"/>
  <c r="N769" i="1"/>
  <c r="M769" i="1"/>
  <c r="N761" i="1"/>
  <c r="M761" i="1"/>
  <c r="N745" i="1"/>
  <c r="M745" i="1"/>
  <c r="M729" i="1"/>
  <c r="N729" i="1"/>
  <c r="M713" i="1"/>
  <c r="N713" i="1"/>
  <c r="M697" i="1"/>
  <c r="N697" i="1"/>
  <c r="M673" i="1"/>
  <c r="N673" i="1"/>
  <c r="M657" i="1"/>
  <c r="N657" i="1"/>
  <c r="M641" i="1"/>
  <c r="N641" i="1"/>
  <c r="M625" i="1"/>
  <c r="N625" i="1"/>
  <c r="M609" i="1"/>
  <c r="N609" i="1"/>
  <c r="M593" i="1"/>
  <c r="N593" i="1"/>
  <c r="M577" i="1"/>
  <c r="N577" i="1"/>
  <c r="M561" i="1"/>
  <c r="N561" i="1"/>
  <c r="M545" i="1"/>
  <c r="N545" i="1"/>
  <c r="M529" i="1"/>
  <c r="N529" i="1"/>
  <c r="M513" i="1"/>
  <c r="N513" i="1"/>
  <c r="M497" i="1"/>
  <c r="N497" i="1"/>
  <c r="M481" i="1"/>
  <c r="N481" i="1"/>
  <c r="M465" i="1"/>
  <c r="N465" i="1"/>
  <c r="M449" i="1"/>
  <c r="N449" i="1"/>
  <c r="M425" i="1"/>
  <c r="N425" i="1"/>
  <c r="M409" i="1"/>
  <c r="N409" i="1"/>
  <c r="M393" i="1"/>
  <c r="N393" i="1"/>
  <c r="M377" i="1"/>
  <c r="N377" i="1"/>
  <c r="M361" i="1"/>
  <c r="N361" i="1"/>
  <c r="M345" i="1"/>
  <c r="N345" i="1"/>
  <c r="N329" i="1"/>
  <c r="M329" i="1"/>
  <c r="N313" i="1"/>
  <c r="M313" i="1"/>
  <c r="N297" i="1"/>
  <c r="M297" i="1"/>
  <c r="N281" i="1"/>
  <c r="M281" i="1"/>
  <c r="N273" i="1"/>
  <c r="M273" i="1"/>
  <c r="N257" i="1"/>
  <c r="M257" i="1"/>
  <c r="N249" i="1"/>
  <c r="M249" i="1"/>
  <c r="N241" i="1"/>
  <c r="M241" i="1"/>
  <c r="N233" i="1"/>
  <c r="M233" i="1"/>
  <c r="N225" i="1"/>
  <c r="M225" i="1"/>
  <c r="N217" i="1"/>
  <c r="M217" i="1"/>
  <c r="N209" i="1"/>
  <c r="M209" i="1"/>
  <c r="N201" i="1"/>
  <c r="M201" i="1"/>
  <c r="N193" i="1"/>
  <c r="M193" i="1"/>
  <c r="N177" i="1"/>
  <c r="M177" i="1"/>
  <c r="N161" i="1"/>
  <c r="M161" i="1"/>
  <c r="N145" i="1"/>
  <c r="M145" i="1"/>
  <c r="N121" i="1"/>
  <c r="M121" i="1"/>
  <c r="N105" i="1"/>
  <c r="M105" i="1"/>
  <c r="N65" i="1"/>
  <c r="M65" i="1"/>
  <c r="N49" i="1"/>
  <c r="M49" i="1"/>
  <c r="N33" i="1"/>
  <c r="M33" i="1"/>
  <c r="N9" i="1"/>
  <c r="M9" i="1"/>
  <c r="N4095" i="1"/>
  <c r="N4079" i="1"/>
  <c r="N4063" i="1"/>
  <c r="N4047" i="1"/>
  <c r="N4031" i="1"/>
  <c r="N4015" i="1"/>
  <c r="N3999" i="1"/>
  <c r="N3983" i="1"/>
  <c r="N3967" i="1"/>
  <c r="N3951" i="1"/>
  <c r="N3935" i="1"/>
  <c r="N3919" i="1"/>
  <c r="N3903" i="1"/>
  <c r="N3887" i="1"/>
  <c r="N3871" i="1"/>
  <c r="N3855" i="1"/>
  <c r="N3839" i="1"/>
  <c r="N3823" i="1"/>
  <c r="N3807" i="1"/>
  <c r="N3791" i="1"/>
  <c r="N3775" i="1"/>
  <c r="N3759" i="1"/>
  <c r="N3743" i="1"/>
  <c r="N3727" i="1"/>
  <c r="N3711" i="1"/>
  <c r="N3695" i="1"/>
  <c r="N3679" i="1"/>
  <c r="N3663" i="1"/>
  <c r="N3647" i="1"/>
  <c r="N3631" i="1"/>
  <c r="N3613" i="1"/>
  <c r="M3592" i="1"/>
  <c r="N3570" i="1"/>
  <c r="N3513" i="1"/>
  <c r="N3449" i="1"/>
  <c r="N3385" i="1"/>
  <c r="N3321" i="1"/>
  <c r="N3257" i="1"/>
  <c r="N3170" i="1"/>
  <c r="M3032" i="1"/>
  <c r="N2860" i="1"/>
  <c r="M2637" i="1"/>
  <c r="M4074" i="1"/>
  <c r="N4074" i="1"/>
  <c r="M4034" i="1"/>
  <c r="N4034" i="1"/>
  <c r="M3986" i="1"/>
  <c r="N3986" i="1"/>
  <c r="M3946" i="1"/>
  <c r="N3946" i="1"/>
  <c r="M3906" i="1"/>
  <c r="N3906" i="1"/>
  <c r="M3858" i="1"/>
  <c r="N3858" i="1"/>
  <c r="M3826" i="1"/>
  <c r="N3826" i="1"/>
  <c r="M3778" i="1"/>
  <c r="N3778" i="1"/>
  <c r="M3730" i="1"/>
  <c r="N3730" i="1"/>
  <c r="M3690" i="1"/>
  <c r="N3690" i="1"/>
  <c r="M3650" i="1"/>
  <c r="N3650" i="1"/>
  <c r="M3562" i="1"/>
  <c r="N3562" i="1"/>
  <c r="M3530" i="1"/>
  <c r="N3530" i="1"/>
  <c r="M3482" i="1"/>
  <c r="N3482" i="1"/>
  <c r="M3442" i="1"/>
  <c r="N3442" i="1"/>
  <c r="M3378" i="1"/>
  <c r="N3378" i="1"/>
  <c r="M3330" i="1"/>
  <c r="N3330" i="1"/>
  <c r="M3298" i="1"/>
  <c r="N3298" i="1"/>
  <c r="M3258" i="1"/>
  <c r="N3258" i="1"/>
  <c r="M3218" i="1"/>
  <c r="N3218" i="1"/>
  <c r="M3098" i="1"/>
  <c r="N3098" i="1"/>
  <c r="N3058" i="1"/>
  <c r="M3058" i="1"/>
  <c r="N3018" i="1"/>
  <c r="M3018" i="1"/>
  <c r="N2978" i="1"/>
  <c r="M2978" i="1"/>
  <c r="N2930" i="1"/>
  <c r="M2930" i="1"/>
  <c r="N2898" i="1"/>
  <c r="M2898" i="1"/>
  <c r="N2850" i="1"/>
  <c r="M2850" i="1"/>
  <c r="N2810" i="1"/>
  <c r="M2810" i="1"/>
  <c r="N2754" i="1"/>
  <c r="M2754" i="1"/>
  <c r="M2706" i="1"/>
  <c r="N2706" i="1"/>
  <c r="M2666" i="1"/>
  <c r="N2666" i="1"/>
  <c r="M2618" i="1"/>
  <c r="N2618" i="1"/>
  <c r="M2570" i="1"/>
  <c r="N2570" i="1"/>
  <c r="M2530" i="1"/>
  <c r="N2530" i="1"/>
  <c r="M2490" i="1"/>
  <c r="N2490" i="1"/>
  <c r="M2450" i="1"/>
  <c r="N2450" i="1"/>
  <c r="M2410" i="1"/>
  <c r="N2410" i="1"/>
  <c r="M2370" i="1"/>
  <c r="N2370" i="1"/>
  <c r="M2330" i="1"/>
  <c r="N2330" i="1"/>
  <c r="M2266" i="1"/>
  <c r="N2266" i="1"/>
  <c r="M2226" i="1"/>
  <c r="N2226" i="1"/>
  <c r="M2178" i="1"/>
  <c r="N2178" i="1"/>
  <c r="M2130" i="1"/>
  <c r="N2130" i="1"/>
  <c r="M2082" i="1"/>
  <c r="N2082" i="1"/>
  <c r="M2042" i="1"/>
  <c r="N2042" i="1"/>
  <c r="M2002" i="1"/>
  <c r="N2002" i="1"/>
  <c r="M1954" i="1"/>
  <c r="N1954" i="1"/>
  <c r="M1914" i="1"/>
  <c r="N1914" i="1"/>
  <c r="N1874" i="1"/>
  <c r="M1874" i="1"/>
  <c r="N1826" i="1"/>
  <c r="M1826" i="1"/>
  <c r="M1786" i="1"/>
  <c r="N1786" i="1"/>
  <c r="M1730" i="1"/>
  <c r="N1730" i="1"/>
  <c r="M1690" i="1"/>
  <c r="N1690" i="1"/>
  <c r="M1650" i="1"/>
  <c r="N1650" i="1"/>
  <c r="M1602" i="1"/>
  <c r="N1602" i="1"/>
  <c r="N1570" i="1"/>
  <c r="M1570" i="1"/>
  <c r="M1530" i="1"/>
  <c r="N1530" i="1"/>
  <c r="M1490" i="1"/>
  <c r="N1490" i="1"/>
  <c r="M1458" i="1"/>
  <c r="N1458" i="1"/>
  <c r="M1410" i="1"/>
  <c r="N1410" i="1"/>
  <c r="M1362" i="1"/>
  <c r="N1362" i="1"/>
  <c r="M1322" i="1"/>
  <c r="N1322" i="1"/>
  <c r="M1290" i="1"/>
  <c r="N1290" i="1"/>
  <c r="M1250" i="1"/>
  <c r="N1250" i="1"/>
  <c r="N1210" i="1"/>
  <c r="M1210" i="1"/>
  <c r="M1170" i="1"/>
  <c r="N1170" i="1"/>
  <c r="M1130" i="1"/>
  <c r="N1130" i="1"/>
  <c r="M1098" i="1"/>
  <c r="N1098" i="1"/>
  <c r="M1058" i="1"/>
  <c r="N1058" i="1"/>
  <c r="M1018" i="1"/>
  <c r="N1018" i="1"/>
  <c r="M970" i="1"/>
  <c r="N970" i="1"/>
  <c r="M930" i="1"/>
  <c r="N930" i="1"/>
  <c r="M898" i="1"/>
  <c r="N898" i="1"/>
  <c r="M850" i="1"/>
  <c r="N850" i="1"/>
  <c r="M802" i="1"/>
  <c r="N802" i="1"/>
  <c r="M762" i="1"/>
  <c r="N762" i="1"/>
  <c r="N722" i="1"/>
  <c r="M722" i="1"/>
  <c r="N682" i="1"/>
  <c r="M682" i="1"/>
  <c r="N650" i="1"/>
  <c r="M650" i="1"/>
  <c r="N602" i="1"/>
  <c r="M602" i="1"/>
  <c r="N570" i="1"/>
  <c r="M570" i="1"/>
  <c r="M530" i="1"/>
  <c r="N530" i="1"/>
  <c r="M490" i="1"/>
  <c r="N490" i="1"/>
  <c r="M458" i="1"/>
  <c r="N458" i="1"/>
  <c r="N410" i="1"/>
  <c r="M410" i="1"/>
  <c r="N362" i="1"/>
  <c r="M362" i="1"/>
  <c r="N330" i="1"/>
  <c r="M330" i="1"/>
  <c r="M290" i="1"/>
  <c r="N290" i="1"/>
  <c r="M258" i="1"/>
  <c r="N258" i="1"/>
  <c r="M218" i="1"/>
  <c r="N218" i="1"/>
  <c r="M186" i="1"/>
  <c r="N186" i="1"/>
  <c r="M146" i="1"/>
  <c r="N146" i="1"/>
  <c r="M98" i="1"/>
  <c r="N98" i="1"/>
  <c r="M66" i="1"/>
  <c r="N66" i="1"/>
  <c r="N2" i="1"/>
  <c r="M2" i="1"/>
  <c r="M3615" i="1"/>
  <c r="M3594" i="1"/>
  <c r="M3519" i="1"/>
  <c r="M3455" i="1"/>
  <c r="M3391" i="1"/>
  <c r="M3327" i="1"/>
  <c r="M3263" i="1"/>
  <c r="M3609" i="1"/>
  <c r="N3609" i="1"/>
  <c r="M3593" i="1"/>
  <c r="N3593" i="1"/>
  <c r="M3577" i="1"/>
  <c r="N3577" i="1"/>
  <c r="M3569" i="1"/>
  <c r="N3569" i="1"/>
  <c r="M3521" i="1"/>
  <c r="N3521" i="1"/>
  <c r="M3505" i="1"/>
  <c r="N3505" i="1"/>
  <c r="M3457" i="1"/>
  <c r="N3457" i="1"/>
  <c r="M3425" i="1"/>
  <c r="N3425" i="1"/>
  <c r="M3377" i="1"/>
  <c r="N3377" i="1"/>
  <c r="M3361" i="1"/>
  <c r="N3361" i="1"/>
  <c r="M3313" i="1"/>
  <c r="N3313" i="1"/>
  <c r="M3281" i="1"/>
  <c r="N3281" i="1"/>
  <c r="M3249" i="1"/>
  <c r="N3249" i="1"/>
  <c r="M3209" i="1"/>
  <c r="N3209" i="1"/>
  <c r="M3201" i="1"/>
  <c r="N3201" i="1"/>
  <c r="M3185" i="1"/>
  <c r="N3185" i="1"/>
  <c r="M3169" i="1"/>
  <c r="N3169" i="1"/>
  <c r="M3153" i="1"/>
  <c r="N3153" i="1"/>
  <c r="M3137" i="1"/>
  <c r="N3137" i="1"/>
  <c r="M3121" i="1"/>
  <c r="N3121" i="1"/>
  <c r="M3113" i="1"/>
  <c r="N3113" i="1"/>
  <c r="M3097" i="1"/>
  <c r="N3097" i="1"/>
  <c r="M3081" i="1"/>
  <c r="N3081" i="1"/>
  <c r="M3065" i="1"/>
  <c r="N3065" i="1"/>
  <c r="M3049" i="1"/>
  <c r="N3049" i="1"/>
  <c r="M3033" i="1"/>
  <c r="N3033" i="1"/>
  <c r="M3017" i="1"/>
  <c r="N3017" i="1"/>
  <c r="M3001" i="1"/>
  <c r="N3001" i="1"/>
  <c r="M2985" i="1"/>
  <c r="N2985" i="1"/>
  <c r="M2969" i="1"/>
  <c r="N2969" i="1"/>
  <c r="M2953" i="1"/>
  <c r="N2953" i="1"/>
  <c r="M2937" i="1"/>
  <c r="N2937" i="1"/>
  <c r="M2921" i="1"/>
  <c r="N2921" i="1"/>
  <c r="M2905" i="1"/>
  <c r="N2905" i="1"/>
  <c r="M2897" i="1"/>
  <c r="N2897" i="1"/>
  <c r="M2881" i="1"/>
  <c r="N2881" i="1"/>
  <c r="M2865" i="1"/>
  <c r="N2865" i="1"/>
  <c r="M2849" i="1"/>
  <c r="N2849" i="1"/>
  <c r="M2833" i="1"/>
  <c r="N2833" i="1"/>
  <c r="M2817" i="1"/>
  <c r="N2817" i="1"/>
  <c r="M2801" i="1"/>
  <c r="N2801" i="1"/>
  <c r="M2785" i="1"/>
  <c r="N2785" i="1"/>
  <c r="M2769" i="1"/>
  <c r="N2769" i="1"/>
  <c r="M2753" i="1"/>
  <c r="N2753" i="1"/>
  <c r="M2737" i="1"/>
  <c r="N2737" i="1"/>
  <c r="M2729" i="1"/>
  <c r="N2729" i="1"/>
  <c r="M2713" i="1"/>
  <c r="N2713" i="1"/>
  <c r="N2689" i="1"/>
  <c r="M2689" i="1"/>
  <c r="M2649" i="1"/>
  <c r="N2649" i="1"/>
  <c r="M2633" i="1"/>
  <c r="N2633" i="1"/>
  <c r="N2617" i="1"/>
  <c r="M2617" i="1"/>
  <c r="M2609" i="1"/>
  <c r="N2609" i="1"/>
  <c r="M2593" i="1"/>
  <c r="N2593" i="1"/>
  <c r="N2577" i="1"/>
  <c r="M2577" i="1"/>
  <c r="N2569" i="1"/>
  <c r="M2569" i="1"/>
  <c r="N2553" i="1"/>
  <c r="M2553" i="1"/>
  <c r="N2545" i="1"/>
  <c r="M2545" i="1"/>
  <c r="N2537" i="1"/>
  <c r="M2537" i="1"/>
  <c r="N2529" i="1"/>
  <c r="M2529" i="1"/>
  <c r="N2521" i="1"/>
  <c r="M2521" i="1"/>
  <c r="N2513" i="1"/>
  <c r="M2513" i="1"/>
  <c r="N2505" i="1"/>
  <c r="M2505" i="1"/>
  <c r="N2489" i="1"/>
  <c r="M2489" i="1"/>
  <c r="N2481" i="1"/>
  <c r="M2481" i="1"/>
  <c r="N2473" i="1"/>
  <c r="M2473" i="1"/>
  <c r="N2465" i="1"/>
  <c r="M2465" i="1"/>
  <c r="N2457" i="1"/>
  <c r="M2457" i="1"/>
  <c r="N2449" i="1"/>
  <c r="M2449" i="1"/>
  <c r="N2441" i="1"/>
  <c r="M2441" i="1"/>
  <c r="N2433" i="1"/>
  <c r="M2433" i="1"/>
  <c r="N2425" i="1"/>
  <c r="M2425" i="1"/>
  <c r="N2417" i="1"/>
  <c r="M2417" i="1"/>
  <c r="N2409" i="1"/>
  <c r="M2409" i="1"/>
  <c r="N2401" i="1"/>
  <c r="M2401" i="1"/>
  <c r="N2393" i="1"/>
  <c r="M2393" i="1"/>
  <c r="N2385" i="1"/>
  <c r="M2385" i="1"/>
  <c r="N2377" i="1"/>
  <c r="M2377" i="1"/>
  <c r="N2369" i="1"/>
  <c r="M2369" i="1"/>
  <c r="N2361" i="1"/>
  <c r="M2361" i="1"/>
  <c r="N2353" i="1"/>
  <c r="M2353" i="1"/>
  <c r="N2345" i="1"/>
  <c r="M2345" i="1"/>
  <c r="M2337" i="1"/>
  <c r="N2337" i="1"/>
  <c r="M2329" i="1"/>
  <c r="N2329" i="1"/>
  <c r="M2321" i="1"/>
  <c r="N2321" i="1"/>
  <c r="M2313" i="1"/>
  <c r="N2313" i="1"/>
  <c r="M2305" i="1"/>
  <c r="N2305" i="1"/>
  <c r="M2297" i="1"/>
  <c r="N2297" i="1"/>
  <c r="M2289" i="1"/>
  <c r="N2289" i="1"/>
  <c r="M2281" i="1"/>
  <c r="N2281" i="1"/>
  <c r="M2273" i="1"/>
  <c r="N2273" i="1"/>
  <c r="M2265" i="1"/>
  <c r="N2265" i="1"/>
  <c r="M2257" i="1"/>
  <c r="N2257" i="1"/>
  <c r="M2249" i="1"/>
  <c r="N2249" i="1"/>
  <c r="M2241" i="1"/>
  <c r="N2241" i="1"/>
  <c r="M2233" i="1"/>
  <c r="N2233" i="1"/>
  <c r="M2225" i="1"/>
  <c r="N2225" i="1"/>
  <c r="M2217" i="1"/>
  <c r="N2217" i="1"/>
  <c r="M2209" i="1"/>
  <c r="N2209" i="1"/>
  <c r="M2201" i="1"/>
  <c r="N2201" i="1"/>
  <c r="M2193" i="1"/>
  <c r="N2193" i="1"/>
  <c r="M2185" i="1"/>
  <c r="N2185" i="1"/>
  <c r="M2177" i="1"/>
  <c r="N2177" i="1"/>
  <c r="M2169" i="1"/>
  <c r="N2169" i="1"/>
  <c r="M2153" i="1"/>
  <c r="N2153" i="1"/>
  <c r="M2137" i="1"/>
  <c r="N2137" i="1"/>
  <c r="M2121" i="1"/>
  <c r="N2121" i="1"/>
  <c r="M2113" i="1"/>
  <c r="N2113" i="1"/>
  <c r="M2097" i="1"/>
  <c r="N2097" i="1"/>
  <c r="M2081" i="1"/>
  <c r="N2081" i="1"/>
  <c r="M2065" i="1"/>
  <c r="N2065" i="1"/>
  <c r="M2057" i="1"/>
  <c r="N2057" i="1"/>
  <c r="M2041" i="1"/>
  <c r="N2041" i="1"/>
  <c r="M2025" i="1"/>
  <c r="N2025" i="1"/>
  <c r="M2009" i="1"/>
  <c r="N2009" i="1"/>
  <c r="M2001" i="1"/>
  <c r="N2001" i="1"/>
  <c r="M1985" i="1"/>
  <c r="N1985" i="1"/>
  <c r="M1969" i="1"/>
  <c r="N1969" i="1"/>
  <c r="M1953" i="1"/>
  <c r="N1953" i="1"/>
  <c r="M1937" i="1"/>
  <c r="N1937" i="1"/>
  <c r="M1929" i="1"/>
  <c r="N1929" i="1"/>
  <c r="M1913" i="1"/>
  <c r="N1913" i="1"/>
  <c r="M1897" i="1"/>
  <c r="N1897" i="1"/>
  <c r="M1881" i="1"/>
  <c r="N1881" i="1"/>
  <c r="M1873" i="1"/>
  <c r="N1873" i="1"/>
  <c r="M1857" i="1"/>
  <c r="N1857" i="1"/>
  <c r="M1841" i="1"/>
  <c r="N1841" i="1"/>
  <c r="M1825" i="1"/>
  <c r="N1825" i="1"/>
  <c r="M1809" i="1"/>
  <c r="N1809" i="1"/>
  <c r="M1801" i="1"/>
  <c r="N1801" i="1"/>
  <c r="M1785" i="1"/>
  <c r="N1785" i="1"/>
  <c r="M1769" i="1"/>
  <c r="N1769" i="1"/>
  <c r="M1761" i="1"/>
  <c r="N1761" i="1"/>
  <c r="M1745" i="1"/>
  <c r="N1745" i="1"/>
  <c r="M1729" i="1"/>
  <c r="N1729" i="1"/>
  <c r="M1713" i="1"/>
  <c r="N1713" i="1"/>
  <c r="N1697" i="1"/>
  <c r="M1697" i="1"/>
  <c r="N1689" i="1"/>
  <c r="M1689" i="1"/>
  <c r="N1673" i="1"/>
  <c r="M1673" i="1"/>
  <c r="N1657" i="1"/>
  <c r="M1657" i="1"/>
  <c r="N1641" i="1"/>
  <c r="M1641" i="1"/>
  <c r="N1625" i="1"/>
  <c r="M1625" i="1"/>
  <c r="N1609" i="1"/>
  <c r="M1609" i="1"/>
  <c r="N1593" i="1"/>
  <c r="M1593" i="1"/>
  <c r="N1585" i="1"/>
  <c r="M1585" i="1"/>
  <c r="N1569" i="1"/>
  <c r="M1569" i="1"/>
  <c r="N1553" i="1"/>
  <c r="M1553" i="1"/>
  <c r="N1537" i="1"/>
  <c r="M1537" i="1"/>
  <c r="N1521" i="1"/>
  <c r="M1521" i="1"/>
  <c r="N1505" i="1"/>
  <c r="M1505" i="1"/>
  <c r="N1489" i="1"/>
  <c r="M1489" i="1"/>
  <c r="N1473" i="1"/>
  <c r="M1473" i="1"/>
  <c r="N1457" i="1"/>
  <c r="M1457" i="1"/>
  <c r="N1441" i="1"/>
  <c r="M1441" i="1"/>
  <c r="N1425" i="1"/>
  <c r="M1425" i="1"/>
  <c r="N1409" i="1"/>
  <c r="M1409" i="1"/>
  <c r="N1393" i="1"/>
  <c r="M1393" i="1"/>
  <c r="N1377" i="1"/>
  <c r="M1377" i="1"/>
  <c r="N1361" i="1"/>
  <c r="M1361" i="1"/>
  <c r="N1353" i="1"/>
  <c r="M1353" i="1"/>
  <c r="N1337" i="1"/>
  <c r="M1337" i="1"/>
  <c r="N1321" i="1"/>
  <c r="M1321" i="1"/>
  <c r="N1305" i="1"/>
  <c r="M1305" i="1"/>
  <c r="N1297" i="1"/>
  <c r="M1297" i="1"/>
  <c r="N1281" i="1"/>
  <c r="M1281" i="1"/>
  <c r="N1265" i="1"/>
  <c r="M1265" i="1"/>
  <c r="N1257" i="1"/>
  <c r="M1257" i="1"/>
  <c r="N1249" i="1"/>
  <c r="M1249" i="1"/>
  <c r="N1241" i="1"/>
  <c r="M1241" i="1"/>
  <c r="N1225" i="1"/>
  <c r="M1225" i="1"/>
  <c r="N1217" i="1"/>
  <c r="M1217" i="1"/>
  <c r="N1209" i="1"/>
  <c r="M1209" i="1"/>
  <c r="N1201" i="1"/>
  <c r="M1201" i="1"/>
  <c r="N1193" i="1"/>
  <c r="M1193" i="1"/>
  <c r="N1185" i="1"/>
  <c r="M1185" i="1"/>
  <c r="N1177" i="1"/>
  <c r="M1177" i="1"/>
  <c r="N1169" i="1"/>
  <c r="M1169" i="1"/>
  <c r="N1161" i="1"/>
  <c r="M1161" i="1"/>
  <c r="N1145" i="1"/>
  <c r="M1145" i="1"/>
  <c r="N1129" i="1"/>
  <c r="M1129" i="1"/>
  <c r="N1113" i="1"/>
  <c r="M1113" i="1"/>
  <c r="N1105" i="1"/>
  <c r="M1105" i="1"/>
  <c r="N1089" i="1"/>
  <c r="M1089" i="1"/>
  <c r="M1073" i="1"/>
  <c r="N1073" i="1"/>
  <c r="M1057" i="1"/>
  <c r="N1057" i="1"/>
  <c r="M1041" i="1"/>
  <c r="N1041" i="1"/>
  <c r="M1025" i="1"/>
  <c r="N1025" i="1"/>
  <c r="M1009" i="1"/>
  <c r="N1009" i="1"/>
  <c r="M993" i="1"/>
  <c r="N993" i="1"/>
  <c r="M977" i="1"/>
  <c r="N977" i="1"/>
  <c r="M961" i="1"/>
  <c r="N961" i="1"/>
  <c r="M945" i="1"/>
  <c r="N945" i="1"/>
  <c r="M929" i="1"/>
  <c r="N929" i="1"/>
  <c r="M913" i="1"/>
  <c r="N913" i="1"/>
  <c r="N897" i="1"/>
  <c r="M897" i="1"/>
  <c r="N881" i="1"/>
  <c r="M881" i="1"/>
  <c r="N865" i="1"/>
  <c r="M865" i="1"/>
  <c r="N849" i="1"/>
  <c r="M849" i="1"/>
  <c r="N833" i="1"/>
  <c r="M833" i="1"/>
  <c r="N825" i="1"/>
  <c r="M825" i="1"/>
  <c r="N809" i="1"/>
  <c r="M809" i="1"/>
  <c r="N793" i="1"/>
  <c r="M793" i="1"/>
  <c r="N777" i="1"/>
  <c r="M777" i="1"/>
  <c r="N753" i="1"/>
  <c r="M753" i="1"/>
  <c r="M737" i="1"/>
  <c r="N737" i="1"/>
  <c r="M721" i="1"/>
  <c r="N721" i="1"/>
  <c r="M705" i="1"/>
  <c r="N705" i="1"/>
  <c r="M689" i="1"/>
  <c r="N689" i="1"/>
  <c r="M681" i="1"/>
  <c r="N681" i="1"/>
  <c r="M665" i="1"/>
  <c r="N665" i="1"/>
  <c r="M649" i="1"/>
  <c r="N649" i="1"/>
  <c r="M633" i="1"/>
  <c r="N633" i="1"/>
  <c r="M617" i="1"/>
  <c r="N617" i="1"/>
  <c r="M601" i="1"/>
  <c r="N601" i="1"/>
  <c r="M585" i="1"/>
  <c r="N585" i="1"/>
  <c r="M569" i="1"/>
  <c r="N569" i="1"/>
  <c r="M553" i="1"/>
  <c r="N553" i="1"/>
  <c r="M537" i="1"/>
  <c r="N537" i="1"/>
  <c r="M521" i="1"/>
  <c r="N521" i="1"/>
  <c r="M505" i="1"/>
  <c r="N505" i="1"/>
  <c r="M489" i="1"/>
  <c r="N489" i="1"/>
  <c r="M473" i="1"/>
  <c r="N473" i="1"/>
  <c r="M457" i="1"/>
  <c r="N457" i="1"/>
  <c r="M441" i="1"/>
  <c r="N441" i="1"/>
  <c r="M433" i="1"/>
  <c r="N433" i="1"/>
  <c r="M417" i="1"/>
  <c r="N417" i="1"/>
  <c r="M401" i="1"/>
  <c r="N401" i="1"/>
  <c r="M385" i="1"/>
  <c r="N385" i="1"/>
  <c r="M369" i="1"/>
  <c r="N369" i="1"/>
  <c r="M353" i="1"/>
  <c r="N353" i="1"/>
  <c r="N337" i="1"/>
  <c r="M337" i="1"/>
  <c r="N321" i="1"/>
  <c r="M321" i="1"/>
  <c r="N305" i="1"/>
  <c r="M305" i="1"/>
  <c r="N289" i="1"/>
  <c r="M289" i="1"/>
  <c r="N265" i="1"/>
  <c r="M265" i="1"/>
  <c r="N185" i="1"/>
  <c r="M185" i="1"/>
  <c r="N169" i="1"/>
  <c r="M169" i="1"/>
  <c r="N153" i="1"/>
  <c r="M153" i="1"/>
  <c r="N137" i="1"/>
  <c r="M137" i="1"/>
  <c r="N129" i="1"/>
  <c r="M129" i="1"/>
  <c r="N113" i="1"/>
  <c r="M113" i="1"/>
  <c r="N97" i="1"/>
  <c r="M97" i="1"/>
  <c r="N89" i="1"/>
  <c r="M89" i="1"/>
  <c r="N81" i="1"/>
  <c r="M81" i="1"/>
  <c r="N73" i="1"/>
  <c r="M73" i="1"/>
  <c r="N57" i="1"/>
  <c r="M57" i="1"/>
  <c r="N41" i="1"/>
  <c r="M41" i="1"/>
  <c r="N25" i="1"/>
  <c r="M25" i="1"/>
  <c r="N17" i="1"/>
  <c r="M17" i="1"/>
  <c r="M4112" i="1"/>
  <c r="N4112" i="1"/>
  <c r="M4104" i="1"/>
  <c r="N4104" i="1"/>
  <c r="M4096" i="1"/>
  <c r="N4096" i="1"/>
  <c r="M4088" i="1"/>
  <c r="N4088" i="1"/>
  <c r="M4080" i="1"/>
  <c r="N4080" i="1"/>
  <c r="M4072" i="1"/>
  <c r="N4072" i="1"/>
  <c r="M4064" i="1"/>
  <c r="N4064" i="1"/>
  <c r="M4056" i="1"/>
  <c r="N4056" i="1"/>
  <c r="M4048" i="1"/>
  <c r="N4048" i="1"/>
  <c r="M4040" i="1"/>
  <c r="N4040" i="1"/>
  <c r="M4032" i="1"/>
  <c r="N4032" i="1"/>
  <c r="M4024" i="1"/>
  <c r="N4024" i="1"/>
  <c r="M4016" i="1"/>
  <c r="N4016" i="1"/>
  <c r="M4008" i="1"/>
  <c r="N4008" i="1"/>
  <c r="M4000" i="1"/>
  <c r="N4000" i="1"/>
  <c r="M3992" i="1"/>
  <c r="N3992" i="1"/>
  <c r="M3984" i="1"/>
  <c r="N3984" i="1"/>
  <c r="M3976" i="1"/>
  <c r="N3976" i="1"/>
  <c r="M3968" i="1"/>
  <c r="N3968" i="1"/>
  <c r="M3960" i="1"/>
  <c r="N3960" i="1"/>
  <c r="M3952" i="1"/>
  <c r="N3952" i="1"/>
  <c r="M3944" i="1"/>
  <c r="N3944" i="1"/>
  <c r="M3936" i="1"/>
  <c r="N3936" i="1"/>
  <c r="M3928" i="1"/>
  <c r="N3928" i="1"/>
  <c r="M3920" i="1"/>
  <c r="N3920" i="1"/>
  <c r="M3912" i="1"/>
  <c r="N3912" i="1"/>
  <c r="M3904" i="1"/>
  <c r="N3904" i="1"/>
  <c r="M3896" i="1"/>
  <c r="N3896" i="1"/>
  <c r="M3888" i="1"/>
  <c r="N3888" i="1"/>
  <c r="M3880" i="1"/>
  <c r="N3880" i="1"/>
  <c r="M3872" i="1"/>
  <c r="N3872" i="1"/>
  <c r="M3864" i="1"/>
  <c r="N3864" i="1"/>
  <c r="M3856" i="1"/>
  <c r="N3856" i="1"/>
  <c r="M3848" i="1"/>
  <c r="N3848" i="1"/>
  <c r="M3840" i="1"/>
  <c r="N3840" i="1"/>
  <c r="M3832" i="1"/>
  <c r="N3832" i="1"/>
  <c r="M3824" i="1"/>
  <c r="N3824" i="1"/>
  <c r="M3816" i="1"/>
  <c r="N3816" i="1"/>
  <c r="M3808" i="1"/>
  <c r="N3808" i="1"/>
  <c r="M3800" i="1"/>
  <c r="N3800" i="1"/>
  <c r="M3792" i="1"/>
  <c r="N3792" i="1"/>
  <c r="M3784" i="1"/>
  <c r="N3784" i="1"/>
  <c r="M3776" i="1"/>
  <c r="N3776" i="1"/>
  <c r="M3768" i="1"/>
  <c r="N3768" i="1"/>
  <c r="M3760" i="1"/>
  <c r="N3760" i="1"/>
  <c r="M3752" i="1"/>
  <c r="N3752" i="1"/>
  <c r="M3744" i="1"/>
  <c r="N3744" i="1"/>
  <c r="M3736" i="1"/>
  <c r="N3736" i="1"/>
  <c r="M3728" i="1"/>
  <c r="N3728" i="1"/>
  <c r="M3720" i="1"/>
  <c r="N3720" i="1"/>
  <c r="M3712" i="1"/>
  <c r="N3712" i="1"/>
  <c r="M3704" i="1"/>
  <c r="N3704" i="1"/>
  <c r="M3696" i="1"/>
  <c r="N3696" i="1"/>
  <c r="M3688" i="1"/>
  <c r="N3688" i="1"/>
  <c r="M3680" i="1"/>
  <c r="N3680" i="1"/>
  <c r="M3672" i="1"/>
  <c r="N3672" i="1"/>
  <c r="M3664" i="1"/>
  <c r="N3664" i="1"/>
  <c r="M3656" i="1"/>
  <c r="N3656" i="1"/>
  <c r="M3648" i="1"/>
  <c r="N3648" i="1"/>
  <c r="M3640" i="1"/>
  <c r="N3640" i="1"/>
  <c r="M3632" i="1"/>
  <c r="N3632" i="1"/>
  <c r="M3624" i="1"/>
  <c r="N3624" i="1"/>
  <c r="M3616" i="1"/>
  <c r="N3616" i="1"/>
  <c r="M3600" i="1"/>
  <c r="N3600" i="1"/>
  <c r="M3584" i="1"/>
  <c r="N3584" i="1"/>
  <c r="M3568" i="1"/>
  <c r="N3568" i="1"/>
  <c r="M3560" i="1"/>
  <c r="N3560" i="1"/>
  <c r="M3552" i="1"/>
  <c r="N3552" i="1"/>
  <c r="M3544" i="1"/>
  <c r="N3544" i="1"/>
  <c r="M3536" i="1"/>
  <c r="N3536" i="1"/>
  <c r="M3528" i="1"/>
  <c r="N3528" i="1"/>
  <c r="M3520" i="1"/>
  <c r="N3520" i="1"/>
  <c r="M3512" i="1"/>
  <c r="N3512" i="1"/>
  <c r="M3504" i="1"/>
  <c r="N3504" i="1"/>
  <c r="M3496" i="1"/>
  <c r="N3496" i="1"/>
  <c r="M3488" i="1"/>
  <c r="N3488" i="1"/>
  <c r="M3480" i="1"/>
  <c r="N3480" i="1"/>
  <c r="M3472" i="1"/>
  <c r="N3472" i="1"/>
  <c r="M3464" i="1"/>
  <c r="N3464" i="1"/>
  <c r="M3456" i="1"/>
  <c r="N3456" i="1"/>
  <c r="M3448" i="1"/>
  <c r="N3448" i="1"/>
  <c r="M3440" i="1"/>
  <c r="N3440" i="1"/>
  <c r="M3432" i="1"/>
  <c r="N3432" i="1"/>
  <c r="M3424" i="1"/>
  <c r="N3424" i="1"/>
  <c r="M3416" i="1"/>
  <c r="N3416" i="1"/>
  <c r="M3408" i="1"/>
  <c r="N3408" i="1"/>
  <c r="M3400" i="1"/>
  <c r="N3400" i="1"/>
  <c r="M3392" i="1"/>
  <c r="N3392" i="1"/>
  <c r="M3384" i="1"/>
  <c r="N3384" i="1"/>
  <c r="M3376" i="1"/>
  <c r="N3376" i="1"/>
  <c r="M3368" i="1"/>
  <c r="N3368" i="1"/>
  <c r="M3360" i="1"/>
  <c r="N3360" i="1"/>
  <c r="M3352" i="1"/>
  <c r="N3352" i="1"/>
  <c r="M3344" i="1"/>
  <c r="N3344" i="1"/>
  <c r="M3336" i="1"/>
  <c r="N3336" i="1"/>
  <c r="M3328" i="1"/>
  <c r="N3328" i="1"/>
  <c r="M3320" i="1"/>
  <c r="N3320" i="1"/>
  <c r="M3312" i="1"/>
  <c r="N3312" i="1"/>
  <c r="M3304" i="1"/>
  <c r="N3304" i="1"/>
  <c r="M3296" i="1"/>
  <c r="N3296" i="1"/>
  <c r="M3288" i="1"/>
  <c r="N3288" i="1"/>
  <c r="M3280" i="1"/>
  <c r="N3280" i="1"/>
  <c r="M3272" i="1"/>
  <c r="N3272" i="1"/>
  <c r="M3264" i="1"/>
  <c r="N3264" i="1"/>
  <c r="M3256" i="1"/>
  <c r="N3256" i="1"/>
  <c r="M3248" i="1"/>
  <c r="N3248" i="1"/>
  <c r="M3240" i="1"/>
  <c r="N3240" i="1"/>
  <c r="M3232" i="1"/>
  <c r="N3232" i="1"/>
  <c r="M3224" i="1"/>
  <c r="N3224" i="1"/>
  <c r="M3216" i="1"/>
  <c r="N3216" i="1"/>
  <c r="M3208" i="1"/>
  <c r="N3208" i="1"/>
  <c r="M3200" i="1"/>
  <c r="N3200" i="1"/>
  <c r="M3192" i="1"/>
  <c r="N3192" i="1"/>
  <c r="M3184" i="1"/>
  <c r="N3184" i="1"/>
  <c r="M3176" i="1"/>
  <c r="N3176" i="1"/>
  <c r="M3168" i="1"/>
  <c r="N3168" i="1"/>
  <c r="M3160" i="1"/>
  <c r="N3160" i="1"/>
  <c r="M3152" i="1"/>
  <c r="N3152" i="1"/>
  <c r="M3144" i="1"/>
  <c r="N3144" i="1"/>
  <c r="M3136" i="1"/>
  <c r="N3136" i="1"/>
  <c r="M3128" i="1"/>
  <c r="N3128" i="1"/>
  <c r="M3120" i="1"/>
  <c r="N3120" i="1"/>
  <c r="M3112" i="1"/>
  <c r="N3112" i="1"/>
  <c r="M3104" i="1"/>
  <c r="N3104" i="1"/>
  <c r="M3096" i="1"/>
  <c r="N3096" i="1"/>
  <c r="M3088" i="1"/>
  <c r="N3088" i="1"/>
  <c r="M3080" i="1"/>
  <c r="N3080" i="1"/>
  <c r="M3072" i="1"/>
  <c r="N3072" i="1"/>
  <c r="N3064" i="1"/>
  <c r="M3064" i="1"/>
  <c r="M3056" i="1"/>
  <c r="N3056" i="1"/>
  <c r="M3048" i="1"/>
  <c r="N3048" i="1"/>
  <c r="M3040" i="1"/>
  <c r="N3040" i="1"/>
  <c r="M3024" i="1"/>
  <c r="N3024" i="1"/>
  <c r="M3016" i="1"/>
  <c r="N3016" i="1"/>
  <c r="M3008" i="1"/>
  <c r="N3008" i="1"/>
  <c r="N3000" i="1"/>
  <c r="M3000" i="1"/>
  <c r="M2992" i="1"/>
  <c r="N2992" i="1"/>
  <c r="M2984" i="1"/>
  <c r="N2984" i="1"/>
  <c r="M2976" i="1"/>
  <c r="N2976" i="1"/>
  <c r="N2968" i="1"/>
  <c r="M2968" i="1"/>
  <c r="M2952" i="1"/>
  <c r="N2952" i="1"/>
  <c r="M2944" i="1"/>
  <c r="N2944" i="1"/>
  <c r="N2936" i="1"/>
  <c r="M2936" i="1"/>
  <c r="M2928" i="1"/>
  <c r="N2928" i="1"/>
  <c r="M2920" i="1"/>
  <c r="N2920" i="1"/>
  <c r="M2912" i="1"/>
  <c r="N2912" i="1"/>
  <c r="M2896" i="1"/>
  <c r="N2896" i="1"/>
  <c r="M2888" i="1"/>
  <c r="N2888" i="1"/>
  <c r="M2880" i="1"/>
  <c r="N2880" i="1"/>
  <c r="N2872" i="1"/>
  <c r="M2872" i="1"/>
  <c r="M2864" i="1"/>
  <c r="N2864" i="1"/>
  <c r="M2856" i="1"/>
  <c r="N2856" i="1"/>
  <c r="M2848" i="1"/>
  <c r="N2848" i="1"/>
  <c r="N2840" i="1"/>
  <c r="M2840" i="1"/>
  <c r="M2824" i="1"/>
  <c r="N2824" i="1"/>
  <c r="M2816" i="1"/>
  <c r="N2816" i="1"/>
  <c r="N2808" i="1"/>
  <c r="M2808" i="1"/>
  <c r="M2800" i="1"/>
  <c r="N2800" i="1"/>
  <c r="M2792" i="1"/>
  <c r="N2792" i="1"/>
  <c r="M2784" i="1"/>
  <c r="N2784" i="1"/>
  <c r="M2768" i="1"/>
  <c r="N2768" i="1"/>
  <c r="M2760" i="1"/>
  <c r="N2760" i="1"/>
  <c r="M2752" i="1"/>
  <c r="N2752" i="1"/>
  <c r="N2744" i="1"/>
  <c r="M2744" i="1"/>
  <c r="M2736" i="1"/>
  <c r="N2736" i="1"/>
  <c r="M2728" i="1"/>
  <c r="N2728" i="1"/>
  <c r="M2720" i="1"/>
  <c r="N2720" i="1"/>
  <c r="M2712" i="1"/>
  <c r="N2712" i="1"/>
  <c r="M2704" i="1"/>
  <c r="N2704" i="1"/>
  <c r="M2696" i="1"/>
  <c r="N2696" i="1"/>
  <c r="M2688" i="1"/>
  <c r="N2688" i="1"/>
  <c r="M2680" i="1"/>
  <c r="N2680" i="1"/>
  <c r="M2672" i="1"/>
  <c r="N2672" i="1"/>
  <c r="M2664" i="1"/>
  <c r="N2664" i="1"/>
  <c r="M2656" i="1"/>
  <c r="N2656" i="1"/>
  <c r="M2648" i="1"/>
  <c r="N2648" i="1"/>
  <c r="M2640" i="1"/>
  <c r="N2640" i="1"/>
  <c r="M2632" i="1"/>
  <c r="N2632" i="1"/>
  <c r="M2624" i="1"/>
  <c r="N2624" i="1"/>
  <c r="M2616" i="1"/>
  <c r="N2616" i="1"/>
  <c r="M2608" i="1"/>
  <c r="N2608" i="1"/>
  <c r="M2600" i="1"/>
  <c r="N2600" i="1"/>
  <c r="M2592" i="1"/>
  <c r="N2592" i="1"/>
  <c r="M2584" i="1"/>
  <c r="N2584" i="1"/>
  <c r="M2576" i="1"/>
  <c r="N2576" i="1"/>
  <c r="M2568" i="1"/>
  <c r="N2568" i="1"/>
  <c r="M2560" i="1"/>
  <c r="N2560" i="1"/>
  <c r="M2552" i="1"/>
  <c r="N2552" i="1"/>
  <c r="M2544" i="1"/>
  <c r="N2544" i="1"/>
  <c r="M2536" i="1"/>
  <c r="N2536" i="1"/>
  <c r="M2528" i="1"/>
  <c r="N2528" i="1"/>
  <c r="M2520" i="1"/>
  <c r="N2520" i="1"/>
  <c r="M2512" i="1"/>
  <c r="N2512" i="1"/>
  <c r="M2504" i="1"/>
  <c r="N2504" i="1"/>
  <c r="M2496" i="1"/>
  <c r="N2496" i="1"/>
  <c r="M2488" i="1"/>
  <c r="N2488" i="1"/>
  <c r="M2480" i="1"/>
  <c r="N2480" i="1"/>
  <c r="M2472" i="1"/>
  <c r="N2472" i="1"/>
  <c r="M2464" i="1"/>
  <c r="N2464" i="1"/>
  <c r="M2456" i="1"/>
  <c r="N2456" i="1"/>
  <c r="M2448" i="1"/>
  <c r="N2448" i="1"/>
  <c r="M2440" i="1"/>
  <c r="N2440" i="1"/>
  <c r="M2432" i="1"/>
  <c r="N2432" i="1"/>
  <c r="M2424" i="1"/>
  <c r="N2424" i="1"/>
  <c r="M2416" i="1"/>
  <c r="N2416" i="1"/>
  <c r="M2408" i="1"/>
  <c r="N2408" i="1"/>
  <c r="M2400" i="1"/>
  <c r="N2400" i="1"/>
  <c r="M2392" i="1"/>
  <c r="N2392" i="1"/>
  <c r="M2384" i="1"/>
  <c r="N2384" i="1"/>
  <c r="M2376" i="1"/>
  <c r="N2376" i="1"/>
  <c r="M2368" i="1"/>
  <c r="N2368" i="1"/>
  <c r="M2360" i="1"/>
  <c r="N2360" i="1"/>
  <c r="M2352" i="1"/>
  <c r="N2352" i="1"/>
  <c r="M2344" i="1"/>
  <c r="N2344" i="1"/>
  <c r="N2336" i="1"/>
  <c r="M2336" i="1"/>
  <c r="N2328" i="1"/>
  <c r="M2328" i="1"/>
  <c r="N2320" i="1"/>
  <c r="M2320" i="1"/>
  <c r="N2312" i="1"/>
  <c r="M2312" i="1"/>
  <c r="N2304" i="1"/>
  <c r="M2304" i="1"/>
  <c r="N2296" i="1"/>
  <c r="M2296" i="1"/>
  <c r="N2288" i="1"/>
  <c r="M2288" i="1"/>
  <c r="N2280" i="1"/>
  <c r="M2280" i="1"/>
  <c r="N2272" i="1"/>
  <c r="M2272" i="1"/>
  <c r="N2264" i="1"/>
  <c r="M2264" i="1"/>
  <c r="N2256" i="1"/>
  <c r="M2256" i="1"/>
  <c r="N2248" i="1"/>
  <c r="M2248" i="1"/>
  <c r="N2240" i="1"/>
  <c r="M2240" i="1"/>
  <c r="N2232" i="1"/>
  <c r="M2232" i="1"/>
  <c r="N2224" i="1"/>
  <c r="M2224" i="1"/>
  <c r="N2216" i="1"/>
  <c r="M2216" i="1"/>
  <c r="N2208" i="1"/>
  <c r="M2208" i="1"/>
  <c r="N2200" i="1"/>
  <c r="M2200" i="1"/>
  <c r="N2192" i="1"/>
  <c r="M2192" i="1"/>
  <c r="N2184" i="1"/>
  <c r="M2184" i="1"/>
  <c r="N2176" i="1"/>
  <c r="M2176" i="1"/>
  <c r="N2168" i="1"/>
  <c r="M2168" i="1"/>
  <c r="N2160" i="1"/>
  <c r="M2160" i="1"/>
  <c r="N2152" i="1"/>
  <c r="M2152" i="1"/>
  <c r="N2144" i="1"/>
  <c r="M2144" i="1"/>
  <c r="N2136" i="1"/>
  <c r="M2136" i="1"/>
  <c r="N2128" i="1"/>
  <c r="M2128" i="1"/>
  <c r="N2120" i="1"/>
  <c r="M2120" i="1"/>
  <c r="N2112" i="1"/>
  <c r="M2112" i="1"/>
  <c r="N2104" i="1"/>
  <c r="M2104" i="1"/>
  <c r="N2096" i="1"/>
  <c r="M2096" i="1"/>
  <c r="N2088" i="1"/>
  <c r="M2088" i="1"/>
  <c r="N2080" i="1"/>
  <c r="M2080" i="1"/>
  <c r="N2072" i="1"/>
  <c r="M2072" i="1"/>
  <c r="N2064" i="1"/>
  <c r="M2064" i="1"/>
  <c r="N2056" i="1"/>
  <c r="M2056" i="1"/>
  <c r="N2048" i="1"/>
  <c r="M2048" i="1"/>
  <c r="N2040" i="1"/>
  <c r="M2040" i="1"/>
  <c r="N2032" i="1"/>
  <c r="M2032" i="1"/>
  <c r="N2024" i="1"/>
  <c r="M2024" i="1"/>
  <c r="N2016" i="1"/>
  <c r="M2016" i="1"/>
  <c r="N2000" i="1"/>
  <c r="M2000" i="1"/>
  <c r="N1992" i="1"/>
  <c r="M1992" i="1"/>
  <c r="N1984" i="1"/>
  <c r="M1984" i="1"/>
  <c r="N1976" i="1"/>
  <c r="M1976" i="1"/>
  <c r="N1968" i="1"/>
  <c r="M1968" i="1"/>
  <c r="N1960" i="1"/>
  <c r="M1960" i="1"/>
  <c r="N1952" i="1"/>
  <c r="M1952" i="1"/>
  <c r="N1944" i="1"/>
  <c r="M1944" i="1"/>
  <c r="N1936" i="1"/>
  <c r="M1936" i="1"/>
  <c r="N1928" i="1"/>
  <c r="M1928" i="1"/>
  <c r="N1920" i="1"/>
  <c r="M1920" i="1"/>
  <c r="N1912" i="1"/>
  <c r="M1912" i="1"/>
  <c r="M1904" i="1"/>
  <c r="N1904" i="1"/>
  <c r="M1896" i="1"/>
  <c r="N1896" i="1"/>
  <c r="M1888" i="1"/>
  <c r="N1888" i="1"/>
  <c r="M1880" i="1"/>
  <c r="N1880" i="1"/>
  <c r="M1872" i="1"/>
  <c r="N1872" i="1"/>
  <c r="M1864" i="1"/>
  <c r="N1864" i="1"/>
  <c r="M1856" i="1"/>
  <c r="N1856" i="1"/>
  <c r="M1848" i="1"/>
  <c r="N1848" i="1"/>
  <c r="M1840" i="1"/>
  <c r="N1840" i="1"/>
  <c r="M1832" i="1"/>
  <c r="N1832" i="1"/>
  <c r="M1824" i="1"/>
  <c r="N1824" i="1"/>
  <c r="M1816" i="1"/>
  <c r="N1816" i="1"/>
  <c r="N1808" i="1"/>
  <c r="M1808" i="1"/>
  <c r="N1800" i="1"/>
  <c r="M1800" i="1"/>
  <c r="N1792" i="1"/>
  <c r="M1792" i="1"/>
  <c r="N1784" i="1"/>
  <c r="M1784" i="1"/>
  <c r="N1776" i="1"/>
  <c r="M1776" i="1"/>
  <c r="M1768" i="1"/>
  <c r="N1768" i="1"/>
  <c r="M1760" i="1"/>
  <c r="N1760" i="1"/>
  <c r="M1752" i="1"/>
  <c r="N1752" i="1"/>
  <c r="M1744" i="1"/>
  <c r="N1744" i="1"/>
  <c r="M1736" i="1"/>
  <c r="N1736" i="1"/>
  <c r="M1728" i="1"/>
  <c r="N1728" i="1"/>
  <c r="M1720" i="1"/>
  <c r="N1720" i="1"/>
  <c r="M1712" i="1"/>
  <c r="N1712" i="1"/>
  <c r="M1704" i="1"/>
  <c r="N1704" i="1"/>
  <c r="M1696" i="1"/>
  <c r="N1696" i="1"/>
  <c r="M1688" i="1"/>
  <c r="N1688" i="1"/>
  <c r="M1680" i="1"/>
  <c r="N1680" i="1"/>
  <c r="M1672" i="1"/>
  <c r="N1672" i="1"/>
  <c r="M1664" i="1"/>
  <c r="N1664" i="1"/>
  <c r="M1656" i="1"/>
  <c r="N1656" i="1"/>
  <c r="M1648" i="1"/>
  <c r="N1648" i="1"/>
  <c r="M1640" i="1"/>
  <c r="N1640" i="1"/>
  <c r="M1632" i="1"/>
  <c r="N1632" i="1"/>
  <c r="M1624" i="1"/>
  <c r="N1624" i="1"/>
  <c r="M1616" i="1"/>
  <c r="N1616" i="1"/>
  <c r="M1608" i="1"/>
  <c r="N1608" i="1"/>
  <c r="M1600" i="1"/>
  <c r="N1600" i="1"/>
  <c r="M1592" i="1"/>
  <c r="N1592" i="1"/>
  <c r="M1584" i="1"/>
  <c r="N1584" i="1"/>
  <c r="M1576" i="1"/>
  <c r="N1576" i="1"/>
  <c r="M1568" i="1"/>
  <c r="N1568" i="1"/>
  <c r="M1560" i="1"/>
  <c r="N1560" i="1"/>
  <c r="M1552" i="1"/>
  <c r="N1552" i="1"/>
  <c r="M1544" i="1"/>
  <c r="N1544" i="1"/>
  <c r="M1536" i="1"/>
  <c r="N1536" i="1"/>
  <c r="M1528" i="1"/>
  <c r="N1528" i="1"/>
  <c r="M1520" i="1"/>
  <c r="N1520" i="1"/>
  <c r="M1512" i="1"/>
  <c r="N1512" i="1"/>
  <c r="M1504" i="1"/>
  <c r="N1504" i="1"/>
  <c r="M1496" i="1"/>
  <c r="N1496" i="1"/>
  <c r="M1488" i="1"/>
  <c r="N1488" i="1"/>
  <c r="M1480" i="1"/>
  <c r="N1480" i="1"/>
  <c r="M1472" i="1"/>
  <c r="N1472" i="1"/>
  <c r="M1464" i="1"/>
  <c r="N1464" i="1"/>
  <c r="M1456" i="1"/>
  <c r="N1456" i="1"/>
  <c r="M1448" i="1"/>
  <c r="N1448" i="1"/>
  <c r="M1440" i="1"/>
  <c r="N1440" i="1"/>
  <c r="M1432" i="1"/>
  <c r="N1432" i="1"/>
  <c r="M1424" i="1"/>
  <c r="N1424" i="1"/>
  <c r="M1416" i="1"/>
  <c r="N1416" i="1"/>
  <c r="M1408" i="1"/>
  <c r="N1408" i="1"/>
  <c r="M1400" i="1"/>
  <c r="N1400" i="1"/>
  <c r="M1392" i="1"/>
  <c r="N1392" i="1"/>
  <c r="M1384" i="1"/>
  <c r="N1384" i="1"/>
  <c r="M1376" i="1"/>
  <c r="N1376" i="1"/>
  <c r="M1368" i="1"/>
  <c r="N1368" i="1"/>
  <c r="M1360" i="1"/>
  <c r="N1360" i="1"/>
  <c r="M1352" i="1"/>
  <c r="N1352" i="1"/>
  <c r="M1344" i="1"/>
  <c r="N1344" i="1"/>
  <c r="M1336" i="1"/>
  <c r="N1336" i="1"/>
  <c r="M1328" i="1"/>
  <c r="N1328" i="1"/>
  <c r="M1320" i="1"/>
  <c r="N1320" i="1"/>
  <c r="M1312" i="1"/>
  <c r="N1312" i="1"/>
  <c r="M1304" i="1"/>
  <c r="N1304" i="1"/>
  <c r="M1296" i="1"/>
  <c r="N1296" i="1"/>
  <c r="M1288" i="1"/>
  <c r="N1288" i="1"/>
  <c r="M1280" i="1"/>
  <c r="N1280" i="1"/>
  <c r="M1272" i="1"/>
  <c r="N1272" i="1"/>
  <c r="M1264" i="1"/>
  <c r="N1264" i="1"/>
  <c r="M1256" i="1"/>
  <c r="N1256" i="1"/>
  <c r="M1248" i="1"/>
  <c r="N1248" i="1"/>
  <c r="M1240" i="1"/>
  <c r="N1240" i="1"/>
  <c r="M1232" i="1"/>
  <c r="N1232" i="1"/>
  <c r="M1224" i="1"/>
  <c r="N1224" i="1"/>
  <c r="M1216" i="1"/>
  <c r="N1216" i="1"/>
  <c r="M1208" i="1"/>
  <c r="N1208" i="1"/>
  <c r="M1200" i="1"/>
  <c r="N1200" i="1"/>
  <c r="M1192" i="1"/>
  <c r="N1192" i="1"/>
  <c r="M1184" i="1"/>
  <c r="N1184" i="1"/>
  <c r="M1176" i="1"/>
  <c r="N1176" i="1"/>
  <c r="M1168" i="1"/>
  <c r="N1168" i="1"/>
  <c r="M1160" i="1"/>
  <c r="N1160" i="1"/>
  <c r="M1152" i="1"/>
  <c r="N1152" i="1"/>
  <c r="M1144" i="1"/>
  <c r="N1144" i="1"/>
  <c r="M1136" i="1"/>
  <c r="N1136" i="1"/>
  <c r="M1128" i="1"/>
  <c r="N1128" i="1"/>
  <c r="M1120" i="1"/>
  <c r="N1120" i="1"/>
  <c r="M1112" i="1"/>
  <c r="N1112" i="1"/>
  <c r="M1104" i="1"/>
  <c r="N1104" i="1"/>
  <c r="M1096" i="1"/>
  <c r="N1096" i="1"/>
  <c r="M1088" i="1"/>
  <c r="N1088" i="1"/>
  <c r="M1080" i="1"/>
  <c r="N1080" i="1"/>
  <c r="M1072" i="1"/>
  <c r="N1072" i="1"/>
  <c r="M1064" i="1"/>
  <c r="N1064" i="1"/>
  <c r="M1056" i="1"/>
  <c r="N1056" i="1"/>
  <c r="M1048" i="1"/>
  <c r="N1048" i="1"/>
  <c r="M1040" i="1"/>
  <c r="N1040" i="1"/>
  <c r="M1032" i="1"/>
  <c r="N1032" i="1"/>
  <c r="M1024" i="1"/>
  <c r="N1024" i="1"/>
  <c r="M1016" i="1"/>
  <c r="N1016" i="1"/>
  <c r="M1008" i="1"/>
  <c r="N1008" i="1"/>
  <c r="M1000" i="1"/>
  <c r="N1000" i="1"/>
  <c r="M992" i="1"/>
  <c r="N992" i="1"/>
  <c r="M984" i="1"/>
  <c r="N984" i="1"/>
  <c r="M976" i="1"/>
  <c r="N976" i="1"/>
  <c r="M968" i="1"/>
  <c r="N968" i="1"/>
  <c r="M960" i="1"/>
  <c r="N960" i="1"/>
  <c r="M952" i="1"/>
  <c r="N952" i="1"/>
  <c r="M944" i="1"/>
  <c r="N944" i="1"/>
  <c r="M936" i="1"/>
  <c r="N936" i="1"/>
  <c r="M928" i="1"/>
  <c r="N928" i="1"/>
  <c r="M920" i="1"/>
  <c r="N920" i="1"/>
  <c r="M912" i="1"/>
  <c r="N912" i="1"/>
  <c r="M904" i="1"/>
  <c r="N904" i="1"/>
  <c r="N896" i="1"/>
  <c r="M896" i="1"/>
  <c r="N888" i="1"/>
  <c r="M888" i="1"/>
  <c r="N880" i="1"/>
  <c r="M880" i="1"/>
  <c r="N872" i="1"/>
  <c r="M872" i="1"/>
  <c r="N864" i="1"/>
  <c r="M864" i="1"/>
  <c r="N856" i="1"/>
  <c r="M856" i="1"/>
  <c r="N848" i="1"/>
  <c r="M848" i="1"/>
  <c r="N840" i="1"/>
  <c r="M840" i="1"/>
  <c r="N832" i="1"/>
  <c r="M832" i="1"/>
  <c r="M824" i="1"/>
  <c r="N824" i="1"/>
  <c r="M816" i="1"/>
  <c r="N816" i="1"/>
  <c r="M808" i="1"/>
  <c r="N808" i="1"/>
  <c r="M800" i="1"/>
  <c r="N800" i="1"/>
  <c r="M792" i="1"/>
  <c r="N792" i="1"/>
  <c r="M784" i="1"/>
  <c r="N784" i="1"/>
  <c r="M776" i="1"/>
  <c r="N776" i="1"/>
  <c r="M768" i="1"/>
  <c r="N768" i="1"/>
  <c r="M760" i="1"/>
  <c r="N760" i="1"/>
  <c r="M752" i="1"/>
  <c r="N752" i="1"/>
  <c r="M744" i="1"/>
  <c r="N744" i="1"/>
  <c r="M736" i="1"/>
  <c r="N736" i="1"/>
  <c r="M728" i="1"/>
  <c r="N728" i="1"/>
  <c r="M720" i="1"/>
  <c r="N720" i="1"/>
  <c r="M712" i="1"/>
  <c r="N712" i="1"/>
  <c r="M704" i="1"/>
  <c r="N704" i="1"/>
  <c r="M696" i="1"/>
  <c r="N696" i="1"/>
  <c r="M688" i="1"/>
  <c r="N688" i="1"/>
  <c r="M680" i="1"/>
  <c r="N680" i="1"/>
  <c r="M672" i="1"/>
  <c r="N672" i="1"/>
  <c r="M664" i="1"/>
  <c r="N664" i="1"/>
  <c r="M656" i="1"/>
  <c r="N656" i="1"/>
  <c r="M648" i="1"/>
  <c r="N648" i="1"/>
  <c r="M640" i="1"/>
  <c r="N640" i="1"/>
  <c r="M632" i="1"/>
  <c r="N632" i="1"/>
  <c r="M624" i="1"/>
  <c r="N624" i="1"/>
  <c r="M616" i="1"/>
  <c r="N616" i="1"/>
  <c r="M608" i="1"/>
  <c r="N608" i="1"/>
  <c r="M600" i="1"/>
  <c r="N600" i="1"/>
  <c r="M592" i="1"/>
  <c r="N592" i="1"/>
  <c r="M584" i="1"/>
  <c r="N584" i="1"/>
  <c r="M576" i="1"/>
  <c r="N576" i="1"/>
  <c r="M568" i="1"/>
  <c r="N568" i="1"/>
  <c r="M560" i="1"/>
  <c r="N560" i="1"/>
  <c r="M552" i="1"/>
  <c r="N552" i="1"/>
  <c r="M544" i="1"/>
  <c r="N544" i="1"/>
  <c r="M536" i="1"/>
  <c r="N536" i="1"/>
  <c r="N528" i="1"/>
  <c r="M528" i="1"/>
  <c r="N520" i="1"/>
  <c r="M520" i="1"/>
  <c r="N512" i="1"/>
  <c r="M512" i="1"/>
  <c r="N504" i="1"/>
  <c r="M504" i="1"/>
  <c r="N496" i="1"/>
  <c r="M496" i="1"/>
  <c r="N488" i="1"/>
  <c r="M488" i="1"/>
  <c r="N480" i="1"/>
  <c r="M480" i="1"/>
  <c r="N472" i="1"/>
  <c r="M472" i="1"/>
  <c r="N464" i="1"/>
  <c r="M464" i="1"/>
  <c r="N456" i="1"/>
  <c r="M456" i="1"/>
  <c r="N448" i="1"/>
  <c r="M448" i="1"/>
  <c r="N440" i="1"/>
  <c r="M440" i="1"/>
  <c r="N432" i="1"/>
  <c r="M432" i="1"/>
  <c r="N424" i="1"/>
  <c r="M424" i="1"/>
  <c r="N416" i="1"/>
  <c r="M416" i="1"/>
  <c r="N408" i="1"/>
  <c r="M408" i="1"/>
  <c r="N400" i="1"/>
  <c r="M400" i="1"/>
  <c r="N392" i="1"/>
  <c r="M392" i="1"/>
  <c r="N384" i="1"/>
  <c r="M384" i="1"/>
  <c r="N376" i="1"/>
  <c r="M376" i="1"/>
  <c r="N368" i="1"/>
  <c r="M368" i="1"/>
  <c r="N360" i="1"/>
  <c r="M360" i="1"/>
  <c r="N352" i="1"/>
  <c r="M352" i="1"/>
  <c r="N344" i="1"/>
  <c r="M344" i="1"/>
  <c r="M336" i="1"/>
  <c r="N336" i="1"/>
  <c r="M328" i="1"/>
  <c r="N328" i="1"/>
  <c r="M320" i="1"/>
  <c r="N320" i="1"/>
  <c r="M312" i="1"/>
  <c r="N312" i="1"/>
  <c r="M304" i="1"/>
  <c r="N304" i="1"/>
  <c r="M296" i="1"/>
  <c r="N296" i="1"/>
  <c r="M288" i="1"/>
  <c r="N288" i="1"/>
  <c r="M280" i="1"/>
  <c r="N280" i="1"/>
  <c r="M272" i="1"/>
  <c r="N272" i="1"/>
  <c r="M264" i="1"/>
  <c r="N264" i="1"/>
  <c r="M256" i="1"/>
  <c r="N256" i="1"/>
  <c r="M248" i="1"/>
  <c r="N248" i="1"/>
  <c r="M240" i="1"/>
  <c r="N240" i="1"/>
  <c r="M232" i="1"/>
  <c r="N232" i="1"/>
  <c r="M224" i="1"/>
  <c r="N224" i="1"/>
  <c r="M216" i="1"/>
  <c r="N216" i="1"/>
  <c r="M208" i="1"/>
  <c r="N208" i="1"/>
  <c r="M200" i="1"/>
  <c r="N200" i="1"/>
  <c r="M192" i="1"/>
  <c r="N192" i="1"/>
  <c r="M184" i="1"/>
  <c r="N184" i="1"/>
  <c r="M176" i="1"/>
  <c r="N176" i="1"/>
  <c r="M168" i="1"/>
  <c r="N168" i="1"/>
  <c r="M160" i="1"/>
  <c r="N160" i="1"/>
  <c r="M152" i="1"/>
  <c r="N152" i="1"/>
  <c r="M144" i="1"/>
  <c r="N144" i="1"/>
  <c r="M136" i="1"/>
  <c r="N136" i="1"/>
  <c r="M128" i="1"/>
  <c r="N128" i="1"/>
  <c r="M120" i="1"/>
  <c r="N120" i="1"/>
  <c r="M112" i="1"/>
  <c r="N112" i="1"/>
  <c r="M104" i="1"/>
  <c r="N104" i="1"/>
  <c r="M96" i="1"/>
  <c r="N96" i="1"/>
  <c r="M88" i="1"/>
  <c r="N88" i="1"/>
  <c r="M80" i="1"/>
  <c r="N80" i="1"/>
  <c r="M72" i="1"/>
  <c r="N72" i="1"/>
  <c r="M64" i="1"/>
  <c r="N64" i="1"/>
  <c r="M56" i="1"/>
  <c r="N56" i="1"/>
  <c r="M48" i="1"/>
  <c r="N48" i="1"/>
  <c r="M40" i="1"/>
  <c r="N40" i="1"/>
  <c r="M32" i="1"/>
  <c r="N32" i="1"/>
  <c r="M24" i="1"/>
  <c r="N24" i="1"/>
  <c r="M16" i="1"/>
  <c r="N16" i="1"/>
  <c r="M8" i="1"/>
  <c r="N8" i="1"/>
  <c r="M4093" i="1"/>
  <c r="M4077" i="1"/>
  <c r="M4061" i="1"/>
  <c r="M4045" i="1"/>
  <c r="M4029" i="1"/>
  <c r="M4013" i="1"/>
  <c r="M3997" i="1"/>
  <c r="M3981" i="1"/>
  <c r="M3965" i="1"/>
  <c r="M3949" i="1"/>
  <c r="M3933" i="1"/>
  <c r="M3917" i="1"/>
  <c r="M3901" i="1"/>
  <c r="M3885" i="1"/>
  <c r="M3869" i="1"/>
  <c r="M3853" i="1"/>
  <c r="M3837" i="1"/>
  <c r="M3821" i="1"/>
  <c r="M3805" i="1"/>
  <c r="M3789" i="1"/>
  <c r="M3773" i="1"/>
  <c r="M3757" i="1"/>
  <c r="M3741" i="1"/>
  <c r="M3725" i="1"/>
  <c r="M3709" i="1"/>
  <c r="M3693" i="1"/>
  <c r="M3677" i="1"/>
  <c r="M3661" i="1"/>
  <c r="M3645" i="1"/>
  <c r="M3629" i="1"/>
  <c r="M3610" i="1"/>
  <c r="N3588" i="1"/>
  <c r="M3567" i="1"/>
  <c r="M3503" i="1"/>
  <c r="M3439" i="1"/>
  <c r="M3375" i="1"/>
  <c r="M3311" i="1"/>
  <c r="M3247" i="1"/>
  <c r="M3150" i="1"/>
  <c r="M3004" i="1"/>
  <c r="N2832" i="1"/>
  <c r="M2573" i="1"/>
  <c r="M4106" i="1"/>
  <c r="N4106" i="1"/>
  <c r="M4026" i="1"/>
  <c r="N4026" i="1"/>
  <c r="M3978" i="1"/>
  <c r="N3978" i="1"/>
  <c r="M3898" i="1"/>
  <c r="N3898" i="1"/>
  <c r="M3810" i="1"/>
  <c r="N3810" i="1"/>
  <c r="M3738" i="1"/>
  <c r="N3738" i="1"/>
  <c r="M3658" i="1"/>
  <c r="N3658" i="1"/>
  <c r="M3498" i="1"/>
  <c r="N3498" i="1"/>
  <c r="M3418" i="1"/>
  <c r="N3418" i="1"/>
  <c r="M3338" i="1"/>
  <c r="N3338" i="1"/>
  <c r="M3266" i="1"/>
  <c r="N3266" i="1"/>
  <c r="M3186" i="1"/>
  <c r="N3186" i="1"/>
  <c r="N3002" i="1"/>
  <c r="M3002" i="1"/>
  <c r="N2938" i="1"/>
  <c r="M2938" i="1"/>
  <c r="N2858" i="1"/>
  <c r="M2858" i="1"/>
  <c r="N2786" i="1"/>
  <c r="M2786" i="1"/>
  <c r="M2730" i="1"/>
  <c r="N2730" i="1"/>
  <c r="M2650" i="1"/>
  <c r="N2650" i="1"/>
  <c r="M2586" i="1"/>
  <c r="N2586" i="1"/>
  <c r="M2514" i="1"/>
  <c r="N2514" i="1"/>
  <c r="M2442" i="1"/>
  <c r="N2442" i="1"/>
  <c r="M2362" i="1"/>
  <c r="N2362" i="1"/>
  <c r="M2290" i="1"/>
  <c r="N2290" i="1"/>
  <c r="M2210" i="1"/>
  <c r="N2210" i="1"/>
  <c r="M2138" i="1"/>
  <c r="N2138" i="1"/>
  <c r="M2066" i="1"/>
  <c r="N2066" i="1"/>
  <c r="M1986" i="1"/>
  <c r="N1986" i="1"/>
  <c r="N1898" i="1"/>
  <c r="M1898" i="1"/>
  <c r="N1834" i="1"/>
  <c r="M1834" i="1"/>
  <c r="M1770" i="1"/>
  <c r="N1770" i="1"/>
  <c r="M1706" i="1"/>
  <c r="N1706" i="1"/>
  <c r="M1634" i="1"/>
  <c r="N1634" i="1"/>
  <c r="M1562" i="1"/>
  <c r="N1562" i="1"/>
  <c r="M1506" i="1"/>
  <c r="N1506" i="1"/>
  <c r="M1442" i="1"/>
  <c r="N1442" i="1"/>
  <c r="M1386" i="1"/>
  <c r="N1386" i="1"/>
  <c r="M1314" i="1"/>
  <c r="N1314" i="1"/>
  <c r="M1258" i="1"/>
  <c r="N1258" i="1"/>
  <c r="M1202" i="1"/>
  <c r="N1202" i="1"/>
  <c r="M1138" i="1"/>
  <c r="N1138" i="1"/>
  <c r="M1082" i="1"/>
  <c r="N1082" i="1"/>
  <c r="M1026" i="1"/>
  <c r="N1026" i="1"/>
  <c r="M954" i="1"/>
  <c r="N954" i="1"/>
  <c r="M890" i="1"/>
  <c r="N890" i="1"/>
  <c r="M826" i="1"/>
  <c r="N826" i="1"/>
  <c r="M746" i="1"/>
  <c r="N746" i="1"/>
  <c r="N690" i="1"/>
  <c r="M690" i="1"/>
  <c r="N626" i="1"/>
  <c r="M626" i="1"/>
  <c r="N562" i="1"/>
  <c r="M562" i="1"/>
  <c r="M506" i="1"/>
  <c r="N506" i="1"/>
  <c r="M450" i="1"/>
  <c r="N450" i="1"/>
  <c r="N394" i="1"/>
  <c r="M394" i="1"/>
  <c r="M322" i="1"/>
  <c r="N322" i="1"/>
  <c r="M250" i="1"/>
  <c r="N250" i="1"/>
  <c r="M178" i="1"/>
  <c r="N178" i="1"/>
  <c r="M122" i="1"/>
  <c r="N122" i="1"/>
  <c r="M34" i="1"/>
  <c r="N34" i="1"/>
  <c r="M575" i="1"/>
  <c r="N575" i="1"/>
  <c r="M4098" i="1"/>
  <c r="N4098" i="1"/>
  <c r="M4058" i="1"/>
  <c r="N4058" i="1"/>
  <c r="M4018" i="1"/>
  <c r="N4018" i="1"/>
  <c r="M3970" i="1"/>
  <c r="N3970" i="1"/>
  <c r="M3930" i="1"/>
  <c r="N3930" i="1"/>
  <c r="M3890" i="1"/>
  <c r="N3890" i="1"/>
  <c r="M3842" i="1"/>
  <c r="N3842" i="1"/>
  <c r="M3794" i="1"/>
  <c r="N3794" i="1"/>
  <c r="M3754" i="1"/>
  <c r="N3754" i="1"/>
  <c r="M3714" i="1"/>
  <c r="N3714" i="1"/>
  <c r="M3674" i="1"/>
  <c r="N3674" i="1"/>
  <c r="M3634" i="1"/>
  <c r="N3634" i="1"/>
  <c r="M3546" i="1"/>
  <c r="N3546" i="1"/>
  <c r="M3506" i="1"/>
  <c r="N3506" i="1"/>
  <c r="M3466" i="1"/>
  <c r="N3466" i="1"/>
  <c r="M3426" i="1"/>
  <c r="N3426" i="1"/>
  <c r="M3394" i="1"/>
  <c r="N3394" i="1"/>
  <c r="M3362" i="1"/>
  <c r="N3362" i="1"/>
  <c r="M3314" i="1"/>
  <c r="N3314" i="1"/>
  <c r="M3274" i="1"/>
  <c r="N3274" i="1"/>
  <c r="M3226" i="1"/>
  <c r="N3226" i="1"/>
  <c r="M3210" i="1"/>
  <c r="N3210" i="1"/>
  <c r="M3178" i="1"/>
  <c r="N3178" i="1"/>
  <c r="M3154" i="1"/>
  <c r="N3154" i="1"/>
  <c r="M3122" i="1"/>
  <c r="N3122" i="1"/>
  <c r="M3082" i="1"/>
  <c r="N3082" i="1"/>
  <c r="N3042" i="1"/>
  <c r="M3042" i="1"/>
  <c r="N2994" i="1"/>
  <c r="M2994" i="1"/>
  <c r="N2962" i="1"/>
  <c r="M2962" i="1"/>
  <c r="N2914" i="1"/>
  <c r="M2914" i="1"/>
  <c r="N2874" i="1"/>
  <c r="M2874" i="1"/>
  <c r="N2834" i="1"/>
  <c r="M2834" i="1"/>
  <c r="N2802" i="1"/>
  <c r="M2802" i="1"/>
  <c r="N2762" i="1"/>
  <c r="M2762" i="1"/>
  <c r="M2722" i="1"/>
  <c r="N2722" i="1"/>
  <c r="M2682" i="1"/>
  <c r="N2682" i="1"/>
  <c r="M2634" i="1"/>
  <c r="N2634" i="1"/>
  <c r="M2594" i="1"/>
  <c r="N2594" i="1"/>
  <c r="M2554" i="1"/>
  <c r="N2554" i="1"/>
  <c r="M2506" i="1"/>
  <c r="N2506" i="1"/>
  <c r="M2466" i="1"/>
  <c r="N2466" i="1"/>
  <c r="M2418" i="1"/>
  <c r="N2418" i="1"/>
  <c r="M2394" i="1"/>
  <c r="N2394" i="1"/>
  <c r="M2354" i="1"/>
  <c r="N2354" i="1"/>
  <c r="M2322" i="1"/>
  <c r="N2322" i="1"/>
  <c r="M2282" i="1"/>
  <c r="N2282" i="1"/>
  <c r="M2234" i="1"/>
  <c r="N2234" i="1"/>
  <c r="M2186" i="1"/>
  <c r="N2186" i="1"/>
  <c r="M2146" i="1"/>
  <c r="N2146" i="1"/>
  <c r="M2106" i="1"/>
  <c r="N2106" i="1"/>
  <c r="M2058" i="1"/>
  <c r="N2058" i="1"/>
  <c r="M2018" i="1"/>
  <c r="N2018" i="1"/>
  <c r="M1970" i="1"/>
  <c r="N1970" i="1"/>
  <c r="M1938" i="1"/>
  <c r="N1938" i="1"/>
  <c r="N1890" i="1"/>
  <c r="M1890" i="1"/>
  <c r="N1858" i="1"/>
  <c r="M1858" i="1"/>
  <c r="N1818" i="1"/>
  <c r="M1818" i="1"/>
  <c r="N1794" i="1"/>
  <c r="M1794" i="1"/>
  <c r="M1738" i="1"/>
  <c r="N1738" i="1"/>
  <c r="M1698" i="1"/>
  <c r="N1698" i="1"/>
  <c r="M1666" i="1"/>
  <c r="N1666" i="1"/>
  <c r="M1618" i="1"/>
  <c r="N1618" i="1"/>
  <c r="M1586" i="1"/>
  <c r="N1586" i="1"/>
  <c r="M1554" i="1"/>
  <c r="N1554" i="1"/>
  <c r="M1522" i="1"/>
  <c r="N1522" i="1"/>
  <c r="M1482" i="1"/>
  <c r="N1482" i="1"/>
  <c r="M1450" i="1"/>
  <c r="N1450" i="1"/>
  <c r="N1402" i="1"/>
  <c r="M1402" i="1"/>
  <c r="M1378" i="1"/>
  <c r="N1378" i="1"/>
  <c r="M1346" i="1"/>
  <c r="N1346" i="1"/>
  <c r="N1306" i="1"/>
  <c r="M1306" i="1"/>
  <c r="N1274" i="1"/>
  <c r="M1274" i="1"/>
  <c r="M1234" i="1"/>
  <c r="N1234" i="1"/>
  <c r="M1194" i="1"/>
  <c r="N1194" i="1"/>
  <c r="M1162" i="1"/>
  <c r="N1162" i="1"/>
  <c r="M1122" i="1"/>
  <c r="N1122" i="1"/>
  <c r="M1090" i="1"/>
  <c r="N1090" i="1"/>
  <c r="M1050" i="1"/>
  <c r="N1050" i="1"/>
  <c r="M1002" i="1"/>
  <c r="N1002" i="1"/>
  <c r="M978" i="1"/>
  <c r="N978" i="1"/>
  <c r="M938" i="1"/>
  <c r="N938" i="1"/>
  <c r="N906" i="1"/>
  <c r="M906" i="1"/>
  <c r="M866" i="1"/>
  <c r="N866" i="1"/>
  <c r="M834" i="1"/>
  <c r="N834" i="1"/>
  <c r="M786" i="1"/>
  <c r="N786" i="1"/>
  <c r="M770" i="1"/>
  <c r="N770" i="1"/>
  <c r="N738" i="1"/>
  <c r="M738" i="1"/>
  <c r="N698" i="1"/>
  <c r="M698" i="1"/>
  <c r="N658" i="1"/>
  <c r="M658" i="1"/>
  <c r="N618" i="1"/>
  <c r="M618" i="1"/>
  <c r="N586" i="1"/>
  <c r="M586" i="1"/>
  <c r="N546" i="1"/>
  <c r="M546" i="1"/>
  <c r="M514" i="1"/>
  <c r="N514" i="1"/>
  <c r="M482" i="1"/>
  <c r="N482" i="1"/>
  <c r="M442" i="1"/>
  <c r="N442" i="1"/>
  <c r="M418" i="1"/>
  <c r="N418" i="1"/>
  <c r="M386" i="1"/>
  <c r="N386" i="1"/>
  <c r="M354" i="1"/>
  <c r="N354" i="1"/>
  <c r="M314" i="1"/>
  <c r="N314" i="1"/>
  <c r="M282" i="1"/>
  <c r="N282" i="1"/>
  <c r="M242" i="1"/>
  <c r="N242" i="1"/>
  <c r="M210" i="1"/>
  <c r="N210" i="1"/>
  <c r="M170" i="1"/>
  <c r="N170" i="1"/>
  <c r="M138" i="1"/>
  <c r="N138" i="1"/>
  <c r="M106" i="1"/>
  <c r="N106" i="1"/>
  <c r="M82" i="1"/>
  <c r="N82" i="1"/>
  <c r="M50" i="1"/>
  <c r="N50" i="1"/>
  <c r="M10" i="1"/>
  <c r="N10" i="1"/>
  <c r="N3543" i="1"/>
  <c r="M3543" i="1"/>
  <c r="N3527" i="1"/>
  <c r="M3527" i="1"/>
  <c r="N3431" i="1"/>
  <c r="M3431" i="1"/>
  <c r="N3303" i="1"/>
  <c r="M3303" i="1"/>
  <c r="N3239" i="1"/>
  <c r="M3239" i="1"/>
  <c r="N3223" i="1"/>
  <c r="M3223" i="1"/>
  <c r="M3199" i="1"/>
  <c r="N3199" i="1"/>
  <c r="M3167" i="1"/>
  <c r="N3167" i="1"/>
  <c r="M3135" i="1"/>
  <c r="N3135" i="1"/>
  <c r="M3103" i="1"/>
  <c r="N3103" i="1"/>
  <c r="M3079" i="1"/>
  <c r="N3079" i="1"/>
  <c r="M3055" i="1"/>
  <c r="N3055" i="1"/>
  <c r="M3015" i="1"/>
  <c r="N3015" i="1"/>
  <c r="M2983" i="1"/>
  <c r="N2983" i="1"/>
  <c r="M2959" i="1"/>
  <c r="N2959" i="1"/>
  <c r="M2927" i="1"/>
  <c r="N2927" i="1"/>
  <c r="M2895" i="1"/>
  <c r="N2895" i="1"/>
  <c r="M2863" i="1"/>
  <c r="N2863" i="1"/>
  <c r="M2839" i="1"/>
  <c r="N2839" i="1"/>
  <c r="M2807" i="1"/>
  <c r="N2807" i="1"/>
  <c r="M2783" i="1"/>
  <c r="N2783" i="1"/>
  <c r="M2751" i="1"/>
  <c r="N2751" i="1"/>
  <c r="M2719" i="1"/>
  <c r="N2719" i="1"/>
  <c r="M2687" i="1"/>
  <c r="N2687" i="1"/>
  <c r="M2655" i="1"/>
  <c r="N2655" i="1"/>
  <c r="M2623" i="1"/>
  <c r="N2623" i="1"/>
  <c r="M2591" i="1"/>
  <c r="N2591" i="1"/>
  <c r="M2559" i="1"/>
  <c r="N2559" i="1"/>
  <c r="M2535" i="1"/>
  <c r="N2535" i="1"/>
  <c r="M2511" i="1"/>
  <c r="N2511" i="1"/>
  <c r="M2471" i="1"/>
  <c r="N2471" i="1"/>
  <c r="M2439" i="1"/>
  <c r="N2439" i="1"/>
  <c r="M2415" i="1"/>
  <c r="N2415" i="1"/>
  <c r="M2383" i="1"/>
  <c r="N2383" i="1"/>
  <c r="M2359" i="1"/>
  <c r="N2359" i="1"/>
  <c r="M2327" i="1"/>
  <c r="N2327" i="1"/>
  <c r="M2303" i="1"/>
  <c r="N2303" i="1"/>
  <c r="M2279" i="1"/>
  <c r="N2279" i="1"/>
  <c r="M2247" i="1"/>
  <c r="N2247" i="1"/>
  <c r="M2215" i="1"/>
  <c r="N2215" i="1"/>
  <c r="M2183" i="1"/>
  <c r="N2183" i="1"/>
  <c r="M2159" i="1"/>
  <c r="N2159" i="1"/>
  <c r="M2127" i="1"/>
  <c r="N2127" i="1"/>
  <c r="M2103" i="1"/>
  <c r="N2103" i="1"/>
  <c r="M2071" i="1"/>
  <c r="N2071" i="1"/>
  <c r="M2047" i="1"/>
  <c r="N2047" i="1"/>
  <c r="M2015" i="1"/>
  <c r="N2015" i="1"/>
  <c r="M1983" i="1"/>
  <c r="N1983" i="1"/>
  <c r="M1951" i="1"/>
  <c r="N1951" i="1"/>
  <c r="M1935" i="1"/>
  <c r="N1935" i="1"/>
  <c r="M1911" i="1"/>
  <c r="N1911" i="1"/>
  <c r="M1879" i="1"/>
  <c r="N1879" i="1"/>
  <c r="M1847" i="1"/>
  <c r="N1847" i="1"/>
  <c r="M1815" i="1"/>
  <c r="N1815" i="1"/>
  <c r="M1791" i="1"/>
  <c r="N1791" i="1"/>
  <c r="M1759" i="1"/>
  <c r="N1759" i="1"/>
  <c r="M1727" i="1"/>
  <c r="N1727" i="1"/>
  <c r="M1695" i="1"/>
  <c r="N1695" i="1"/>
  <c r="M1663" i="1"/>
  <c r="N1663" i="1"/>
  <c r="M1631" i="1"/>
  <c r="N1631" i="1"/>
  <c r="M1607" i="1"/>
  <c r="N1607" i="1"/>
  <c r="N1583" i="1"/>
  <c r="M1583" i="1"/>
  <c r="N1551" i="1"/>
  <c r="M1551" i="1"/>
  <c r="N1519" i="1"/>
  <c r="M1519" i="1"/>
  <c r="M1495" i="1"/>
  <c r="N1495" i="1"/>
  <c r="M1463" i="1"/>
  <c r="N1463" i="1"/>
  <c r="M1431" i="1"/>
  <c r="N1431" i="1"/>
  <c r="M1399" i="1"/>
  <c r="N1399" i="1"/>
  <c r="M1367" i="1"/>
  <c r="N1367" i="1"/>
  <c r="M1335" i="1"/>
  <c r="N1335" i="1"/>
  <c r="M1319" i="1"/>
  <c r="N1319" i="1"/>
  <c r="M1287" i="1"/>
  <c r="N1287" i="1"/>
  <c r="M1255" i="1"/>
  <c r="N1255" i="1"/>
  <c r="M1223" i="1"/>
  <c r="N1223" i="1"/>
  <c r="M1199" i="1"/>
  <c r="N1199" i="1"/>
  <c r="M1167" i="1"/>
  <c r="N1167" i="1"/>
  <c r="M1135" i="1"/>
  <c r="N1135" i="1"/>
  <c r="M1103" i="1"/>
  <c r="N1103" i="1"/>
  <c r="M1079" i="1"/>
  <c r="N1079" i="1"/>
  <c r="M1055" i="1"/>
  <c r="N1055" i="1"/>
  <c r="M1023" i="1"/>
  <c r="N1023" i="1"/>
  <c r="M991" i="1"/>
  <c r="N991" i="1"/>
  <c r="M959" i="1"/>
  <c r="N959" i="1"/>
  <c r="M935" i="1"/>
  <c r="N935" i="1"/>
  <c r="M911" i="1"/>
  <c r="N911" i="1"/>
  <c r="M879" i="1"/>
  <c r="N879" i="1"/>
  <c r="M847" i="1"/>
  <c r="N847" i="1"/>
  <c r="M815" i="1"/>
  <c r="N815" i="1"/>
  <c r="M791" i="1"/>
  <c r="N791" i="1"/>
  <c r="M759" i="1"/>
  <c r="N759" i="1"/>
  <c r="M735" i="1"/>
  <c r="N735" i="1"/>
  <c r="M711" i="1"/>
  <c r="N711" i="1"/>
  <c r="M679" i="1"/>
  <c r="N679" i="1"/>
  <c r="M647" i="1"/>
  <c r="N647" i="1"/>
  <c r="M623" i="1"/>
  <c r="N623" i="1"/>
  <c r="M599" i="1"/>
  <c r="N599" i="1"/>
  <c r="M567" i="1"/>
  <c r="N567" i="1"/>
  <c r="M535" i="1"/>
  <c r="N535" i="1"/>
  <c r="M503" i="1"/>
  <c r="N503" i="1"/>
  <c r="M471" i="1"/>
  <c r="N471" i="1"/>
  <c r="M439" i="1"/>
  <c r="N439" i="1"/>
  <c r="M415" i="1"/>
  <c r="N415" i="1"/>
  <c r="M391" i="1"/>
  <c r="N391" i="1"/>
  <c r="M359" i="1"/>
  <c r="N359" i="1"/>
  <c r="M335" i="1"/>
  <c r="N335" i="1"/>
  <c r="M295" i="1"/>
  <c r="N295" i="1"/>
  <c r="M263" i="1"/>
  <c r="N263" i="1"/>
  <c r="M231" i="1"/>
  <c r="N231" i="1"/>
  <c r="M215" i="1"/>
  <c r="N215" i="1"/>
  <c r="M183" i="1"/>
  <c r="N183" i="1"/>
  <c r="M167" i="1"/>
  <c r="N167" i="1"/>
  <c r="M135" i="1"/>
  <c r="N135" i="1"/>
  <c r="M119" i="1"/>
  <c r="N119" i="1"/>
  <c r="M95" i="1"/>
  <c r="N95" i="1"/>
  <c r="M71" i="1"/>
  <c r="N71" i="1"/>
  <c r="M39" i="1"/>
  <c r="N39" i="1"/>
  <c r="M7" i="1"/>
  <c r="N7" i="1"/>
  <c r="N3586" i="1"/>
  <c r="N3138" i="1"/>
  <c r="M2818" i="1"/>
  <c r="M2517" i="1"/>
  <c r="M4110" i="1"/>
  <c r="N4110" i="1"/>
  <c r="M4102" i="1"/>
  <c r="N4102" i="1"/>
  <c r="M4094" i="1"/>
  <c r="N4094" i="1"/>
  <c r="M4086" i="1"/>
  <c r="N4086" i="1"/>
  <c r="M4078" i="1"/>
  <c r="N4078" i="1"/>
  <c r="M4070" i="1"/>
  <c r="N4070" i="1"/>
  <c r="M4062" i="1"/>
  <c r="N4062" i="1"/>
  <c r="M4054" i="1"/>
  <c r="N4054" i="1"/>
  <c r="M4046" i="1"/>
  <c r="N4046" i="1"/>
  <c r="M4038" i="1"/>
  <c r="N4038" i="1"/>
  <c r="M4030" i="1"/>
  <c r="N4030" i="1"/>
  <c r="M4022" i="1"/>
  <c r="N4022" i="1"/>
  <c r="M4014" i="1"/>
  <c r="N4014" i="1"/>
  <c r="M4006" i="1"/>
  <c r="N4006" i="1"/>
  <c r="M3998" i="1"/>
  <c r="N3998" i="1"/>
  <c r="M3990" i="1"/>
  <c r="N3990" i="1"/>
  <c r="M3982" i="1"/>
  <c r="N3982" i="1"/>
  <c r="M3974" i="1"/>
  <c r="N3974" i="1"/>
  <c r="M3966" i="1"/>
  <c r="N3966" i="1"/>
  <c r="M3958" i="1"/>
  <c r="N3958" i="1"/>
  <c r="M3950" i="1"/>
  <c r="N3950" i="1"/>
  <c r="M3942" i="1"/>
  <c r="N3942" i="1"/>
  <c r="M3934" i="1"/>
  <c r="N3934" i="1"/>
  <c r="M3926" i="1"/>
  <c r="N3926" i="1"/>
  <c r="M3918" i="1"/>
  <c r="N3918" i="1"/>
  <c r="M3910" i="1"/>
  <c r="N3910" i="1"/>
  <c r="M3902" i="1"/>
  <c r="N3902" i="1"/>
  <c r="M3894" i="1"/>
  <c r="N3894" i="1"/>
  <c r="M3886" i="1"/>
  <c r="N3886" i="1"/>
  <c r="M3878" i="1"/>
  <c r="N3878" i="1"/>
  <c r="M3870" i="1"/>
  <c r="N3870" i="1"/>
  <c r="M3862" i="1"/>
  <c r="N3862" i="1"/>
  <c r="M3854" i="1"/>
  <c r="N3854" i="1"/>
  <c r="M3846" i="1"/>
  <c r="N3846" i="1"/>
  <c r="M3838" i="1"/>
  <c r="N3838" i="1"/>
  <c r="M3830" i="1"/>
  <c r="N3830" i="1"/>
  <c r="M3822" i="1"/>
  <c r="N3822" i="1"/>
  <c r="M3814" i="1"/>
  <c r="N3814" i="1"/>
  <c r="M3806" i="1"/>
  <c r="N3806" i="1"/>
  <c r="M3798" i="1"/>
  <c r="N3798" i="1"/>
  <c r="M3790" i="1"/>
  <c r="N3790" i="1"/>
  <c r="M3782" i="1"/>
  <c r="N3782" i="1"/>
  <c r="M3774" i="1"/>
  <c r="N3774" i="1"/>
  <c r="M3766" i="1"/>
  <c r="N3766" i="1"/>
  <c r="M3758" i="1"/>
  <c r="N3758" i="1"/>
  <c r="M3750" i="1"/>
  <c r="N3750" i="1"/>
  <c r="M3742" i="1"/>
  <c r="N3742" i="1"/>
  <c r="M3734" i="1"/>
  <c r="N3734" i="1"/>
  <c r="M3726" i="1"/>
  <c r="N3726" i="1"/>
  <c r="M3718" i="1"/>
  <c r="N3718" i="1"/>
  <c r="M3710" i="1"/>
  <c r="N3710" i="1"/>
  <c r="M3702" i="1"/>
  <c r="N3702" i="1"/>
  <c r="M3694" i="1"/>
  <c r="N3694" i="1"/>
  <c r="M3686" i="1"/>
  <c r="N3686" i="1"/>
  <c r="M3678" i="1"/>
  <c r="N3678" i="1"/>
  <c r="M3670" i="1"/>
  <c r="N3670" i="1"/>
  <c r="M3662" i="1"/>
  <c r="N3662" i="1"/>
  <c r="M3654" i="1"/>
  <c r="N3654" i="1"/>
  <c r="M3646" i="1"/>
  <c r="N3646" i="1"/>
  <c r="M3638" i="1"/>
  <c r="N3638" i="1"/>
  <c r="M3630" i="1"/>
  <c r="N3630" i="1"/>
  <c r="M3622" i="1"/>
  <c r="N3622" i="1"/>
  <c r="M3614" i="1"/>
  <c r="N3614" i="1"/>
  <c r="M3606" i="1"/>
  <c r="N3606" i="1"/>
  <c r="M3598" i="1"/>
  <c r="N3598" i="1"/>
  <c r="M3590" i="1"/>
  <c r="N3590" i="1"/>
  <c r="M3582" i="1"/>
  <c r="N3582" i="1"/>
  <c r="M3574" i="1"/>
  <c r="N3574" i="1"/>
  <c r="M3566" i="1"/>
  <c r="N3566" i="1"/>
  <c r="M3558" i="1"/>
  <c r="N3558" i="1"/>
  <c r="M3550" i="1"/>
  <c r="N3550" i="1"/>
  <c r="M3542" i="1"/>
  <c r="N3542" i="1"/>
  <c r="M3534" i="1"/>
  <c r="N3534" i="1"/>
  <c r="M3526" i="1"/>
  <c r="N3526" i="1"/>
  <c r="M3518" i="1"/>
  <c r="N3518" i="1"/>
  <c r="M3510" i="1"/>
  <c r="N3510" i="1"/>
  <c r="M3502" i="1"/>
  <c r="N3502" i="1"/>
  <c r="M3494" i="1"/>
  <c r="N3494" i="1"/>
  <c r="M3486" i="1"/>
  <c r="N3486" i="1"/>
  <c r="M3478" i="1"/>
  <c r="N3478" i="1"/>
  <c r="M3470" i="1"/>
  <c r="N3470" i="1"/>
  <c r="M3462" i="1"/>
  <c r="N3462" i="1"/>
  <c r="M3454" i="1"/>
  <c r="N3454" i="1"/>
  <c r="M3446" i="1"/>
  <c r="N3446" i="1"/>
  <c r="M3438" i="1"/>
  <c r="N3438" i="1"/>
  <c r="M3430" i="1"/>
  <c r="N3430" i="1"/>
  <c r="M3422" i="1"/>
  <c r="N3422" i="1"/>
  <c r="M3414" i="1"/>
  <c r="N3414" i="1"/>
  <c r="M3406" i="1"/>
  <c r="N3406" i="1"/>
  <c r="M3398" i="1"/>
  <c r="N3398" i="1"/>
  <c r="M3390" i="1"/>
  <c r="N3390" i="1"/>
  <c r="M3382" i="1"/>
  <c r="N3382" i="1"/>
  <c r="M3374" i="1"/>
  <c r="N3374" i="1"/>
  <c r="M3366" i="1"/>
  <c r="N3366" i="1"/>
  <c r="M3358" i="1"/>
  <c r="N3358" i="1"/>
  <c r="M3350" i="1"/>
  <c r="N3350" i="1"/>
  <c r="M3342" i="1"/>
  <c r="N3342" i="1"/>
  <c r="M3334" i="1"/>
  <c r="N3334" i="1"/>
  <c r="M3326" i="1"/>
  <c r="N3326" i="1"/>
  <c r="M3318" i="1"/>
  <c r="N3318" i="1"/>
  <c r="M3310" i="1"/>
  <c r="N3310" i="1"/>
  <c r="M3302" i="1"/>
  <c r="N3302" i="1"/>
  <c r="M3294" i="1"/>
  <c r="N3294" i="1"/>
  <c r="M3286" i="1"/>
  <c r="N3286" i="1"/>
  <c r="M3278" i="1"/>
  <c r="N3278" i="1"/>
  <c r="M3270" i="1"/>
  <c r="N3270" i="1"/>
  <c r="M3262" i="1"/>
  <c r="N3262" i="1"/>
  <c r="M3254" i="1"/>
  <c r="N3254" i="1"/>
  <c r="M3246" i="1"/>
  <c r="N3246" i="1"/>
  <c r="M3238" i="1"/>
  <c r="N3238" i="1"/>
  <c r="M3230" i="1"/>
  <c r="N3230" i="1"/>
  <c r="M3222" i="1"/>
  <c r="N3222" i="1"/>
  <c r="N3206" i="1"/>
  <c r="M3206" i="1"/>
  <c r="N3198" i="1"/>
  <c r="M3198" i="1"/>
  <c r="N3190" i="1"/>
  <c r="M3190" i="1"/>
  <c r="N3174" i="1"/>
  <c r="M3174" i="1"/>
  <c r="N3166" i="1"/>
  <c r="M3166" i="1"/>
  <c r="N3158" i="1"/>
  <c r="M3158" i="1"/>
  <c r="N3142" i="1"/>
  <c r="M3142" i="1"/>
  <c r="N3134" i="1"/>
  <c r="M3134" i="1"/>
  <c r="N3126" i="1"/>
  <c r="M3126" i="1"/>
  <c r="N3110" i="1"/>
  <c r="M3110" i="1"/>
  <c r="N3102" i="1"/>
  <c r="M3102" i="1"/>
  <c r="N3094" i="1"/>
  <c r="M3094" i="1"/>
  <c r="N3078" i="1"/>
  <c r="M3078" i="1"/>
  <c r="N3070" i="1"/>
  <c r="M3070" i="1"/>
  <c r="N3062" i="1"/>
  <c r="M3062" i="1"/>
  <c r="N3054" i="1"/>
  <c r="M3054" i="1"/>
  <c r="N3038" i="1"/>
  <c r="M3038" i="1"/>
  <c r="N3030" i="1"/>
  <c r="M3030" i="1"/>
  <c r="N3022" i="1"/>
  <c r="M3022" i="1"/>
  <c r="N3014" i="1"/>
  <c r="M3014" i="1"/>
  <c r="N3006" i="1"/>
  <c r="M3006" i="1"/>
  <c r="N2998" i="1"/>
  <c r="M2998" i="1"/>
  <c r="N2990" i="1"/>
  <c r="M2990" i="1"/>
  <c r="N2982" i="1"/>
  <c r="M2982" i="1"/>
  <c r="N2974" i="1"/>
  <c r="M2974" i="1"/>
  <c r="N2966" i="1"/>
  <c r="M2966" i="1"/>
  <c r="N2958" i="1"/>
  <c r="M2958" i="1"/>
  <c r="N2950" i="1"/>
  <c r="M2950" i="1"/>
  <c r="N2942" i="1"/>
  <c r="M2942" i="1"/>
  <c r="N2934" i="1"/>
  <c r="M2934" i="1"/>
  <c r="N2926" i="1"/>
  <c r="M2926" i="1"/>
  <c r="N2910" i="1"/>
  <c r="M2910" i="1"/>
  <c r="N2902" i="1"/>
  <c r="M2902" i="1"/>
  <c r="N2894" i="1"/>
  <c r="M2894" i="1"/>
  <c r="N2886" i="1"/>
  <c r="M2886" i="1"/>
  <c r="N2878" i="1"/>
  <c r="M2878" i="1"/>
  <c r="N2870" i="1"/>
  <c r="M2870" i="1"/>
  <c r="N2862" i="1"/>
  <c r="M2862" i="1"/>
  <c r="N2854" i="1"/>
  <c r="M2854" i="1"/>
  <c r="N2846" i="1"/>
  <c r="M2846" i="1"/>
  <c r="N2838" i="1"/>
  <c r="M2838" i="1"/>
  <c r="N2830" i="1"/>
  <c r="M2830" i="1"/>
  <c r="N2822" i="1"/>
  <c r="M2822" i="1"/>
  <c r="N2814" i="1"/>
  <c r="M2814" i="1"/>
  <c r="N2806" i="1"/>
  <c r="M2806" i="1"/>
  <c r="N2798" i="1"/>
  <c r="M2798" i="1"/>
  <c r="N2782" i="1"/>
  <c r="M2782" i="1"/>
  <c r="N2774" i="1"/>
  <c r="M2774" i="1"/>
  <c r="N2766" i="1"/>
  <c r="M2766" i="1"/>
  <c r="N2758" i="1"/>
  <c r="M2758" i="1"/>
  <c r="N2750" i="1"/>
  <c r="M2750" i="1"/>
  <c r="M2742" i="1"/>
  <c r="N2742" i="1"/>
  <c r="M2734" i="1"/>
  <c r="N2734" i="1"/>
  <c r="M2726" i="1"/>
  <c r="N2726" i="1"/>
  <c r="M2718" i="1"/>
  <c r="N2718" i="1"/>
  <c r="M2710" i="1"/>
  <c r="N2710" i="1"/>
  <c r="M2702" i="1"/>
  <c r="N2702" i="1"/>
  <c r="M2694" i="1"/>
  <c r="N2694" i="1"/>
  <c r="M2686" i="1"/>
  <c r="N2686" i="1"/>
  <c r="M2678" i="1"/>
  <c r="N2678" i="1"/>
  <c r="M2670" i="1"/>
  <c r="N2670" i="1"/>
  <c r="M2662" i="1"/>
  <c r="N2662" i="1"/>
  <c r="M2654" i="1"/>
  <c r="N2654" i="1"/>
  <c r="M2646" i="1"/>
  <c r="N2646" i="1"/>
  <c r="M2638" i="1"/>
  <c r="N2638" i="1"/>
  <c r="M2630" i="1"/>
  <c r="N2630" i="1"/>
  <c r="M2622" i="1"/>
  <c r="N2622" i="1"/>
  <c r="M2614" i="1"/>
  <c r="N2614" i="1"/>
  <c r="M2606" i="1"/>
  <c r="N2606" i="1"/>
  <c r="M2598" i="1"/>
  <c r="N2598" i="1"/>
  <c r="M2590" i="1"/>
  <c r="N2590" i="1"/>
  <c r="M2582" i="1"/>
  <c r="N2582" i="1"/>
  <c r="M2574" i="1"/>
  <c r="N2574" i="1"/>
  <c r="M2566" i="1"/>
  <c r="N2566" i="1"/>
  <c r="M2558" i="1"/>
  <c r="N2558" i="1"/>
  <c r="M2550" i="1"/>
  <c r="N2550" i="1"/>
  <c r="M2542" i="1"/>
  <c r="N2542" i="1"/>
  <c r="M2534" i="1"/>
  <c r="N2534" i="1"/>
  <c r="M2526" i="1"/>
  <c r="N2526" i="1"/>
  <c r="M2518" i="1"/>
  <c r="N2518" i="1"/>
  <c r="M2510" i="1"/>
  <c r="N2510" i="1"/>
  <c r="M2502" i="1"/>
  <c r="N2502" i="1"/>
  <c r="M2494" i="1"/>
  <c r="N2494" i="1"/>
  <c r="M2486" i="1"/>
  <c r="N2486" i="1"/>
  <c r="M2478" i="1"/>
  <c r="N2478" i="1"/>
  <c r="M2470" i="1"/>
  <c r="N2470" i="1"/>
  <c r="M2462" i="1"/>
  <c r="N2462" i="1"/>
  <c r="M2454" i="1"/>
  <c r="N2454" i="1"/>
  <c r="M2446" i="1"/>
  <c r="N2446" i="1"/>
  <c r="M2438" i="1"/>
  <c r="N2438" i="1"/>
  <c r="M2430" i="1"/>
  <c r="N2430" i="1"/>
  <c r="M2422" i="1"/>
  <c r="N2422" i="1"/>
  <c r="M2414" i="1"/>
  <c r="N2414" i="1"/>
  <c r="M2406" i="1"/>
  <c r="N2406" i="1"/>
  <c r="M2398" i="1"/>
  <c r="N2398" i="1"/>
  <c r="M2390" i="1"/>
  <c r="N2390" i="1"/>
  <c r="M2382" i="1"/>
  <c r="N2382" i="1"/>
  <c r="M2374" i="1"/>
  <c r="N2374" i="1"/>
  <c r="M2366" i="1"/>
  <c r="N2366" i="1"/>
  <c r="M2358" i="1"/>
  <c r="N2358" i="1"/>
  <c r="M2350" i="1"/>
  <c r="N2350" i="1"/>
  <c r="M2342" i="1"/>
  <c r="N2342" i="1"/>
  <c r="M2334" i="1"/>
  <c r="N2334" i="1"/>
  <c r="M2326" i="1"/>
  <c r="N2326" i="1"/>
  <c r="M2318" i="1"/>
  <c r="N2318" i="1"/>
  <c r="M2310" i="1"/>
  <c r="N2310" i="1"/>
  <c r="M2302" i="1"/>
  <c r="N2302" i="1"/>
  <c r="M2294" i="1"/>
  <c r="N2294" i="1"/>
  <c r="M2286" i="1"/>
  <c r="N2286" i="1"/>
  <c r="M2278" i="1"/>
  <c r="N2278" i="1"/>
  <c r="M2270" i="1"/>
  <c r="N2270" i="1"/>
  <c r="M2262" i="1"/>
  <c r="N2262" i="1"/>
  <c r="M2254" i="1"/>
  <c r="N2254" i="1"/>
  <c r="M2246" i="1"/>
  <c r="N2246" i="1"/>
  <c r="M2238" i="1"/>
  <c r="N2238" i="1"/>
  <c r="M2230" i="1"/>
  <c r="N2230" i="1"/>
  <c r="M2222" i="1"/>
  <c r="N2222" i="1"/>
  <c r="M2214" i="1"/>
  <c r="N2214" i="1"/>
  <c r="M2206" i="1"/>
  <c r="N2206" i="1"/>
  <c r="M2198" i="1"/>
  <c r="N2198" i="1"/>
  <c r="M2190" i="1"/>
  <c r="N2190" i="1"/>
  <c r="M2182" i="1"/>
  <c r="N2182" i="1"/>
  <c r="M2174" i="1"/>
  <c r="N2174" i="1"/>
  <c r="M2166" i="1"/>
  <c r="N2166" i="1"/>
  <c r="M2158" i="1"/>
  <c r="N2158" i="1"/>
  <c r="M2150" i="1"/>
  <c r="N2150" i="1"/>
  <c r="M2142" i="1"/>
  <c r="N2142" i="1"/>
  <c r="M2134" i="1"/>
  <c r="N2134" i="1"/>
  <c r="M2126" i="1"/>
  <c r="N2126" i="1"/>
  <c r="M2118" i="1"/>
  <c r="N2118" i="1"/>
  <c r="M2110" i="1"/>
  <c r="N2110" i="1"/>
  <c r="M2102" i="1"/>
  <c r="N2102" i="1"/>
  <c r="M2094" i="1"/>
  <c r="N2094" i="1"/>
  <c r="M2086" i="1"/>
  <c r="N2086" i="1"/>
  <c r="M2078" i="1"/>
  <c r="N2078" i="1"/>
  <c r="M2070" i="1"/>
  <c r="N2070" i="1"/>
  <c r="M2062" i="1"/>
  <c r="N2062" i="1"/>
  <c r="M2054" i="1"/>
  <c r="N2054" i="1"/>
  <c r="M2046" i="1"/>
  <c r="N2046" i="1"/>
  <c r="M2038" i="1"/>
  <c r="N2038" i="1"/>
  <c r="M2030" i="1"/>
  <c r="N2030" i="1"/>
  <c r="M2022" i="1"/>
  <c r="N2022" i="1"/>
  <c r="M2014" i="1"/>
  <c r="N2014" i="1"/>
  <c r="M2006" i="1"/>
  <c r="N2006" i="1"/>
  <c r="M1998" i="1"/>
  <c r="N1998" i="1"/>
  <c r="M1990" i="1"/>
  <c r="N1990" i="1"/>
  <c r="M1982" i="1"/>
  <c r="N1982" i="1"/>
  <c r="M1974" i="1"/>
  <c r="N1974" i="1"/>
  <c r="M1966" i="1"/>
  <c r="N1966" i="1"/>
  <c r="M1958" i="1"/>
  <c r="N1958" i="1"/>
  <c r="M1950" i="1"/>
  <c r="N1950" i="1"/>
  <c r="M1942" i="1"/>
  <c r="N1942" i="1"/>
  <c r="M1934" i="1"/>
  <c r="N1934" i="1"/>
  <c r="M1926" i="1"/>
  <c r="N1926" i="1"/>
  <c r="M1918" i="1"/>
  <c r="N1918" i="1"/>
  <c r="M1910" i="1"/>
  <c r="N1910" i="1"/>
  <c r="N1902" i="1"/>
  <c r="M1902" i="1"/>
  <c r="N1894" i="1"/>
  <c r="M1894" i="1"/>
  <c r="N1886" i="1"/>
  <c r="M1886" i="1"/>
  <c r="N1878" i="1"/>
  <c r="M1878" i="1"/>
  <c r="N1870" i="1"/>
  <c r="M1870" i="1"/>
  <c r="N1862" i="1"/>
  <c r="M1862" i="1"/>
  <c r="N1854" i="1"/>
  <c r="M1854" i="1"/>
  <c r="N1846" i="1"/>
  <c r="M1846" i="1"/>
  <c r="N1838" i="1"/>
  <c r="M1838" i="1"/>
  <c r="N1830" i="1"/>
  <c r="M1830" i="1"/>
  <c r="N1822" i="1"/>
  <c r="M1822" i="1"/>
  <c r="N1814" i="1"/>
  <c r="M1814" i="1"/>
  <c r="M1806" i="1"/>
  <c r="N1806" i="1"/>
  <c r="M1798" i="1"/>
  <c r="N1798" i="1"/>
  <c r="M1790" i="1"/>
  <c r="N1790" i="1"/>
  <c r="M1782" i="1"/>
  <c r="N1782" i="1"/>
  <c r="M1774" i="1"/>
  <c r="N1774" i="1"/>
  <c r="N1766" i="1"/>
  <c r="M1766" i="1"/>
  <c r="N1758" i="1"/>
  <c r="M1758" i="1"/>
  <c r="N1750" i="1"/>
  <c r="M1750" i="1"/>
  <c r="N1742" i="1"/>
  <c r="M1742" i="1"/>
  <c r="N1734" i="1"/>
  <c r="M1734" i="1"/>
  <c r="N1726" i="1"/>
  <c r="M1726" i="1"/>
  <c r="N1718" i="1"/>
  <c r="M1718" i="1"/>
  <c r="N1710" i="1"/>
  <c r="M1710" i="1"/>
  <c r="N1702" i="1"/>
  <c r="M1702" i="1"/>
  <c r="M1694" i="1"/>
  <c r="N1694" i="1"/>
  <c r="M1686" i="1"/>
  <c r="N1686" i="1"/>
  <c r="M1678" i="1"/>
  <c r="N1678" i="1"/>
  <c r="M1670" i="1"/>
  <c r="N1670" i="1"/>
  <c r="M1662" i="1"/>
  <c r="N1662" i="1"/>
  <c r="M1654" i="1"/>
  <c r="N1654" i="1"/>
  <c r="M1646" i="1"/>
  <c r="N1646" i="1"/>
  <c r="M1638" i="1"/>
  <c r="N1638" i="1"/>
  <c r="M1630" i="1"/>
  <c r="N1630" i="1"/>
  <c r="M1622" i="1"/>
  <c r="N1622" i="1"/>
  <c r="N1614" i="1"/>
  <c r="M1614" i="1"/>
  <c r="M1606" i="1"/>
  <c r="N1606" i="1"/>
  <c r="N1598" i="1"/>
  <c r="M1598" i="1"/>
  <c r="M1590" i="1"/>
  <c r="N1590" i="1"/>
  <c r="M1582" i="1"/>
  <c r="N1582" i="1"/>
  <c r="N1574" i="1"/>
  <c r="M1574" i="1"/>
  <c r="M1566" i="1"/>
  <c r="N1566" i="1"/>
  <c r="M1558" i="1"/>
  <c r="N1558" i="1"/>
  <c r="M1550" i="1"/>
  <c r="N1550" i="1"/>
  <c r="N1542" i="1"/>
  <c r="M1542" i="1"/>
  <c r="M1534" i="1"/>
  <c r="N1534" i="1"/>
  <c r="M1526" i="1"/>
  <c r="N1526" i="1"/>
  <c r="M1518" i="1"/>
  <c r="N1518" i="1"/>
  <c r="M1510" i="1"/>
  <c r="N1510" i="1"/>
  <c r="M1502" i="1"/>
  <c r="N1502" i="1"/>
  <c r="N1494" i="1"/>
  <c r="M1494" i="1"/>
  <c r="M1486" i="1"/>
  <c r="N1486" i="1"/>
  <c r="M1478" i="1"/>
  <c r="N1478" i="1"/>
  <c r="M1470" i="1"/>
  <c r="N1470" i="1"/>
  <c r="N1462" i="1"/>
  <c r="M1462" i="1"/>
  <c r="M1454" i="1"/>
  <c r="N1454" i="1"/>
  <c r="M1446" i="1"/>
  <c r="N1446" i="1"/>
  <c r="M1438" i="1"/>
  <c r="N1438" i="1"/>
  <c r="N1430" i="1"/>
  <c r="M1430" i="1"/>
  <c r="M1422" i="1"/>
  <c r="N1422" i="1"/>
  <c r="M1414" i="1"/>
  <c r="N1414" i="1"/>
  <c r="M1406" i="1"/>
  <c r="N1406" i="1"/>
  <c r="N1398" i="1"/>
  <c r="M1398" i="1"/>
  <c r="M1390" i="1"/>
  <c r="N1390" i="1"/>
  <c r="M1382" i="1"/>
  <c r="N1382" i="1"/>
  <c r="M1374" i="1"/>
  <c r="N1374" i="1"/>
  <c r="N1366" i="1"/>
  <c r="M1366" i="1"/>
  <c r="M1358" i="1"/>
  <c r="N1358" i="1"/>
  <c r="M1350" i="1"/>
  <c r="N1350" i="1"/>
  <c r="M1342" i="1"/>
  <c r="N1342" i="1"/>
  <c r="N1334" i="1"/>
  <c r="M1334" i="1"/>
  <c r="M1326" i="1"/>
  <c r="N1326" i="1"/>
  <c r="M1318" i="1"/>
  <c r="N1318" i="1"/>
  <c r="M1310" i="1"/>
  <c r="N1310" i="1"/>
  <c r="N1302" i="1"/>
  <c r="M1302" i="1"/>
  <c r="M1294" i="1"/>
  <c r="N1294" i="1"/>
  <c r="M1286" i="1"/>
  <c r="N1286" i="1"/>
  <c r="M1278" i="1"/>
  <c r="N1278" i="1"/>
  <c r="N1270" i="1"/>
  <c r="M1270" i="1"/>
  <c r="M1262" i="1"/>
  <c r="N1262" i="1"/>
  <c r="M1254" i="1"/>
  <c r="N1254" i="1"/>
  <c r="M1246" i="1"/>
  <c r="N1246" i="1"/>
  <c r="N1238" i="1"/>
  <c r="M1238" i="1"/>
  <c r="M1230" i="1"/>
  <c r="N1230" i="1"/>
  <c r="M1222" i="1"/>
  <c r="N1222" i="1"/>
  <c r="M1214" i="1"/>
  <c r="N1214" i="1"/>
  <c r="N1206" i="1"/>
  <c r="M1206" i="1"/>
  <c r="M1198" i="1"/>
  <c r="N1198" i="1"/>
  <c r="M1190" i="1"/>
  <c r="N1190" i="1"/>
  <c r="M1182" i="1"/>
  <c r="N1182" i="1"/>
  <c r="N1174" i="1"/>
  <c r="M1174" i="1"/>
  <c r="M1166" i="1"/>
  <c r="N1166" i="1"/>
  <c r="M1158" i="1"/>
  <c r="N1158" i="1"/>
  <c r="M1150" i="1"/>
  <c r="N1150" i="1"/>
  <c r="N1142" i="1"/>
  <c r="M1142" i="1"/>
  <c r="M1134" i="1"/>
  <c r="N1134" i="1"/>
  <c r="M1126" i="1"/>
  <c r="N1126" i="1"/>
  <c r="M1118" i="1"/>
  <c r="N1118" i="1"/>
  <c r="N1110" i="1"/>
  <c r="M1110" i="1"/>
  <c r="M1102" i="1"/>
  <c r="N1102" i="1"/>
  <c r="M1094" i="1"/>
  <c r="N1094" i="1"/>
  <c r="M1086" i="1"/>
  <c r="N1086" i="1"/>
  <c r="N1078" i="1"/>
  <c r="M1078" i="1"/>
  <c r="N1070" i="1"/>
  <c r="M1070" i="1"/>
  <c r="M1062" i="1"/>
  <c r="N1062" i="1"/>
  <c r="M1054" i="1"/>
  <c r="N1054" i="1"/>
  <c r="M1046" i="1"/>
  <c r="N1046" i="1"/>
  <c r="M1038" i="1"/>
  <c r="N1038" i="1"/>
  <c r="M1030" i="1"/>
  <c r="N1030" i="1"/>
  <c r="M1022" i="1"/>
  <c r="N1022" i="1"/>
  <c r="M1014" i="1"/>
  <c r="N1014" i="1"/>
  <c r="M1006" i="1"/>
  <c r="N1006" i="1"/>
  <c r="M998" i="1"/>
  <c r="N998" i="1"/>
  <c r="M990" i="1"/>
  <c r="N990" i="1"/>
  <c r="M982" i="1"/>
  <c r="N982" i="1"/>
  <c r="M974" i="1"/>
  <c r="N974" i="1"/>
  <c r="M966" i="1"/>
  <c r="N966" i="1"/>
  <c r="M958" i="1"/>
  <c r="N958" i="1"/>
  <c r="M950" i="1"/>
  <c r="N950" i="1"/>
  <c r="M942" i="1"/>
  <c r="N942" i="1"/>
  <c r="M934" i="1"/>
  <c r="N934" i="1"/>
  <c r="M926" i="1"/>
  <c r="N926" i="1"/>
  <c r="M918" i="1"/>
  <c r="N918" i="1"/>
  <c r="M910" i="1"/>
  <c r="N910" i="1"/>
  <c r="M902" i="1"/>
  <c r="N902" i="1"/>
  <c r="M894" i="1"/>
  <c r="N894" i="1"/>
  <c r="M886" i="1"/>
  <c r="N886" i="1"/>
  <c r="M878" i="1"/>
  <c r="N878" i="1"/>
  <c r="M870" i="1"/>
  <c r="N870" i="1"/>
  <c r="M862" i="1"/>
  <c r="N862" i="1"/>
  <c r="M854" i="1"/>
  <c r="N854" i="1"/>
  <c r="M846" i="1"/>
  <c r="N846" i="1"/>
  <c r="M838" i="1"/>
  <c r="N838" i="1"/>
  <c r="M830" i="1"/>
  <c r="N830" i="1"/>
  <c r="M822" i="1"/>
  <c r="N822" i="1"/>
  <c r="M814" i="1"/>
  <c r="N814" i="1"/>
  <c r="M806" i="1"/>
  <c r="N806" i="1"/>
  <c r="M798" i="1"/>
  <c r="N798" i="1"/>
  <c r="M790" i="1"/>
  <c r="N790" i="1"/>
  <c r="M782" i="1"/>
  <c r="N782" i="1"/>
  <c r="M774" i="1"/>
  <c r="N774" i="1"/>
  <c r="M766" i="1"/>
  <c r="N766" i="1"/>
  <c r="M758" i="1"/>
  <c r="N758" i="1"/>
  <c r="M750" i="1"/>
  <c r="N750" i="1"/>
  <c r="M742" i="1"/>
  <c r="N742" i="1"/>
  <c r="N734" i="1"/>
  <c r="M734" i="1"/>
  <c r="N726" i="1"/>
  <c r="M726" i="1"/>
  <c r="N718" i="1"/>
  <c r="M718" i="1"/>
  <c r="N710" i="1"/>
  <c r="M710" i="1"/>
  <c r="N702" i="1"/>
  <c r="M702" i="1"/>
  <c r="N694" i="1"/>
  <c r="M694" i="1"/>
  <c r="N686" i="1"/>
  <c r="M686" i="1"/>
  <c r="N678" i="1"/>
  <c r="M678" i="1"/>
  <c r="N670" i="1"/>
  <c r="M670" i="1"/>
  <c r="N662" i="1"/>
  <c r="M662" i="1"/>
  <c r="N654" i="1"/>
  <c r="M654" i="1"/>
  <c r="N646" i="1"/>
  <c r="M646" i="1"/>
  <c r="N638" i="1"/>
  <c r="M638" i="1"/>
  <c r="N630" i="1"/>
  <c r="M630" i="1"/>
  <c r="N622" i="1"/>
  <c r="M622" i="1"/>
  <c r="N614" i="1"/>
  <c r="M614" i="1"/>
  <c r="N606" i="1"/>
  <c r="M606" i="1"/>
  <c r="N598" i="1"/>
  <c r="M598" i="1"/>
  <c r="N590" i="1"/>
  <c r="M590" i="1"/>
  <c r="N582" i="1"/>
  <c r="M582" i="1"/>
  <c r="N574" i="1"/>
  <c r="M574" i="1"/>
  <c r="N566" i="1"/>
  <c r="M566" i="1"/>
  <c r="N558" i="1"/>
  <c r="M558" i="1"/>
  <c r="N550" i="1"/>
  <c r="M550" i="1"/>
  <c r="N542" i="1"/>
  <c r="M542" i="1"/>
  <c r="M534" i="1"/>
  <c r="N534" i="1"/>
  <c r="M526" i="1"/>
  <c r="N526" i="1"/>
  <c r="M518" i="1"/>
  <c r="N518" i="1"/>
  <c r="M510" i="1"/>
  <c r="N510" i="1"/>
  <c r="M502" i="1"/>
  <c r="N502" i="1"/>
  <c r="M494" i="1"/>
  <c r="N494" i="1"/>
  <c r="M486" i="1"/>
  <c r="N486" i="1"/>
  <c r="M478" i="1"/>
  <c r="N478" i="1"/>
  <c r="M470" i="1"/>
  <c r="N470" i="1"/>
  <c r="M462" i="1"/>
  <c r="N462" i="1"/>
  <c r="M454" i="1"/>
  <c r="N454" i="1"/>
  <c r="M446" i="1"/>
  <c r="N446" i="1"/>
  <c r="M438" i="1"/>
  <c r="N438" i="1"/>
  <c r="M430" i="1"/>
  <c r="N430" i="1"/>
  <c r="M422" i="1"/>
  <c r="N422" i="1"/>
  <c r="M414" i="1"/>
  <c r="N414" i="1"/>
  <c r="M406" i="1"/>
  <c r="N406" i="1"/>
  <c r="M398" i="1"/>
  <c r="N398" i="1"/>
  <c r="M390" i="1"/>
  <c r="N390" i="1"/>
  <c r="M382" i="1"/>
  <c r="N382" i="1"/>
  <c r="M374" i="1"/>
  <c r="N374" i="1"/>
  <c r="M366" i="1"/>
  <c r="N366" i="1"/>
  <c r="M358" i="1"/>
  <c r="N358" i="1"/>
  <c r="M350" i="1"/>
  <c r="N350" i="1"/>
  <c r="M342" i="1"/>
  <c r="N342" i="1"/>
  <c r="M334" i="1"/>
  <c r="N334" i="1"/>
  <c r="M326" i="1"/>
  <c r="N326" i="1"/>
  <c r="N318" i="1"/>
  <c r="M318" i="1"/>
  <c r="N310" i="1"/>
  <c r="M310" i="1"/>
  <c r="N302" i="1"/>
  <c r="M302" i="1"/>
  <c r="N294" i="1"/>
  <c r="M294" i="1"/>
  <c r="N286" i="1"/>
  <c r="M286" i="1"/>
  <c r="N278" i="1"/>
  <c r="M278" i="1"/>
  <c r="N270" i="1"/>
  <c r="M270" i="1"/>
  <c r="N262" i="1"/>
  <c r="M262" i="1"/>
  <c r="N254" i="1"/>
  <c r="M254" i="1"/>
  <c r="N246" i="1"/>
  <c r="M246" i="1"/>
  <c r="N238" i="1"/>
  <c r="M238" i="1"/>
  <c r="N230" i="1"/>
  <c r="M230" i="1"/>
  <c r="N222" i="1"/>
  <c r="M222" i="1"/>
  <c r="N214" i="1"/>
  <c r="M214" i="1"/>
  <c r="N206" i="1"/>
  <c r="M206" i="1"/>
  <c r="M198" i="1"/>
  <c r="N198" i="1"/>
  <c r="M190" i="1"/>
  <c r="N190" i="1"/>
  <c r="M182" i="1"/>
  <c r="N182" i="1"/>
  <c r="N174" i="1"/>
  <c r="M174" i="1"/>
  <c r="M166" i="1"/>
  <c r="N166" i="1"/>
  <c r="M158" i="1"/>
  <c r="N158" i="1"/>
  <c r="M150" i="1"/>
  <c r="N150" i="1"/>
  <c r="N142" i="1"/>
  <c r="M142" i="1"/>
  <c r="M134" i="1"/>
  <c r="N134" i="1"/>
  <c r="M126" i="1"/>
  <c r="N126" i="1"/>
  <c r="M118" i="1"/>
  <c r="N118" i="1"/>
  <c r="N110" i="1"/>
  <c r="M110" i="1"/>
  <c r="M102" i="1"/>
  <c r="N102" i="1"/>
  <c r="M94" i="1"/>
  <c r="N94" i="1"/>
  <c r="M86" i="1"/>
  <c r="N86" i="1"/>
  <c r="N78" i="1"/>
  <c r="M78" i="1"/>
  <c r="M70" i="1"/>
  <c r="N70" i="1"/>
  <c r="M62" i="1"/>
  <c r="N62" i="1"/>
  <c r="M54" i="1"/>
  <c r="N54" i="1"/>
  <c r="N46" i="1"/>
  <c r="M46" i="1"/>
  <c r="M38" i="1"/>
  <c r="N38" i="1"/>
  <c r="M30" i="1"/>
  <c r="N30" i="1"/>
  <c r="M22" i="1"/>
  <c r="N22" i="1"/>
  <c r="N14" i="1"/>
  <c r="M14" i="1"/>
  <c r="M6" i="1"/>
  <c r="N6" i="1"/>
  <c r="N4113" i="1"/>
  <c r="M4105" i="1"/>
  <c r="M4089" i="1"/>
  <c r="M4073" i="1"/>
  <c r="M4057" i="1"/>
  <c r="M4041" i="1"/>
  <c r="M4025" i="1"/>
  <c r="M4009" i="1"/>
  <c r="M3993" i="1"/>
  <c r="M3977" i="1"/>
  <c r="M3961" i="1"/>
  <c r="M3945" i="1"/>
  <c r="M3929" i="1"/>
  <c r="M3913" i="1"/>
  <c r="M3897" i="1"/>
  <c r="M3881" i="1"/>
  <c r="M3865" i="1"/>
  <c r="M3849" i="1"/>
  <c r="M3833" i="1"/>
  <c r="M3817" i="1"/>
  <c r="M3801" i="1"/>
  <c r="M3785" i="1"/>
  <c r="M3769" i="1"/>
  <c r="M3753" i="1"/>
  <c r="M3737" i="1"/>
  <c r="M3721" i="1"/>
  <c r="M3705" i="1"/>
  <c r="M3689" i="1"/>
  <c r="M3673" i="1"/>
  <c r="M3657" i="1"/>
  <c r="M3641" i="1"/>
  <c r="M3625" i="1"/>
  <c r="N3604" i="1"/>
  <c r="M3583" i="1"/>
  <c r="M3551" i="1"/>
  <c r="M3487" i="1"/>
  <c r="M3423" i="1"/>
  <c r="M3359" i="1"/>
  <c r="M3295" i="1"/>
  <c r="M3231" i="1"/>
  <c r="M3118" i="1"/>
  <c r="N2960" i="1"/>
  <c r="M2790" i="1"/>
  <c r="M2405" i="1"/>
  <c r="N3575" i="1"/>
  <c r="M3575" i="1"/>
  <c r="N3511" i="1"/>
  <c r="M3511" i="1"/>
  <c r="N3479" i="1"/>
  <c r="M3479" i="1"/>
  <c r="N3447" i="1"/>
  <c r="M3447" i="1"/>
  <c r="N3383" i="1"/>
  <c r="M3383" i="1"/>
  <c r="N3351" i="1"/>
  <c r="M3351" i="1"/>
  <c r="N3319" i="1"/>
  <c r="M3319" i="1"/>
  <c r="M3183" i="1"/>
  <c r="N3183" i="1"/>
  <c r="M3143" i="1"/>
  <c r="N3143" i="1"/>
  <c r="M3111" i="1"/>
  <c r="N3111" i="1"/>
  <c r="M3063" i="1"/>
  <c r="N3063" i="1"/>
  <c r="M3031" i="1"/>
  <c r="N3031" i="1"/>
  <c r="M2991" i="1"/>
  <c r="N2991" i="1"/>
  <c r="M2951" i="1"/>
  <c r="N2951" i="1"/>
  <c r="M2919" i="1"/>
  <c r="N2919" i="1"/>
  <c r="M2887" i="1"/>
  <c r="N2887" i="1"/>
  <c r="M2855" i="1"/>
  <c r="N2855" i="1"/>
  <c r="M2815" i="1"/>
  <c r="N2815" i="1"/>
  <c r="M2767" i="1"/>
  <c r="N2767" i="1"/>
  <c r="M2735" i="1"/>
  <c r="N2735" i="1"/>
  <c r="M2703" i="1"/>
  <c r="N2703" i="1"/>
  <c r="M2671" i="1"/>
  <c r="N2671" i="1"/>
  <c r="M2639" i="1"/>
  <c r="N2639" i="1"/>
  <c r="M2607" i="1"/>
  <c r="N2607" i="1"/>
  <c r="M2567" i="1"/>
  <c r="N2567" i="1"/>
  <c r="M2519" i="1"/>
  <c r="N2519" i="1"/>
  <c r="M2487" i="1"/>
  <c r="N2487" i="1"/>
  <c r="M2455" i="1"/>
  <c r="N2455" i="1"/>
  <c r="M2407" i="1"/>
  <c r="N2407" i="1"/>
  <c r="M2295" i="1"/>
  <c r="N2295" i="1"/>
  <c r="M2263" i="1"/>
  <c r="N2263" i="1"/>
  <c r="M2231" i="1"/>
  <c r="N2231" i="1"/>
  <c r="M2191" i="1"/>
  <c r="N2191" i="1"/>
  <c r="M2151" i="1"/>
  <c r="N2151" i="1"/>
  <c r="M2119" i="1"/>
  <c r="N2119" i="1"/>
  <c r="M2087" i="1"/>
  <c r="N2087" i="1"/>
  <c r="M2039" i="1"/>
  <c r="N2039" i="1"/>
  <c r="M2007" i="1"/>
  <c r="N2007" i="1"/>
  <c r="M1975" i="1"/>
  <c r="N1975" i="1"/>
  <c r="M1919" i="1"/>
  <c r="N1919" i="1"/>
  <c r="M1887" i="1"/>
  <c r="N1887" i="1"/>
  <c r="M1855" i="1"/>
  <c r="N1855" i="1"/>
  <c r="M1823" i="1"/>
  <c r="N1823" i="1"/>
  <c r="M1783" i="1"/>
  <c r="N1783" i="1"/>
  <c r="M1743" i="1"/>
  <c r="N1743" i="1"/>
  <c r="M1711" i="1"/>
  <c r="N1711" i="1"/>
  <c r="M1679" i="1"/>
  <c r="N1679" i="1"/>
  <c r="M1639" i="1"/>
  <c r="N1639" i="1"/>
  <c r="M1599" i="1"/>
  <c r="N1599" i="1"/>
  <c r="N1567" i="1"/>
  <c r="M1567" i="1"/>
  <c r="N1535" i="1"/>
  <c r="M1535" i="1"/>
  <c r="M1503" i="1"/>
  <c r="N1503" i="1"/>
  <c r="M1471" i="1"/>
  <c r="N1471" i="1"/>
  <c r="M1423" i="1"/>
  <c r="N1423" i="1"/>
  <c r="M1391" i="1"/>
  <c r="N1391" i="1"/>
  <c r="M1359" i="1"/>
  <c r="N1359" i="1"/>
  <c r="M1303" i="1"/>
  <c r="N1303" i="1"/>
  <c r="M1271" i="1"/>
  <c r="N1271" i="1"/>
  <c r="M1239" i="1"/>
  <c r="N1239" i="1"/>
  <c r="M1191" i="1"/>
  <c r="N1191" i="1"/>
  <c r="M1159" i="1"/>
  <c r="N1159" i="1"/>
  <c r="M1127" i="1"/>
  <c r="N1127" i="1"/>
  <c r="M1095" i="1"/>
  <c r="N1095" i="1"/>
  <c r="M1047" i="1"/>
  <c r="N1047" i="1"/>
  <c r="M1015" i="1"/>
  <c r="N1015" i="1"/>
  <c r="M983" i="1"/>
  <c r="N983" i="1"/>
  <c r="M951" i="1"/>
  <c r="N951" i="1"/>
  <c r="M903" i="1"/>
  <c r="N903" i="1"/>
  <c r="M863" i="1"/>
  <c r="N863" i="1"/>
  <c r="M831" i="1"/>
  <c r="N831" i="1"/>
  <c r="M783" i="1"/>
  <c r="N783" i="1"/>
  <c r="M751" i="1"/>
  <c r="N751" i="1"/>
  <c r="M703" i="1"/>
  <c r="N703" i="1"/>
  <c r="M671" i="1"/>
  <c r="N671" i="1"/>
  <c r="M631" i="1"/>
  <c r="N631" i="1"/>
  <c r="M591" i="1"/>
  <c r="N591" i="1"/>
  <c r="M543" i="1"/>
  <c r="N543" i="1"/>
  <c r="M511" i="1"/>
  <c r="N511" i="1"/>
  <c r="M479" i="1"/>
  <c r="N479" i="1"/>
  <c r="M447" i="1"/>
  <c r="N447" i="1"/>
  <c r="M399" i="1"/>
  <c r="N399" i="1"/>
  <c r="M367" i="1"/>
  <c r="N367" i="1"/>
  <c r="M327" i="1"/>
  <c r="N327" i="1"/>
  <c r="M287" i="1"/>
  <c r="N287" i="1"/>
  <c r="M255" i="1"/>
  <c r="N255" i="1"/>
  <c r="M199" i="1"/>
  <c r="N199" i="1"/>
  <c r="M151" i="1"/>
  <c r="N151" i="1"/>
  <c r="M63" i="1"/>
  <c r="N63" i="1"/>
  <c r="M3621" i="1"/>
  <c r="N3621" i="1"/>
  <c r="M3605" i="1"/>
  <c r="N3605" i="1"/>
  <c r="M3589" i="1"/>
  <c r="N3589" i="1"/>
  <c r="M3565" i="1"/>
  <c r="N3565" i="1"/>
  <c r="M3533" i="1"/>
  <c r="N3533" i="1"/>
  <c r="M3509" i="1"/>
  <c r="N3509" i="1"/>
  <c r="M3485" i="1"/>
  <c r="N3485" i="1"/>
  <c r="M3453" i="1"/>
  <c r="N3453" i="1"/>
  <c r="M3429" i="1"/>
  <c r="N3429" i="1"/>
  <c r="M3397" i="1"/>
  <c r="N3397" i="1"/>
  <c r="M3373" i="1"/>
  <c r="N3373" i="1"/>
  <c r="M3349" i="1"/>
  <c r="N3349" i="1"/>
  <c r="M3325" i="1"/>
  <c r="N3325" i="1"/>
  <c r="M3301" i="1"/>
  <c r="N3301" i="1"/>
  <c r="M3277" i="1"/>
  <c r="N3277" i="1"/>
  <c r="M3253" i="1"/>
  <c r="N3253" i="1"/>
  <c r="M3229" i="1"/>
  <c r="N3229" i="1"/>
  <c r="M3205" i="1"/>
  <c r="N3205" i="1"/>
  <c r="M3181" i="1"/>
  <c r="N3181" i="1"/>
  <c r="M3149" i="1"/>
  <c r="N3149" i="1"/>
  <c r="M3125" i="1"/>
  <c r="N3125" i="1"/>
  <c r="M3101" i="1"/>
  <c r="N3101" i="1"/>
  <c r="M3077" i="1"/>
  <c r="N3077" i="1"/>
  <c r="M3053" i="1"/>
  <c r="N3053" i="1"/>
  <c r="M3021" i="1"/>
  <c r="N3021" i="1"/>
  <c r="M2997" i="1"/>
  <c r="N2997" i="1"/>
  <c r="M2973" i="1"/>
  <c r="N2973" i="1"/>
  <c r="M2949" i="1"/>
  <c r="N2949" i="1"/>
  <c r="M2925" i="1"/>
  <c r="N2925" i="1"/>
  <c r="M2901" i="1"/>
  <c r="N2901" i="1"/>
  <c r="M2877" i="1"/>
  <c r="N2877" i="1"/>
  <c r="M2845" i="1"/>
  <c r="N2845" i="1"/>
  <c r="M2821" i="1"/>
  <c r="N2821" i="1"/>
  <c r="M2797" i="1"/>
  <c r="N2797" i="1"/>
  <c r="M2773" i="1"/>
  <c r="N2773" i="1"/>
  <c r="M2749" i="1"/>
  <c r="N2749" i="1"/>
  <c r="N2725" i="1"/>
  <c r="M2725" i="1"/>
  <c r="N2701" i="1"/>
  <c r="M2701" i="1"/>
  <c r="N2677" i="1"/>
  <c r="M2677" i="1"/>
  <c r="N2645" i="1"/>
  <c r="M2645" i="1"/>
  <c r="N2621" i="1"/>
  <c r="M2621" i="1"/>
  <c r="N2597" i="1"/>
  <c r="M2597" i="1"/>
  <c r="N2581" i="1"/>
  <c r="M2581" i="1"/>
  <c r="N2557" i="1"/>
  <c r="M2557" i="1"/>
  <c r="N2533" i="1"/>
  <c r="M2533" i="1"/>
  <c r="N2509" i="1"/>
  <c r="M2509" i="1"/>
  <c r="N2485" i="1"/>
  <c r="M2485" i="1"/>
  <c r="N2461" i="1"/>
  <c r="M2461" i="1"/>
  <c r="N2437" i="1"/>
  <c r="M2437" i="1"/>
  <c r="N2421" i="1"/>
  <c r="M2421" i="1"/>
  <c r="N2397" i="1"/>
  <c r="M2397" i="1"/>
  <c r="N2373" i="1"/>
  <c r="M2373" i="1"/>
  <c r="N2341" i="1"/>
  <c r="M2341" i="1"/>
  <c r="M2309" i="1"/>
  <c r="N2309" i="1"/>
  <c r="M2285" i="1"/>
  <c r="N2285" i="1"/>
  <c r="M2261" i="1"/>
  <c r="N2261" i="1"/>
  <c r="M2237" i="1"/>
  <c r="N2237" i="1"/>
  <c r="M2205" i="1"/>
  <c r="N2205" i="1"/>
  <c r="M2181" i="1"/>
  <c r="N2181" i="1"/>
  <c r="M2157" i="1"/>
  <c r="N2157" i="1"/>
  <c r="M2133" i="1"/>
  <c r="N2133" i="1"/>
  <c r="M2109" i="1"/>
  <c r="N2109" i="1"/>
  <c r="M2085" i="1"/>
  <c r="N2085" i="1"/>
  <c r="M2061" i="1"/>
  <c r="N2061" i="1"/>
  <c r="M2037" i="1"/>
  <c r="N2037" i="1"/>
  <c r="M2013" i="1"/>
  <c r="N2013" i="1"/>
  <c r="M1989" i="1"/>
  <c r="N1989" i="1"/>
  <c r="M1957" i="1"/>
  <c r="N1957" i="1"/>
  <c r="M1925" i="1"/>
  <c r="N1925" i="1"/>
  <c r="M1901" i="1"/>
  <c r="N1901" i="1"/>
  <c r="M1869" i="1"/>
  <c r="N1869" i="1"/>
  <c r="M1845" i="1"/>
  <c r="N1845" i="1"/>
  <c r="M1821" i="1"/>
  <c r="N1821" i="1"/>
  <c r="M1797" i="1"/>
  <c r="N1797" i="1"/>
  <c r="N1773" i="1"/>
  <c r="M1773" i="1"/>
  <c r="M1741" i="1"/>
  <c r="N1741" i="1"/>
  <c r="M1717" i="1"/>
  <c r="N1717" i="1"/>
  <c r="N1693" i="1"/>
  <c r="M1693" i="1"/>
  <c r="N1669" i="1"/>
  <c r="M1669" i="1"/>
  <c r="N1645" i="1"/>
  <c r="M1645" i="1"/>
  <c r="N1621" i="1"/>
  <c r="M1621" i="1"/>
  <c r="N1597" i="1"/>
  <c r="M1597" i="1"/>
  <c r="N1565" i="1"/>
  <c r="M1565" i="1"/>
  <c r="N1541" i="1"/>
  <c r="M1541" i="1"/>
  <c r="N1509" i="1"/>
  <c r="M1509" i="1"/>
  <c r="N1477" i="1"/>
  <c r="M1477" i="1"/>
  <c r="N1453" i="1"/>
  <c r="M1453" i="1"/>
  <c r="N1429" i="1"/>
  <c r="M1429" i="1"/>
  <c r="N1405" i="1"/>
  <c r="M1405" i="1"/>
  <c r="N1381" i="1"/>
  <c r="M1381" i="1"/>
  <c r="N1357" i="1"/>
  <c r="M1357" i="1"/>
  <c r="N1333" i="1"/>
  <c r="M1333" i="1"/>
  <c r="N1301" i="1"/>
  <c r="M1301" i="1"/>
  <c r="N1277" i="1"/>
  <c r="M1277" i="1"/>
  <c r="N1253" i="1"/>
  <c r="M1253" i="1"/>
  <c r="N1229" i="1"/>
  <c r="M1229" i="1"/>
  <c r="N1205" i="1"/>
  <c r="M1205" i="1"/>
  <c r="N1181" i="1"/>
  <c r="M1181" i="1"/>
  <c r="N1157" i="1"/>
  <c r="M1157" i="1"/>
  <c r="N1125" i="1"/>
  <c r="M1125" i="1"/>
  <c r="M1085" i="1"/>
  <c r="N1085" i="1"/>
  <c r="M989" i="1"/>
  <c r="N989" i="1"/>
  <c r="M629" i="1"/>
  <c r="N629" i="1"/>
  <c r="N4103" i="1"/>
  <c r="N4087" i="1"/>
  <c r="N4071" i="1"/>
  <c r="N4055" i="1"/>
  <c r="N4039" i="1"/>
  <c r="N4023" i="1"/>
  <c r="N4007" i="1"/>
  <c r="N3991" i="1"/>
  <c r="N3975" i="1"/>
  <c r="N3959" i="1"/>
  <c r="N3943" i="1"/>
  <c r="N3927" i="1"/>
  <c r="N3911" i="1"/>
  <c r="N3895" i="1"/>
  <c r="N3879" i="1"/>
  <c r="N3863" i="1"/>
  <c r="N3847" i="1"/>
  <c r="N3831" i="1"/>
  <c r="N3815" i="1"/>
  <c r="N3799" i="1"/>
  <c r="N3783" i="1"/>
  <c r="N3767" i="1"/>
  <c r="N3751" i="1"/>
  <c r="N3735" i="1"/>
  <c r="N3719" i="1"/>
  <c r="N3703" i="1"/>
  <c r="N3687" i="1"/>
  <c r="N3671" i="1"/>
  <c r="N3655" i="1"/>
  <c r="N3639" i="1"/>
  <c r="N3623" i="1"/>
  <c r="N3602" i="1"/>
  <c r="N3581" i="1"/>
  <c r="N3545" i="1"/>
  <c r="N3481" i="1"/>
  <c r="N3417" i="1"/>
  <c r="N3353" i="1"/>
  <c r="N3289" i="1"/>
  <c r="N3225" i="1"/>
  <c r="N3106" i="1"/>
  <c r="M2946" i="1"/>
  <c r="M2776" i="1"/>
  <c r="N2343" i="1"/>
  <c r="M4082" i="1"/>
  <c r="N4082" i="1"/>
  <c r="M4042" i="1"/>
  <c r="N4042" i="1"/>
  <c r="M4002" i="1"/>
  <c r="N4002" i="1"/>
  <c r="M3954" i="1"/>
  <c r="N3954" i="1"/>
  <c r="M3914" i="1"/>
  <c r="N3914" i="1"/>
  <c r="M3866" i="1"/>
  <c r="N3866" i="1"/>
  <c r="M3834" i="1"/>
  <c r="N3834" i="1"/>
  <c r="M3786" i="1"/>
  <c r="N3786" i="1"/>
  <c r="M3746" i="1"/>
  <c r="N3746" i="1"/>
  <c r="M3706" i="1"/>
  <c r="N3706" i="1"/>
  <c r="M3666" i="1"/>
  <c r="N3666" i="1"/>
  <c r="M3538" i="1"/>
  <c r="N3538" i="1"/>
  <c r="M3490" i="1"/>
  <c r="N3490" i="1"/>
  <c r="M3434" i="1"/>
  <c r="N3434" i="1"/>
  <c r="M3386" i="1"/>
  <c r="N3386" i="1"/>
  <c r="M3346" i="1"/>
  <c r="N3346" i="1"/>
  <c r="M3306" i="1"/>
  <c r="N3306" i="1"/>
  <c r="M3234" i="1"/>
  <c r="N3234" i="1"/>
  <c r="M3130" i="1"/>
  <c r="N3130" i="1"/>
  <c r="M3090" i="1"/>
  <c r="N3090" i="1"/>
  <c r="N3050" i="1"/>
  <c r="M3050" i="1"/>
  <c r="N3010" i="1"/>
  <c r="M3010" i="1"/>
  <c r="N2970" i="1"/>
  <c r="M2970" i="1"/>
  <c r="N2922" i="1"/>
  <c r="M2922" i="1"/>
  <c r="N2890" i="1"/>
  <c r="M2890" i="1"/>
  <c r="N2842" i="1"/>
  <c r="M2842" i="1"/>
  <c r="N2794" i="1"/>
  <c r="M2794" i="1"/>
  <c r="N2746" i="1"/>
  <c r="M2746" i="1"/>
  <c r="M2698" i="1"/>
  <c r="N2698" i="1"/>
  <c r="M2674" i="1"/>
  <c r="N2674" i="1"/>
  <c r="M2626" i="1"/>
  <c r="N2626" i="1"/>
  <c r="M2578" i="1"/>
  <c r="N2578" i="1"/>
  <c r="M2538" i="1"/>
  <c r="N2538" i="1"/>
  <c r="M2498" i="1"/>
  <c r="N2498" i="1"/>
  <c r="M2458" i="1"/>
  <c r="N2458" i="1"/>
  <c r="M2402" i="1"/>
  <c r="N2402" i="1"/>
  <c r="M2346" i="1"/>
  <c r="N2346" i="1"/>
  <c r="M2298" i="1"/>
  <c r="N2298" i="1"/>
  <c r="M2258" i="1"/>
  <c r="N2258" i="1"/>
  <c r="M2218" i="1"/>
  <c r="N2218" i="1"/>
  <c r="M2170" i="1"/>
  <c r="N2170" i="1"/>
  <c r="M2114" i="1"/>
  <c r="N2114" i="1"/>
  <c r="M2074" i="1"/>
  <c r="N2074" i="1"/>
  <c r="M2034" i="1"/>
  <c r="N2034" i="1"/>
  <c r="M1994" i="1"/>
  <c r="N1994" i="1"/>
  <c r="M1946" i="1"/>
  <c r="N1946" i="1"/>
  <c r="N1906" i="1"/>
  <c r="M1906" i="1"/>
  <c r="N1866" i="1"/>
  <c r="M1866" i="1"/>
  <c r="N1810" i="1"/>
  <c r="M1810" i="1"/>
  <c r="M1762" i="1"/>
  <c r="N1762" i="1"/>
  <c r="M1722" i="1"/>
  <c r="N1722" i="1"/>
  <c r="M1682" i="1"/>
  <c r="N1682" i="1"/>
  <c r="M1642" i="1"/>
  <c r="N1642" i="1"/>
  <c r="M1610" i="1"/>
  <c r="N1610" i="1"/>
  <c r="M1578" i="1"/>
  <c r="N1578" i="1"/>
  <c r="N1538" i="1"/>
  <c r="M1538" i="1"/>
  <c r="N1498" i="1"/>
  <c r="M1498" i="1"/>
  <c r="N1466" i="1"/>
  <c r="M1466" i="1"/>
  <c r="M1418" i="1"/>
  <c r="N1418" i="1"/>
  <c r="N1370" i="1"/>
  <c r="M1370" i="1"/>
  <c r="M1330" i="1"/>
  <c r="N1330" i="1"/>
  <c r="M1282" i="1"/>
  <c r="N1282" i="1"/>
  <c r="N1242" i="1"/>
  <c r="M1242" i="1"/>
  <c r="M1218" i="1"/>
  <c r="N1218" i="1"/>
  <c r="N1178" i="1"/>
  <c r="M1178" i="1"/>
  <c r="N1146" i="1"/>
  <c r="M1146" i="1"/>
  <c r="N1114" i="1"/>
  <c r="M1114" i="1"/>
  <c r="M1074" i="1"/>
  <c r="N1074" i="1"/>
  <c r="M1042" i="1"/>
  <c r="N1042" i="1"/>
  <c r="M994" i="1"/>
  <c r="N994" i="1"/>
  <c r="M962" i="1"/>
  <c r="N962" i="1"/>
  <c r="M922" i="1"/>
  <c r="N922" i="1"/>
  <c r="M882" i="1"/>
  <c r="N882" i="1"/>
  <c r="M858" i="1"/>
  <c r="N858" i="1"/>
  <c r="M794" i="1"/>
  <c r="N794" i="1"/>
  <c r="M754" i="1"/>
  <c r="N754" i="1"/>
  <c r="N714" i="1"/>
  <c r="M714" i="1"/>
  <c r="N674" i="1"/>
  <c r="M674" i="1"/>
  <c r="N642" i="1"/>
  <c r="M642" i="1"/>
  <c r="N610" i="1"/>
  <c r="M610" i="1"/>
  <c r="N578" i="1"/>
  <c r="M578" i="1"/>
  <c r="N538" i="1"/>
  <c r="M538" i="1"/>
  <c r="M498" i="1"/>
  <c r="N498" i="1"/>
  <c r="M466" i="1"/>
  <c r="N466" i="1"/>
  <c r="N426" i="1"/>
  <c r="M426" i="1"/>
  <c r="N378" i="1"/>
  <c r="M378" i="1"/>
  <c r="N338" i="1"/>
  <c r="M338" i="1"/>
  <c r="M298" i="1"/>
  <c r="N298" i="1"/>
  <c r="M266" i="1"/>
  <c r="N266" i="1"/>
  <c r="M226" i="1"/>
  <c r="N226" i="1"/>
  <c r="M194" i="1"/>
  <c r="N194" i="1"/>
  <c r="M154" i="1"/>
  <c r="N154" i="1"/>
  <c r="M114" i="1"/>
  <c r="N114" i="1"/>
  <c r="M58" i="1"/>
  <c r="N58" i="1"/>
  <c r="M26" i="1"/>
  <c r="N26" i="1"/>
  <c r="N3559" i="1"/>
  <c r="M3559" i="1"/>
  <c r="N3495" i="1"/>
  <c r="M3495" i="1"/>
  <c r="N3463" i="1"/>
  <c r="M3463" i="1"/>
  <c r="N3399" i="1"/>
  <c r="M3399" i="1"/>
  <c r="N3367" i="1"/>
  <c r="M3367" i="1"/>
  <c r="N3335" i="1"/>
  <c r="M3335" i="1"/>
  <c r="N3271" i="1"/>
  <c r="M3271" i="1"/>
  <c r="N3255" i="1"/>
  <c r="M3255" i="1"/>
  <c r="M3207" i="1"/>
  <c r="N3207" i="1"/>
  <c r="M3175" i="1"/>
  <c r="N3175" i="1"/>
  <c r="M3151" i="1"/>
  <c r="N3151" i="1"/>
  <c r="M3119" i="1"/>
  <c r="N3119" i="1"/>
  <c r="M3087" i="1"/>
  <c r="N3087" i="1"/>
  <c r="M3039" i="1"/>
  <c r="N3039" i="1"/>
  <c r="M3007" i="1"/>
  <c r="N3007" i="1"/>
  <c r="M2975" i="1"/>
  <c r="N2975" i="1"/>
  <c r="M2943" i="1"/>
  <c r="N2943" i="1"/>
  <c r="M2911" i="1"/>
  <c r="N2911" i="1"/>
  <c r="M2879" i="1"/>
  <c r="N2879" i="1"/>
  <c r="M2847" i="1"/>
  <c r="N2847" i="1"/>
  <c r="M2823" i="1"/>
  <c r="N2823" i="1"/>
  <c r="M2791" i="1"/>
  <c r="N2791" i="1"/>
  <c r="M2759" i="1"/>
  <c r="N2759" i="1"/>
  <c r="M2727" i="1"/>
  <c r="N2727" i="1"/>
  <c r="M2695" i="1"/>
  <c r="N2695" i="1"/>
  <c r="M2663" i="1"/>
  <c r="N2663" i="1"/>
  <c r="M2631" i="1"/>
  <c r="N2631" i="1"/>
  <c r="M2599" i="1"/>
  <c r="N2599" i="1"/>
  <c r="M2575" i="1"/>
  <c r="N2575" i="1"/>
  <c r="M2543" i="1"/>
  <c r="N2543" i="1"/>
  <c r="M2495" i="1"/>
  <c r="N2495" i="1"/>
  <c r="M2463" i="1"/>
  <c r="N2463" i="1"/>
  <c r="M2431" i="1"/>
  <c r="N2431" i="1"/>
  <c r="M2399" i="1"/>
  <c r="N2399" i="1"/>
  <c r="M2375" i="1"/>
  <c r="N2375" i="1"/>
  <c r="M2351" i="1"/>
  <c r="N2351" i="1"/>
  <c r="M2319" i="1"/>
  <c r="N2319" i="1"/>
  <c r="M2271" i="1"/>
  <c r="N2271" i="1"/>
  <c r="M2239" i="1"/>
  <c r="N2239" i="1"/>
  <c r="M2207" i="1"/>
  <c r="N2207" i="1"/>
  <c r="M2175" i="1"/>
  <c r="N2175" i="1"/>
  <c r="M2135" i="1"/>
  <c r="N2135" i="1"/>
  <c r="M2095" i="1"/>
  <c r="N2095" i="1"/>
  <c r="M2063" i="1"/>
  <c r="N2063" i="1"/>
  <c r="M2031" i="1"/>
  <c r="N2031" i="1"/>
  <c r="M1999" i="1"/>
  <c r="N1999" i="1"/>
  <c r="M1967" i="1"/>
  <c r="N1967" i="1"/>
  <c r="M1927" i="1"/>
  <c r="N1927" i="1"/>
  <c r="M1895" i="1"/>
  <c r="N1895" i="1"/>
  <c r="M1863" i="1"/>
  <c r="N1863" i="1"/>
  <c r="M1831" i="1"/>
  <c r="N1831" i="1"/>
  <c r="M1799" i="1"/>
  <c r="N1799" i="1"/>
  <c r="M1767" i="1"/>
  <c r="N1767" i="1"/>
  <c r="M1735" i="1"/>
  <c r="N1735" i="1"/>
  <c r="M1687" i="1"/>
  <c r="N1687" i="1"/>
  <c r="M1655" i="1"/>
  <c r="N1655" i="1"/>
  <c r="M1623" i="1"/>
  <c r="N1623" i="1"/>
  <c r="M1591" i="1"/>
  <c r="N1591" i="1"/>
  <c r="N1559" i="1"/>
  <c r="M1559" i="1"/>
  <c r="N1527" i="1"/>
  <c r="M1527" i="1"/>
  <c r="M1487" i="1"/>
  <c r="N1487" i="1"/>
  <c r="M1447" i="1"/>
  <c r="N1447" i="1"/>
  <c r="M1415" i="1"/>
  <c r="N1415" i="1"/>
  <c r="M1383" i="1"/>
  <c r="N1383" i="1"/>
  <c r="M1343" i="1"/>
  <c r="N1343" i="1"/>
  <c r="M1311" i="1"/>
  <c r="N1311" i="1"/>
  <c r="M1279" i="1"/>
  <c r="N1279" i="1"/>
  <c r="M1247" i="1"/>
  <c r="N1247" i="1"/>
  <c r="M1215" i="1"/>
  <c r="N1215" i="1"/>
  <c r="M1183" i="1"/>
  <c r="N1183" i="1"/>
  <c r="M1151" i="1"/>
  <c r="N1151" i="1"/>
  <c r="M1119" i="1"/>
  <c r="N1119" i="1"/>
  <c r="M1071" i="1"/>
  <c r="N1071" i="1"/>
  <c r="M1039" i="1"/>
  <c r="N1039" i="1"/>
  <c r="M1007" i="1"/>
  <c r="N1007" i="1"/>
  <c r="M975" i="1"/>
  <c r="N975" i="1"/>
  <c r="M927" i="1"/>
  <c r="N927" i="1"/>
  <c r="M895" i="1"/>
  <c r="N895" i="1"/>
  <c r="M871" i="1"/>
  <c r="N871" i="1"/>
  <c r="M839" i="1"/>
  <c r="N839" i="1"/>
  <c r="M807" i="1"/>
  <c r="N807" i="1"/>
  <c r="M767" i="1"/>
  <c r="N767" i="1"/>
  <c r="M727" i="1"/>
  <c r="N727" i="1"/>
  <c r="M695" i="1"/>
  <c r="N695" i="1"/>
  <c r="M663" i="1"/>
  <c r="N663" i="1"/>
  <c r="M639" i="1"/>
  <c r="N639" i="1"/>
  <c r="M607" i="1"/>
  <c r="N607" i="1"/>
  <c r="M559" i="1"/>
  <c r="N559" i="1"/>
  <c r="M519" i="1"/>
  <c r="N519" i="1"/>
  <c r="M487" i="1"/>
  <c r="N487" i="1"/>
  <c r="M455" i="1"/>
  <c r="N455" i="1"/>
  <c r="M423" i="1"/>
  <c r="N423" i="1"/>
  <c r="M383" i="1"/>
  <c r="N383" i="1"/>
  <c r="M343" i="1"/>
  <c r="N343" i="1"/>
  <c r="M311" i="1"/>
  <c r="N311" i="1"/>
  <c r="M279" i="1"/>
  <c r="N279" i="1"/>
  <c r="M247" i="1"/>
  <c r="N247" i="1"/>
  <c r="M207" i="1"/>
  <c r="N207" i="1"/>
  <c r="M175" i="1"/>
  <c r="N175" i="1"/>
  <c r="M143" i="1"/>
  <c r="N143" i="1"/>
  <c r="M111" i="1"/>
  <c r="N111" i="1"/>
  <c r="M79" i="1"/>
  <c r="N79" i="1"/>
  <c r="M47" i="1"/>
  <c r="N47" i="1"/>
  <c r="M23" i="1"/>
  <c r="N23" i="1"/>
  <c r="M3573" i="1"/>
  <c r="N3573" i="1"/>
  <c r="M3549" i="1"/>
  <c r="N3549" i="1"/>
  <c r="M3525" i="1"/>
  <c r="N3525" i="1"/>
  <c r="M3501" i="1"/>
  <c r="N3501" i="1"/>
  <c r="M3477" i="1"/>
  <c r="N3477" i="1"/>
  <c r="M3461" i="1"/>
  <c r="N3461" i="1"/>
  <c r="M3437" i="1"/>
  <c r="N3437" i="1"/>
  <c r="M3413" i="1"/>
  <c r="N3413" i="1"/>
  <c r="M3381" i="1"/>
  <c r="N3381" i="1"/>
  <c r="M3357" i="1"/>
  <c r="N3357" i="1"/>
  <c r="M3333" i="1"/>
  <c r="N3333" i="1"/>
  <c r="M3309" i="1"/>
  <c r="N3309" i="1"/>
  <c r="M3285" i="1"/>
  <c r="N3285" i="1"/>
  <c r="M3261" i="1"/>
  <c r="N3261" i="1"/>
  <c r="M3237" i="1"/>
  <c r="N3237" i="1"/>
  <c r="M3213" i="1"/>
  <c r="N3213" i="1"/>
  <c r="M3197" i="1"/>
  <c r="N3197" i="1"/>
  <c r="M3173" i="1"/>
  <c r="N3173" i="1"/>
  <c r="M3157" i="1"/>
  <c r="N3157" i="1"/>
  <c r="M3133" i="1"/>
  <c r="N3133" i="1"/>
  <c r="M3109" i="1"/>
  <c r="N3109" i="1"/>
  <c r="M3085" i="1"/>
  <c r="N3085" i="1"/>
  <c r="M3061" i="1"/>
  <c r="N3061" i="1"/>
  <c r="M3037" i="1"/>
  <c r="N3037" i="1"/>
  <c r="M3013" i="1"/>
  <c r="N3013" i="1"/>
  <c r="M2989" i="1"/>
  <c r="N2989" i="1"/>
  <c r="M2965" i="1"/>
  <c r="N2965" i="1"/>
  <c r="M2941" i="1"/>
  <c r="N2941" i="1"/>
  <c r="M2909" i="1"/>
  <c r="N2909" i="1"/>
  <c r="M2885" i="1"/>
  <c r="N2885" i="1"/>
  <c r="M2861" i="1"/>
  <c r="N2861" i="1"/>
  <c r="M2837" i="1"/>
  <c r="N2837" i="1"/>
  <c r="M2813" i="1"/>
  <c r="N2813" i="1"/>
  <c r="M2789" i="1"/>
  <c r="N2789" i="1"/>
  <c r="M2765" i="1"/>
  <c r="N2765" i="1"/>
  <c r="N2741" i="1"/>
  <c r="M2741" i="1"/>
  <c r="N2717" i="1"/>
  <c r="M2717" i="1"/>
  <c r="N2693" i="1"/>
  <c r="M2693" i="1"/>
  <c r="N2661" i="1"/>
  <c r="M2661" i="1"/>
  <c r="N2613" i="1"/>
  <c r="M2613" i="1"/>
  <c r="N2589" i="1"/>
  <c r="M2589" i="1"/>
  <c r="N2565" i="1"/>
  <c r="M2565" i="1"/>
  <c r="N2541" i="1"/>
  <c r="M2541" i="1"/>
  <c r="N2525" i="1"/>
  <c r="M2525" i="1"/>
  <c r="N2501" i="1"/>
  <c r="M2501" i="1"/>
  <c r="N2477" i="1"/>
  <c r="M2477" i="1"/>
  <c r="N2445" i="1"/>
  <c r="M2445" i="1"/>
  <c r="N2381" i="1"/>
  <c r="M2381" i="1"/>
  <c r="N2357" i="1"/>
  <c r="M2357" i="1"/>
  <c r="M2333" i="1"/>
  <c r="N2333" i="1"/>
  <c r="M2317" i="1"/>
  <c r="N2317" i="1"/>
  <c r="M2293" i="1"/>
  <c r="N2293" i="1"/>
  <c r="M2269" i="1"/>
  <c r="N2269" i="1"/>
  <c r="M2245" i="1"/>
  <c r="N2245" i="1"/>
  <c r="M2221" i="1"/>
  <c r="N2221" i="1"/>
  <c r="M2197" i="1"/>
  <c r="N2197" i="1"/>
  <c r="M2173" i="1"/>
  <c r="N2173" i="1"/>
  <c r="M2149" i="1"/>
  <c r="N2149" i="1"/>
  <c r="M2125" i="1"/>
  <c r="N2125" i="1"/>
  <c r="M2101" i="1"/>
  <c r="N2101" i="1"/>
  <c r="M2069" i="1"/>
  <c r="N2069" i="1"/>
  <c r="M2045" i="1"/>
  <c r="N2045" i="1"/>
  <c r="M2021" i="1"/>
  <c r="N2021" i="1"/>
  <c r="M1997" i="1"/>
  <c r="N1997" i="1"/>
  <c r="M1973" i="1"/>
  <c r="N1973" i="1"/>
  <c r="M1949" i="1"/>
  <c r="N1949" i="1"/>
  <c r="M1933" i="1"/>
  <c r="N1933" i="1"/>
  <c r="M1909" i="1"/>
  <c r="N1909" i="1"/>
  <c r="M1885" i="1"/>
  <c r="N1885" i="1"/>
  <c r="M1853" i="1"/>
  <c r="N1853" i="1"/>
  <c r="M1829" i="1"/>
  <c r="N1829" i="1"/>
  <c r="N1805" i="1"/>
  <c r="M1805" i="1"/>
  <c r="M1781" i="1"/>
  <c r="N1781" i="1"/>
  <c r="M1757" i="1"/>
  <c r="N1757" i="1"/>
  <c r="M1733" i="1"/>
  <c r="N1733" i="1"/>
  <c r="M1709" i="1"/>
  <c r="N1709" i="1"/>
  <c r="N1685" i="1"/>
  <c r="M1685" i="1"/>
  <c r="N1653" i="1"/>
  <c r="M1653" i="1"/>
  <c r="N1629" i="1"/>
  <c r="M1629" i="1"/>
  <c r="N1605" i="1"/>
  <c r="M1605" i="1"/>
  <c r="N1581" i="1"/>
  <c r="M1581" i="1"/>
  <c r="N1557" i="1"/>
  <c r="M1557" i="1"/>
  <c r="N1533" i="1"/>
  <c r="M1533" i="1"/>
  <c r="N1517" i="1"/>
  <c r="M1517" i="1"/>
  <c r="N1493" i="1"/>
  <c r="M1493" i="1"/>
  <c r="N1461" i="1"/>
  <c r="M1461" i="1"/>
  <c r="N1437" i="1"/>
  <c r="M1437" i="1"/>
  <c r="N1413" i="1"/>
  <c r="M1413" i="1"/>
  <c r="N1389" i="1"/>
  <c r="M1389" i="1"/>
  <c r="N1365" i="1"/>
  <c r="M1365" i="1"/>
  <c r="N1341" i="1"/>
  <c r="M1341" i="1"/>
  <c r="N1317" i="1"/>
  <c r="M1317" i="1"/>
  <c r="N1293" i="1"/>
  <c r="M1293" i="1"/>
  <c r="N1269" i="1"/>
  <c r="M1269" i="1"/>
  <c r="N1237" i="1"/>
  <c r="M1237" i="1"/>
  <c r="N1213" i="1"/>
  <c r="M1213" i="1"/>
  <c r="N1189" i="1"/>
  <c r="M1189" i="1"/>
  <c r="N1165" i="1"/>
  <c r="M1165" i="1"/>
  <c r="N1141" i="1"/>
  <c r="M1141" i="1"/>
  <c r="N1117" i="1"/>
  <c r="M1117" i="1"/>
  <c r="N1101" i="1"/>
  <c r="M1101" i="1"/>
  <c r="M1077" i="1"/>
  <c r="N1077" i="1"/>
  <c r="M1061" i="1"/>
  <c r="N1061" i="1"/>
  <c r="M1045" i="1"/>
  <c r="N1045" i="1"/>
  <c r="M1029" i="1"/>
  <c r="N1029" i="1"/>
  <c r="M1013" i="1"/>
  <c r="N1013" i="1"/>
  <c r="M997" i="1"/>
  <c r="N997" i="1"/>
  <c r="M973" i="1"/>
  <c r="N973" i="1"/>
  <c r="M957" i="1"/>
  <c r="N957" i="1"/>
  <c r="M941" i="1"/>
  <c r="N941" i="1"/>
  <c r="M925" i="1"/>
  <c r="N925" i="1"/>
  <c r="N909" i="1"/>
  <c r="M909" i="1"/>
  <c r="N893" i="1"/>
  <c r="M893" i="1"/>
  <c r="N877" i="1"/>
  <c r="M877" i="1"/>
  <c r="N861" i="1"/>
  <c r="M861" i="1"/>
  <c r="N845" i="1"/>
  <c r="M845" i="1"/>
  <c r="N829" i="1"/>
  <c r="M829" i="1"/>
  <c r="N813" i="1"/>
  <c r="M813" i="1"/>
  <c r="N797" i="1"/>
  <c r="M797" i="1"/>
  <c r="N781" i="1"/>
  <c r="M781" i="1"/>
  <c r="N765" i="1"/>
  <c r="M765" i="1"/>
  <c r="N749" i="1"/>
  <c r="M749" i="1"/>
  <c r="M733" i="1"/>
  <c r="N733" i="1"/>
  <c r="M717" i="1"/>
  <c r="N717" i="1"/>
  <c r="M701" i="1"/>
  <c r="N701" i="1"/>
  <c r="M685" i="1"/>
  <c r="N685" i="1"/>
  <c r="M669" i="1"/>
  <c r="N669" i="1"/>
  <c r="M653" i="1"/>
  <c r="N653" i="1"/>
  <c r="M637" i="1"/>
  <c r="N637" i="1"/>
  <c r="M621" i="1"/>
  <c r="N621" i="1"/>
  <c r="M605" i="1"/>
  <c r="N605" i="1"/>
  <c r="M589" i="1"/>
  <c r="N589" i="1"/>
  <c r="M573" i="1"/>
  <c r="N573" i="1"/>
  <c r="M557" i="1"/>
  <c r="N557" i="1"/>
  <c r="M541" i="1"/>
  <c r="N541" i="1"/>
  <c r="M525" i="1"/>
  <c r="N525" i="1"/>
  <c r="M509" i="1"/>
  <c r="N509" i="1"/>
  <c r="M485" i="1"/>
  <c r="N485" i="1"/>
  <c r="M469" i="1"/>
  <c r="N469" i="1"/>
  <c r="M453" i="1"/>
  <c r="N453" i="1"/>
  <c r="M437" i="1"/>
  <c r="N437" i="1"/>
  <c r="M421" i="1"/>
  <c r="N421" i="1"/>
  <c r="M405" i="1"/>
  <c r="N405" i="1"/>
  <c r="M389" i="1"/>
  <c r="N389" i="1"/>
  <c r="M373" i="1"/>
  <c r="N373" i="1"/>
  <c r="M357" i="1"/>
  <c r="N357" i="1"/>
  <c r="N341" i="1"/>
  <c r="M341" i="1"/>
  <c r="N325" i="1"/>
  <c r="M325" i="1"/>
  <c r="N309" i="1"/>
  <c r="M309" i="1"/>
  <c r="N293" i="1"/>
  <c r="M293" i="1"/>
  <c r="N277" i="1"/>
  <c r="M277" i="1"/>
  <c r="N261" i="1"/>
  <c r="M261" i="1"/>
  <c r="N245" i="1"/>
  <c r="M245" i="1"/>
  <c r="N229" i="1"/>
  <c r="M229" i="1"/>
  <c r="N213" i="1"/>
  <c r="M213" i="1"/>
  <c r="N197" i="1"/>
  <c r="M197" i="1"/>
  <c r="N181" i="1"/>
  <c r="M181" i="1"/>
  <c r="N165" i="1"/>
  <c r="M165" i="1"/>
  <c r="N149" i="1"/>
  <c r="M149" i="1"/>
  <c r="N133" i="1"/>
  <c r="M133" i="1"/>
  <c r="N117" i="1"/>
  <c r="M117" i="1"/>
  <c r="N101" i="1"/>
  <c r="M101" i="1"/>
  <c r="N85" i="1"/>
  <c r="M85" i="1"/>
  <c r="N69" i="1"/>
  <c r="M69" i="1"/>
  <c r="N53" i="1"/>
  <c r="M53" i="1"/>
  <c r="N37" i="1"/>
  <c r="M37" i="1"/>
  <c r="N21" i="1"/>
  <c r="M21" i="1"/>
  <c r="N13" i="1"/>
  <c r="M13" i="1"/>
  <c r="M4108" i="1"/>
  <c r="N4108" i="1"/>
  <c r="M4100" i="1"/>
  <c r="N4100" i="1"/>
  <c r="M4092" i="1"/>
  <c r="N4092" i="1"/>
  <c r="M4084" i="1"/>
  <c r="N4084" i="1"/>
  <c r="M4076" i="1"/>
  <c r="N4076" i="1"/>
  <c r="M4068" i="1"/>
  <c r="N4068" i="1"/>
  <c r="M4060" i="1"/>
  <c r="N4060" i="1"/>
  <c r="M4052" i="1"/>
  <c r="N4052" i="1"/>
  <c r="M4044" i="1"/>
  <c r="N4044" i="1"/>
  <c r="M4036" i="1"/>
  <c r="N4036" i="1"/>
  <c r="M4028" i="1"/>
  <c r="N4028" i="1"/>
  <c r="M4020" i="1"/>
  <c r="N4020" i="1"/>
  <c r="M4012" i="1"/>
  <c r="N4012" i="1"/>
  <c r="M4004" i="1"/>
  <c r="N4004" i="1"/>
  <c r="M3996" i="1"/>
  <c r="N3996" i="1"/>
  <c r="M3988" i="1"/>
  <c r="N3988" i="1"/>
  <c r="M3980" i="1"/>
  <c r="N3980" i="1"/>
  <c r="M3972" i="1"/>
  <c r="N3972" i="1"/>
  <c r="M3964" i="1"/>
  <c r="N3964" i="1"/>
  <c r="M3956" i="1"/>
  <c r="N3956" i="1"/>
  <c r="M3948" i="1"/>
  <c r="N3948" i="1"/>
  <c r="M3940" i="1"/>
  <c r="N3940" i="1"/>
  <c r="M3932" i="1"/>
  <c r="N3932" i="1"/>
  <c r="M3924" i="1"/>
  <c r="N3924" i="1"/>
  <c r="M3916" i="1"/>
  <c r="N3916" i="1"/>
  <c r="M3908" i="1"/>
  <c r="N3908" i="1"/>
  <c r="M3900" i="1"/>
  <c r="N3900" i="1"/>
  <c r="M3892" i="1"/>
  <c r="N3892" i="1"/>
  <c r="M3884" i="1"/>
  <c r="N3884" i="1"/>
  <c r="M3876" i="1"/>
  <c r="N3876" i="1"/>
  <c r="M3868" i="1"/>
  <c r="N3868" i="1"/>
  <c r="M3860" i="1"/>
  <c r="N3860" i="1"/>
  <c r="M3852" i="1"/>
  <c r="N3852" i="1"/>
  <c r="M3844" i="1"/>
  <c r="N3844" i="1"/>
  <c r="M3836" i="1"/>
  <c r="N3836" i="1"/>
  <c r="M3828" i="1"/>
  <c r="N3828" i="1"/>
  <c r="M3820" i="1"/>
  <c r="N3820" i="1"/>
  <c r="M3812" i="1"/>
  <c r="N3812" i="1"/>
  <c r="M3804" i="1"/>
  <c r="N3804" i="1"/>
  <c r="M3796" i="1"/>
  <c r="N3796" i="1"/>
  <c r="M3788" i="1"/>
  <c r="N3788" i="1"/>
  <c r="M3780" i="1"/>
  <c r="N3780" i="1"/>
  <c r="M3772" i="1"/>
  <c r="N3772" i="1"/>
  <c r="M3764" i="1"/>
  <c r="N3764" i="1"/>
  <c r="M3756" i="1"/>
  <c r="N3756" i="1"/>
  <c r="M3748" i="1"/>
  <c r="N3748" i="1"/>
  <c r="M3740" i="1"/>
  <c r="N3740" i="1"/>
  <c r="M3732" i="1"/>
  <c r="N3732" i="1"/>
  <c r="M3724" i="1"/>
  <c r="N3724" i="1"/>
  <c r="M3716" i="1"/>
  <c r="N3716" i="1"/>
  <c r="M3708" i="1"/>
  <c r="N3708" i="1"/>
  <c r="M3700" i="1"/>
  <c r="N3700" i="1"/>
  <c r="M3692" i="1"/>
  <c r="N3692" i="1"/>
  <c r="M3684" i="1"/>
  <c r="N3684" i="1"/>
  <c r="M3676" i="1"/>
  <c r="N3676" i="1"/>
  <c r="M3668" i="1"/>
  <c r="N3668" i="1"/>
  <c r="M3660" i="1"/>
  <c r="N3660" i="1"/>
  <c r="M3652" i="1"/>
  <c r="N3652" i="1"/>
  <c r="M3644" i="1"/>
  <c r="N3644" i="1"/>
  <c r="M3636" i="1"/>
  <c r="N3636" i="1"/>
  <c r="M3628" i="1"/>
  <c r="N3628" i="1"/>
  <c r="M3612" i="1"/>
  <c r="N3612" i="1"/>
  <c r="M3596" i="1"/>
  <c r="N3596" i="1"/>
  <c r="M3580" i="1"/>
  <c r="N3580" i="1"/>
  <c r="M3564" i="1"/>
  <c r="N3564" i="1"/>
  <c r="M3556" i="1"/>
  <c r="N3556" i="1"/>
  <c r="M3548" i="1"/>
  <c r="N3548" i="1"/>
  <c r="M3540" i="1"/>
  <c r="N3540" i="1"/>
  <c r="M3532" i="1"/>
  <c r="N3532" i="1"/>
  <c r="M3524" i="1"/>
  <c r="N3524" i="1"/>
  <c r="M3516" i="1"/>
  <c r="N3516" i="1"/>
  <c r="M3508" i="1"/>
  <c r="N3508" i="1"/>
  <c r="M3500" i="1"/>
  <c r="N3500" i="1"/>
  <c r="M3492" i="1"/>
  <c r="N3492" i="1"/>
  <c r="M3484" i="1"/>
  <c r="N3484" i="1"/>
  <c r="M3476" i="1"/>
  <c r="N3476" i="1"/>
  <c r="M3468" i="1"/>
  <c r="N3468" i="1"/>
  <c r="M3460" i="1"/>
  <c r="N3460" i="1"/>
  <c r="M3452" i="1"/>
  <c r="N3452" i="1"/>
  <c r="M3444" i="1"/>
  <c r="N3444" i="1"/>
  <c r="M3436" i="1"/>
  <c r="N3436" i="1"/>
  <c r="M3428" i="1"/>
  <c r="N3428" i="1"/>
  <c r="M3420" i="1"/>
  <c r="N3420" i="1"/>
  <c r="M3412" i="1"/>
  <c r="N3412" i="1"/>
  <c r="M3404" i="1"/>
  <c r="N3404" i="1"/>
  <c r="M3396" i="1"/>
  <c r="N3396" i="1"/>
  <c r="M3388" i="1"/>
  <c r="N3388" i="1"/>
  <c r="M3380" i="1"/>
  <c r="N3380" i="1"/>
  <c r="M3372" i="1"/>
  <c r="N3372" i="1"/>
  <c r="M3364" i="1"/>
  <c r="N3364" i="1"/>
  <c r="M3356" i="1"/>
  <c r="N3356" i="1"/>
  <c r="M3348" i="1"/>
  <c r="N3348" i="1"/>
  <c r="M3340" i="1"/>
  <c r="N3340" i="1"/>
  <c r="M3332" i="1"/>
  <c r="N3332" i="1"/>
  <c r="M3324" i="1"/>
  <c r="N3324" i="1"/>
  <c r="M3316" i="1"/>
  <c r="N3316" i="1"/>
  <c r="M3308" i="1"/>
  <c r="N3308" i="1"/>
  <c r="M3300" i="1"/>
  <c r="N3300" i="1"/>
  <c r="M3292" i="1"/>
  <c r="N3292" i="1"/>
  <c r="M3284" i="1"/>
  <c r="N3284" i="1"/>
  <c r="M3276" i="1"/>
  <c r="N3276" i="1"/>
  <c r="M3268" i="1"/>
  <c r="N3268" i="1"/>
  <c r="M3260" i="1"/>
  <c r="N3260" i="1"/>
  <c r="M3252" i="1"/>
  <c r="N3252" i="1"/>
  <c r="M3244" i="1"/>
  <c r="N3244" i="1"/>
  <c r="M3236" i="1"/>
  <c r="N3236" i="1"/>
  <c r="M3228" i="1"/>
  <c r="N3228" i="1"/>
  <c r="M3220" i="1"/>
  <c r="N3220" i="1"/>
  <c r="M3212" i="1"/>
  <c r="N3212" i="1"/>
  <c r="M3204" i="1"/>
  <c r="N3204" i="1"/>
  <c r="M3196" i="1"/>
  <c r="N3196" i="1"/>
  <c r="M3188" i="1"/>
  <c r="N3188" i="1"/>
  <c r="M3180" i="1"/>
  <c r="N3180" i="1"/>
  <c r="M3172" i="1"/>
  <c r="N3172" i="1"/>
  <c r="M3164" i="1"/>
  <c r="N3164" i="1"/>
  <c r="M3156" i="1"/>
  <c r="N3156" i="1"/>
  <c r="M3148" i="1"/>
  <c r="N3148" i="1"/>
  <c r="M3140" i="1"/>
  <c r="N3140" i="1"/>
  <c r="M3132" i="1"/>
  <c r="N3132" i="1"/>
  <c r="M3124" i="1"/>
  <c r="N3124" i="1"/>
  <c r="M3116" i="1"/>
  <c r="N3116" i="1"/>
  <c r="M3108" i="1"/>
  <c r="N3108" i="1"/>
  <c r="M3100" i="1"/>
  <c r="N3100" i="1"/>
  <c r="M3092" i="1"/>
  <c r="N3092" i="1"/>
  <c r="M3084" i="1"/>
  <c r="N3084" i="1"/>
  <c r="M3076" i="1"/>
  <c r="N3076" i="1"/>
  <c r="N3068" i="1"/>
  <c r="M3068" i="1"/>
  <c r="M3060" i="1"/>
  <c r="N3060" i="1"/>
  <c r="M3052" i="1"/>
  <c r="N3052" i="1"/>
  <c r="M3044" i="1"/>
  <c r="N3044" i="1"/>
  <c r="N3036" i="1"/>
  <c r="M3036" i="1"/>
  <c r="M3028" i="1"/>
  <c r="N3028" i="1"/>
  <c r="M3020" i="1"/>
  <c r="N3020" i="1"/>
  <c r="M3012" i="1"/>
  <c r="N3012" i="1"/>
  <c r="M2996" i="1"/>
  <c r="N2996" i="1"/>
  <c r="M2980" i="1"/>
  <c r="N2980" i="1"/>
  <c r="N2972" i="1"/>
  <c r="M2972" i="1"/>
  <c r="M2964" i="1"/>
  <c r="N2964" i="1"/>
  <c r="M2956" i="1"/>
  <c r="N2956" i="1"/>
  <c r="M2948" i="1"/>
  <c r="N2948" i="1"/>
  <c r="N2940" i="1"/>
  <c r="M2940" i="1"/>
  <c r="M2932" i="1"/>
  <c r="N2932" i="1"/>
  <c r="M2924" i="1"/>
  <c r="N2924" i="1"/>
  <c r="M2916" i="1"/>
  <c r="N2916" i="1"/>
  <c r="N2908" i="1"/>
  <c r="M2908" i="1"/>
  <c r="M2900" i="1"/>
  <c r="N2900" i="1"/>
  <c r="M2892" i="1"/>
  <c r="N2892" i="1"/>
  <c r="M2884" i="1"/>
  <c r="N2884" i="1"/>
  <c r="M2868" i="1"/>
  <c r="N2868" i="1"/>
  <c r="M2852" i="1"/>
  <c r="N2852" i="1"/>
  <c r="N2844" i="1"/>
  <c r="M2844" i="1"/>
  <c r="M2836" i="1"/>
  <c r="N2836" i="1"/>
  <c r="M2828" i="1"/>
  <c r="N2828" i="1"/>
  <c r="M2820" i="1"/>
  <c r="N2820" i="1"/>
  <c r="N2812" i="1"/>
  <c r="M2812" i="1"/>
  <c r="M2804" i="1"/>
  <c r="N2804" i="1"/>
  <c r="M2796" i="1"/>
  <c r="N2796" i="1"/>
  <c r="M2788" i="1"/>
  <c r="N2788" i="1"/>
  <c r="N2780" i="1"/>
  <c r="M2780" i="1"/>
  <c r="M2772" i="1"/>
  <c r="N2772" i="1"/>
  <c r="M2764" i="1"/>
  <c r="N2764" i="1"/>
  <c r="M2756" i="1"/>
  <c r="N2756" i="1"/>
  <c r="M2740" i="1"/>
  <c r="N2740" i="1"/>
  <c r="M2732" i="1"/>
  <c r="N2732" i="1"/>
  <c r="M2724" i="1"/>
  <c r="N2724" i="1"/>
  <c r="M2716" i="1"/>
  <c r="N2716" i="1"/>
  <c r="M2708" i="1"/>
  <c r="N2708" i="1"/>
  <c r="M2700" i="1"/>
  <c r="N2700" i="1"/>
  <c r="M2692" i="1"/>
  <c r="N2692" i="1"/>
  <c r="M2684" i="1"/>
  <c r="N2684" i="1"/>
  <c r="M2676" i="1"/>
  <c r="N2676" i="1"/>
  <c r="M2668" i="1"/>
  <c r="N2668" i="1"/>
  <c r="M2660" i="1"/>
  <c r="N2660" i="1"/>
  <c r="M2652" i="1"/>
  <c r="N2652" i="1"/>
  <c r="M2644" i="1"/>
  <c r="N2644" i="1"/>
  <c r="M2636" i="1"/>
  <c r="N2636" i="1"/>
  <c r="M2628" i="1"/>
  <c r="N2628" i="1"/>
  <c r="M2620" i="1"/>
  <c r="N2620" i="1"/>
  <c r="M2612" i="1"/>
  <c r="N2612" i="1"/>
  <c r="M2604" i="1"/>
  <c r="N2604" i="1"/>
  <c r="M2596" i="1"/>
  <c r="N2596" i="1"/>
  <c r="M2588" i="1"/>
  <c r="N2588" i="1"/>
  <c r="M2580" i="1"/>
  <c r="N2580" i="1"/>
  <c r="M2572" i="1"/>
  <c r="N2572" i="1"/>
  <c r="M2564" i="1"/>
  <c r="N2564" i="1"/>
  <c r="M2556" i="1"/>
  <c r="N2556" i="1"/>
  <c r="M2548" i="1"/>
  <c r="N2548" i="1"/>
  <c r="M2540" i="1"/>
  <c r="N2540" i="1"/>
  <c r="M2532" i="1"/>
  <c r="N2532" i="1"/>
  <c r="M2524" i="1"/>
  <c r="N2524" i="1"/>
  <c r="M2516" i="1"/>
  <c r="N2516" i="1"/>
  <c r="M2508" i="1"/>
  <c r="N2508" i="1"/>
  <c r="M2500" i="1"/>
  <c r="N2500" i="1"/>
  <c r="M2492" i="1"/>
  <c r="N2492" i="1"/>
  <c r="M2484" i="1"/>
  <c r="N2484" i="1"/>
  <c r="M2476" i="1"/>
  <c r="N2476" i="1"/>
  <c r="M2468" i="1"/>
  <c r="N2468" i="1"/>
  <c r="M2460" i="1"/>
  <c r="N2460" i="1"/>
  <c r="M2452" i="1"/>
  <c r="N2452" i="1"/>
  <c r="M2444" i="1"/>
  <c r="N2444" i="1"/>
  <c r="M2436" i="1"/>
  <c r="N2436" i="1"/>
  <c r="M2428" i="1"/>
  <c r="N2428" i="1"/>
  <c r="M2420" i="1"/>
  <c r="N2420" i="1"/>
  <c r="M2412" i="1"/>
  <c r="N2412" i="1"/>
  <c r="M2404" i="1"/>
  <c r="N2404" i="1"/>
  <c r="M2396" i="1"/>
  <c r="N2396" i="1"/>
  <c r="M2388" i="1"/>
  <c r="N2388" i="1"/>
  <c r="M2380" i="1"/>
  <c r="N2380" i="1"/>
  <c r="M2372" i="1"/>
  <c r="N2372" i="1"/>
  <c r="M2364" i="1"/>
  <c r="N2364" i="1"/>
  <c r="M2356" i="1"/>
  <c r="N2356" i="1"/>
  <c r="M2348" i="1"/>
  <c r="N2348" i="1"/>
  <c r="M2340" i="1"/>
  <c r="N2340" i="1"/>
  <c r="M2332" i="1"/>
  <c r="N2332" i="1"/>
  <c r="M2324" i="1"/>
  <c r="N2324" i="1"/>
  <c r="M2316" i="1"/>
  <c r="N2316" i="1"/>
  <c r="M2308" i="1"/>
  <c r="N2308" i="1"/>
  <c r="M2300" i="1"/>
  <c r="N2300" i="1"/>
  <c r="M2292" i="1"/>
  <c r="N2292" i="1"/>
  <c r="M2284" i="1"/>
  <c r="N2284" i="1"/>
  <c r="M2276" i="1"/>
  <c r="N2276" i="1"/>
  <c r="M2268" i="1"/>
  <c r="N2268" i="1"/>
  <c r="M2260" i="1"/>
  <c r="N2260" i="1"/>
  <c r="M2252" i="1"/>
  <c r="N2252" i="1"/>
  <c r="M2244" i="1"/>
  <c r="N2244" i="1"/>
  <c r="M2236" i="1"/>
  <c r="N2236" i="1"/>
  <c r="M2228" i="1"/>
  <c r="N2228" i="1"/>
  <c r="M2220" i="1"/>
  <c r="N2220" i="1"/>
  <c r="M2212" i="1"/>
  <c r="N2212" i="1"/>
  <c r="M2204" i="1"/>
  <c r="N2204" i="1"/>
  <c r="M2196" i="1"/>
  <c r="N2196" i="1"/>
  <c r="M2188" i="1"/>
  <c r="N2188" i="1"/>
  <c r="M2180" i="1"/>
  <c r="N2180" i="1"/>
  <c r="M2172" i="1"/>
  <c r="N2172" i="1"/>
  <c r="M2164" i="1"/>
  <c r="N2164" i="1"/>
  <c r="M2156" i="1"/>
  <c r="N2156" i="1"/>
  <c r="M2148" i="1"/>
  <c r="N2148" i="1"/>
  <c r="M2140" i="1"/>
  <c r="N2140" i="1"/>
  <c r="M2132" i="1"/>
  <c r="N2132" i="1"/>
  <c r="M2116" i="1"/>
  <c r="N2116" i="1"/>
  <c r="M2108" i="1"/>
  <c r="N2108" i="1"/>
  <c r="M2100" i="1"/>
  <c r="N2100" i="1"/>
  <c r="M2092" i="1"/>
  <c r="N2092" i="1"/>
  <c r="M2084" i="1"/>
  <c r="N2084" i="1"/>
  <c r="M2076" i="1"/>
  <c r="N2076" i="1"/>
  <c r="M2068" i="1"/>
  <c r="N2068" i="1"/>
  <c r="M2060" i="1"/>
  <c r="N2060" i="1"/>
  <c r="M2052" i="1"/>
  <c r="N2052" i="1"/>
  <c r="M2044" i="1"/>
  <c r="N2044" i="1"/>
  <c r="M2036" i="1"/>
  <c r="N2036" i="1"/>
  <c r="M2028" i="1"/>
  <c r="N2028" i="1"/>
  <c r="M2020" i="1"/>
  <c r="N2020" i="1"/>
  <c r="M2012" i="1"/>
  <c r="N2012" i="1"/>
  <c r="M2004" i="1"/>
  <c r="N2004" i="1"/>
  <c r="M1996" i="1"/>
  <c r="N1996" i="1"/>
  <c r="M1988" i="1"/>
  <c r="N1988" i="1"/>
  <c r="M1980" i="1"/>
  <c r="N1980" i="1"/>
  <c r="M1972" i="1"/>
  <c r="N1972" i="1"/>
  <c r="M1964" i="1"/>
  <c r="N1964" i="1"/>
  <c r="M1956" i="1"/>
  <c r="N1956" i="1"/>
  <c r="M1948" i="1"/>
  <c r="N1948" i="1"/>
  <c r="M1940" i="1"/>
  <c r="N1940" i="1"/>
  <c r="M1932" i="1"/>
  <c r="N1932" i="1"/>
  <c r="M1924" i="1"/>
  <c r="N1924" i="1"/>
  <c r="M1916" i="1"/>
  <c r="N1916" i="1"/>
  <c r="M1908" i="1"/>
  <c r="N1908" i="1"/>
  <c r="M1900" i="1"/>
  <c r="N1900" i="1"/>
  <c r="M1892" i="1"/>
  <c r="N1892" i="1"/>
  <c r="M1884" i="1"/>
  <c r="N1884" i="1"/>
  <c r="M1876" i="1"/>
  <c r="N1876" i="1"/>
  <c r="M1868" i="1"/>
  <c r="N1868" i="1"/>
  <c r="M1860" i="1"/>
  <c r="N1860" i="1"/>
  <c r="M1852" i="1"/>
  <c r="N1852" i="1"/>
  <c r="M1844" i="1"/>
  <c r="N1844" i="1"/>
  <c r="M1836" i="1"/>
  <c r="N1836" i="1"/>
  <c r="M1828" i="1"/>
  <c r="N1828" i="1"/>
  <c r="M1820" i="1"/>
  <c r="N1820" i="1"/>
  <c r="M1812" i="1"/>
  <c r="N1812" i="1"/>
  <c r="N1804" i="1"/>
  <c r="M1804" i="1"/>
  <c r="N1796" i="1"/>
  <c r="M1796" i="1"/>
  <c r="N1788" i="1"/>
  <c r="M1788" i="1"/>
  <c r="N1780" i="1"/>
  <c r="M1780" i="1"/>
  <c r="N1772" i="1"/>
  <c r="M1772" i="1"/>
  <c r="M1764" i="1"/>
  <c r="N1764" i="1"/>
  <c r="M1756" i="1"/>
  <c r="N1756" i="1"/>
  <c r="M1748" i="1"/>
  <c r="N1748" i="1"/>
  <c r="M1740" i="1"/>
  <c r="N1740" i="1"/>
  <c r="M1732" i="1"/>
  <c r="N1732" i="1"/>
  <c r="M1724" i="1"/>
  <c r="N1724" i="1"/>
  <c r="M1716" i="1"/>
  <c r="N1716" i="1"/>
  <c r="M1708" i="1"/>
  <c r="N1708" i="1"/>
  <c r="M1700" i="1"/>
  <c r="N1700" i="1"/>
  <c r="M1692" i="1"/>
  <c r="N1692" i="1"/>
  <c r="M1684" i="1"/>
  <c r="N1684" i="1"/>
  <c r="M1676" i="1"/>
  <c r="N1676" i="1"/>
  <c r="M1668" i="1"/>
  <c r="N1668" i="1"/>
  <c r="M1660" i="1"/>
  <c r="N1660" i="1"/>
  <c r="M1652" i="1"/>
  <c r="N1652" i="1"/>
  <c r="M1644" i="1"/>
  <c r="N1644" i="1"/>
  <c r="M1636" i="1"/>
  <c r="N1636" i="1"/>
  <c r="M1628" i="1"/>
  <c r="N1628" i="1"/>
  <c r="M1620" i="1"/>
  <c r="N1620" i="1"/>
  <c r="M1612" i="1"/>
  <c r="N1612" i="1"/>
  <c r="M1604" i="1"/>
  <c r="N1604" i="1"/>
  <c r="M1596" i="1"/>
  <c r="N1596" i="1"/>
  <c r="M1588" i="1"/>
  <c r="N1588" i="1"/>
  <c r="M1580" i="1"/>
  <c r="N1580" i="1"/>
  <c r="M1572" i="1"/>
  <c r="N1572" i="1"/>
  <c r="M1564" i="1"/>
  <c r="N1564" i="1"/>
  <c r="M1556" i="1"/>
  <c r="N1556" i="1"/>
  <c r="M1548" i="1"/>
  <c r="N1548" i="1"/>
  <c r="M1540" i="1"/>
  <c r="N1540" i="1"/>
  <c r="M1532" i="1"/>
  <c r="N1532" i="1"/>
  <c r="M1524" i="1"/>
  <c r="N1524" i="1"/>
  <c r="M1516" i="1"/>
  <c r="N1516" i="1"/>
  <c r="M1508" i="1"/>
  <c r="N1508" i="1"/>
  <c r="M1500" i="1"/>
  <c r="N1500" i="1"/>
  <c r="M1492" i="1"/>
  <c r="N1492" i="1"/>
  <c r="M1484" i="1"/>
  <c r="N1484" i="1"/>
  <c r="M1476" i="1"/>
  <c r="N1476" i="1"/>
  <c r="M1468" i="1"/>
  <c r="N1468" i="1"/>
  <c r="M1460" i="1"/>
  <c r="N1460" i="1"/>
  <c r="M1452" i="1"/>
  <c r="N1452" i="1"/>
  <c r="M1444" i="1"/>
  <c r="N1444" i="1"/>
  <c r="M1436" i="1"/>
  <c r="N1436" i="1"/>
  <c r="M1428" i="1"/>
  <c r="N1428" i="1"/>
  <c r="M1420" i="1"/>
  <c r="N1420" i="1"/>
  <c r="M1412" i="1"/>
  <c r="N1412" i="1"/>
  <c r="M1404" i="1"/>
  <c r="N1404" i="1"/>
  <c r="M1396" i="1"/>
  <c r="N1396" i="1"/>
  <c r="M1388" i="1"/>
  <c r="N1388" i="1"/>
  <c r="M1380" i="1"/>
  <c r="N1380" i="1"/>
  <c r="M1372" i="1"/>
  <c r="N1372" i="1"/>
  <c r="M1364" i="1"/>
  <c r="N1364" i="1"/>
  <c r="M1356" i="1"/>
  <c r="N1356" i="1"/>
  <c r="M1348" i="1"/>
  <c r="N1348" i="1"/>
  <c r="M1340" i="1"/>
  <c r="N1340" i="1"/>
  <c r="M1332" i="1"/>
  <c r="N1332" i="1"/>
  <c r="M1324" i="1"/>
  <c r="N1324" i="1"/>
  <c r="M1316" i="1"/>
  <c r="N1316" i="1"/>
  <c r="M1308" i="1"/>
  <c r="N1308" i="1"/>
  <c r="M1300" i="1"/>
  <c r="N1300" i="1"/>
  <c r="M1292" i="1"/>
  <c r="N1292" i="1"/>
  <c r="M1284" i="1"/>
  <c r="N1284" i="1"/>
  <c r="M1276" i="1"/>
  <c r="N1276" i="1"/>
  <c r="M1268" i="1"/>
  <c r="N1268" i="1"/>
  <c r="M1260" i="1"/>
  <c r="N1260" i="1"/>
  <c r="M1252" i="1"/>
  <c r="N1252" i="1"/>
  <c r="M1244" i="1"/>
  <c r="N1244" i="1"/>
  <c r="M1236" i="1"/>
  <c r="N1236" i="1"/>
  <c r="M1228" i="1"/>
  <c r="N1228" i="1"/>
  <c r="M1220" i="1"/>
  <c r="N1220" i="1"/>
  <c r="M1212" i="1"/>
  <c r="N1212" i="1"/>
  <c r="M1204" i="1"/>
  <c r="N1204" i="1"/>
  <c r="M1196" i="1"/>
  <c r="N1196" i="1"/>
  <c r="M1188" i="1"/>
  <c r="N1188" i="1"/>
  <c r="M1180" i="1"/>
  <c r="N1180" i="1"/>
  <c r="M1172" i="1"/>
  <c r="N1172" i="1"/>
  <c r="M1164" i="1"/>
  <c r="N1164" i="1"/>
  <c r="M1156" i="1"/>
  <c r="N1156" i="1"/>
  <c r="M1148" i="1"/>
  <c r="N1148" i="1"/>
  <c r="M1140" i="1"/>
  <c r="N1140" i="1"/>
  <c r="M1132" i="1"/>
  <c r="N1132" i="1"/>
  <c r="M1124" i="1"/>
  <c r="N1124" i="1"/>
  <c r="M1116" i="1"/>
  <c r="N1116" i="1"/>
  <c r="M1108" i="1"/>
  <c r="N1108" i="1"/>
  <c r="M1100" i="1"/>
  <c r="N1100" i="1"/>
  <c r="M1092" i="1"/>
  <c r="N1092" i="1"/>
  <c r="M1084" i="1"/>
  <c r="N1084" i="1"/>
  <c r="M1076" i="1"/>
  <c r="N1076" i="1"/>
  <c r="M1068" i="1"/>
  <c r="N1068" i="1"/>
  <c r="M1060" i="1"/>
  <c r="N1060" i="1"/>
  <c r="M1052" i="1"/>
  <c r="N1052" i="1"/>
  <c r="M1044" i="1"/>
  <c r="N1044" i="1"/>
  <c r="M1036" i="1"/>
  <c r="N1036" i="1"/>
  <c r="M1028" i="1"/>
  <c r="N1028" i="1"/>
  <c r="M1020" i="1"/>
  <c r="N1020" i="1"/>
  <c r="M1012" i="1"/>
  <c r="N1012" i="1"/>
  <c r="M1004" i="1"/>
  <c r="N1004" i="1"/>
  <c r="M996" i="1"/>
  <c r="N996" i="1"/>
  <c r="M988" i="1"/>
  <c r="N988" i="1"/>
  <c r="M980" i="1"/>
  <c r="N980" i="1"/>
  <c r="M972" i="1"/>
  <c r="N972" i="1"/>
  <c r="M964" i="1"/>
  <c r="N964" i="1"/>
  <c r="M956" i="1"/>
  <c r="N956" i="1"/>
  <c r="M948" i="1"/>
  <c r="N948" i="1"/>
  <c r="M940" i="1"/>
  <c r="N940" i="1"/>
  <c r="M932" i="1"/>
  <c r="N932" i="1"/>
  <c r="M924" i="1"/>
  <c r="N924" i="1"/>
  <c r="M916" i="1"/>
  <c r="N916" i="1"/>
  <c r="M908" i="1"/>
  <c r="N908" i="1"/>
  <c r="N900" i="1"/>
  <c r="M900" i="1"/>
  <c r="M892" i="1"/>
  <c r="N892" i="1"/>
  <c r="M884" i="1"/>
  <c r="N884" i="1"/>
  <c r="M876" i="1"/>
  <c r="N876" i="1"/>
  <c r="M868" i="1"/>
  <c r="N868" i="1"/>
  <c r="M860" i="1"/>
  <c r="N860" i="1"/>
  <c r="M852" i="1"/>
  <c r="N852" i="1"/>
  <c r="M844" i="1"/>
  <c r="N844" i="1"/>
  <c r="M836" i="1"/>
  <c r="N836" i="1"/>
  <c r="M828" i="1"/>
  <c r="N828" i="1"/>
  <c r="M820" i="1"/>
  <c r="N820" i="1"/>
  <c r="M812" i="1"/>
  <c r="N812" i="1"/>
  <c r="M804" i="1"/>
  <c r="N804" i="1"/>
  <c r="M796" i="1"/>
  <c r="N796" i="1"/>
  <c r="M788" i="1"/>
  <c r="N788" i="1"/>
  <c r="M780" i="1"/>
  <c r="N780" i="1"/>
  <c r="M772" i="1"/>
  <c r="N772" i="1"/>
  <c r="M764" i="1"/>
  <c r="N764" i="1"/>
  <c r="M756" i="1"/>
  <c r="N756" i="1"/>
  <c r="M748" i="1"/>
  <c r="N748" i="1"/>
  <c r="M740" i="1"/>
  <c r="N740" i="1"/>
  <c r="M732" i="1"/>
  <c r="N732" i="1"/>
  <c r="M724" i="1"/>
  <c r="N724" i="1"/>
  <c r="M716" i="1"/>
  <c r="N716" i="1"/>
  <c r="M708" i="1"/>
  <c r="N708" i="1"/>
  <c r="M700" i="1"/>
  <c r="N700" i="1"/>
  <c r="M692" i="1"/>
  <c r="N692" i="1"/>
  <c r="M684" i="1"/>
  <c r="N684" i="1"/>
  <c r="M676" i="1"/>
  <c r="N676" i="1"/>
  <c r="M668" i="1"/>
  <c r="N668" i="1"/>
  <c r="M660" i="1"/>
  <c r="N660" i="1"/>
  <c r="M652" i="1"/>
  <c r="N652" i="1"/>
  <c r="M644" i="1"/>
  <c r="N644" i="1"/>
  <c r="M636" i="1"/>
  <c r="N636" i="1"/>
  <c r="M628" i="1"/>
  <c r="N628" i="1"/>
  <c r="M620" i="1"/>
  <c r="N620" i="1"/>
  <c r="M612" i="1"/>
  <c r="N612" i="1"/>
  <c r="M604" i="1"/>
  <c r="N604" i="1"/>
  <c r="M596" i="1"/>
  <c r="N596" i="1"/>
  <c r="M588" i="1"/>
  <c r="N588" i="1"/>
  <c r="M580" i="1"/>
  <c r="N580" i="1"/>
  <c r="M572" i="1"/>
  <c r="N572" i="1"/>
  <c r="M564" i="1"/>
  <c r="N564" i="1"/>
  <c r="M556" i="1"/>
  <c r="N556" i="1"/>
  <c r="M548" i="1"/>
  <c r="N548" i="1"/>
  <c r="M540" i="1"/>
  <c r="N540" i="1"/>
  <c r="N532" i="1"/>
  <c r="M532" i="1"/>
  <c r="N524" i="1"/>
  <c r="M524" i="1"/>
  <c r="N516" i="1"/>
  <c r="M516" i="1"/>
  <c r="N508" i="1"/>
  <c r="M508" i="1"/>
  <c r="N500" i="1"/>
  <c r="M500" i="1"/>
  <c r="N492" i="1"/>
  <c r="M492" i="1"/>
  <c r="N484" i="1"/>
  <c r="M484" i="1"/>
  <c r="N476" i="1"/>
  <c r="M476" i="1"/>
  <c r="N468" i="1"/>
  <c r="M468" i="1"/>
  <c r="N460" i="1"/>
  <c r="M460" i="1"/>
  <c r="N452" i="1"/>
  <c r="M452" i="1"/>
  <c r="N444" i="1"/>
  <c r="M444" i="1"/>
  <c r="N436" i="1"/>
  <c r="M436" i="1"/>
  <c r="N428" i="1"/>
  <c r="M428" i="1"/>
  <c r="N420" i="1"/>
  <c r="M420" i="1"/>
  <c r="N412" i="1"/>
  <c r="M412" i="1"/>
  <c r="N404" i="1"/>
  <c r="M404" i="1"/>
  <c r="N396" i="1"/>
  <c r="M396" i="1"/>
  <c r="N388" i="1"/>
  <c r="M388" i="1"/>
  <c r="N380" i="1"/>
  <c r="M380" i="1"/>
  <c r="N372" i="1"/>
  <c r="M372" i="1"/>
  <c r="N364" i="1"/>
  <c r="M364" i="1"/>
  <c r="N356" i="1"/>
  <c r="M356" i="1"/>
  <c r="N348" i="1"/>
  <c r="M348" i="1"/>
  <c r="M340" i="1"/>
  <c r="N340" i="1"/>
  <c r="M332" i="1"/>
  <c r="N332" i="1"/>
  <c r="M324" i="1"/>
  <c r="N324" i="1"/>
  <c r="M316" i="1"/>
  <c r="N316" i="1"/>
  <c r="M308" i="1"/>
  <c r="N308" i="1"/>
  <c r="M300" i="1"/>
  <c r="N300" i="1"/>
  <c r="M292" i="1"/>
  <c r="N292" i="1"/>
  <c r="M284" i="1"/>
  <c r="N284" i="1"/>
  <c r="M276" i="1"/>
  <c r="N276" i="1"/>
  <c r="M268" i="1"/>
  <c r="N268" i="1"/>
  <c r="M260" i="1"/>
  <c r="N260" i="1"/>
  <c r="M252" i="1"/>
  <c r="N252" i="1"/>
  <c r="M244" i="1"/>
  <c r="N244" i="1"/>
  <c r="M236" i="1"/>
  <c r="N236" i="1"/>
  <c r="M228" i="1"/>
  <c r="N228" i="1"/>
  <c r="M220" i="1"/>
  <c r="N220" i="1"/>
  <c r="M212" i="1"/>
  <c r="N212" i="1"/>
  <c r="M204" i="1"/>
  <c r="N204" i="1"/>
  <c r="M196" i="1"/>
  <c r="N196" i="1"/>
  <c r="M188" i="1"/>
  <c r="N188" i="1"/>
  <c r="M180" i="1"/>
  <c r="N180" i="1"/>
  <c r="M172" i="1"/>
  <c r="N172" i="1"/>
  <c r="M164" i="1"/>
  <c r="N164" i="1"/>
  <c r="M156" i="1"/>
  <c r="N156" i="1"/>
  <c r="M148" i="1"/>
  <c r="N148" i="1"/>
  <c r="M140" i="1"/>
  <c r="N140" i="1"/>
  <c r="M132" i="1"/>
  <c r="N132" i="1"/>
  <c r="M124" i="1"/>
  <c r="N124" i="1"/>
  <c r="M116" i="1"/>
  <c r="N116" i="1"/>
  <c r="M108" i="1"/>
  <c r="N108" i="1"/>
  <c r="M100" i="1"/>
  <c r="N100" i="1"/>
  <c r="M92" i="1"/>
  <c r="N92" i="1"/>
  <c r="M84" i="1"/>
  <c r="N84" i="1"/>
  <c r="M76" i="1"/>
  <c r="N76" i="1"/>
  <c r="M68" i="1"/>
  <c r="N68" i="1"/>
  <c r="M60" i="1"/>
  <c r="N60" i="1"/>
  <c r="M52" i="1"/>
  <c r="N52" i="1"/>
  <c r="M44" i="1"/>
  <c r="N44" i="1"/>
  <c r="M36" i="1"/>
  <c r="N36" i="1"/>
  <c r="M28" i="1"/>
  <c r="N28" i="1"/>
  <c r="M20" i="1"/>
  <c r="N20" i="1"/>
  <c r="M12" i="1"/>
  <c r="N12" i="1"/>
  <c r="M4" i="1"/>
  <c r="N4" i="1"/>
  <c r="N4111" i="1"/>
  <c r="M4101" i="1"/>
  <c r="M4085" i="1"/>
  <c r="M4069" i="1"/>
  <c r="M4053" i="1"/>
  <c r="M4037" i="1"/>
  <c r="M4021" i="1"/>
  <c r="M4005" i="1"/>
  <c r="M3989" i="1"/>
  <c r="M3973" i="1"/>
  <c r="M3957" i="1"/>
  <c r="M3941" i="1"/>
  <c r="M3925" i="1"/>
  <c r="M3909" i="1"/>
  <c r="M3893" i="1"/>
  <c r="M3877" i="1"/>
  <c r="M3861" i="1"/>
  <c r="M3845" i="1"/>
  <c r="M3829" i="1"/>
  <c r="M3813" i="1"/>
  <c r="M3797" i="1"/>
  <c r="M3781" i="1"/>
  <c r="M3765" i="1"/>
  <c r="M3749" i="1"/>
  <c r="M3733" i="1"/>
  <c r="M3717" i="1"/>
  <c r="M3701" i="1"/>
  <c r="M3685" i="1"/>
  <c r="M3669" i="1"/>
  <c r="M3653" i="1"/>
  <c r="M3637" i="1"/>
  <c r="N3620" i="1"/>
  <c r="M3599" i="1"/>
  <c r="M3578" i="1"/>
  <c r="M3535" i="1"/>
  <c r="M3471" i="1"/>
  <c r="M3407" i="1"/>
  <c r="M3343" i="1"/>
  <c r="M3279" i="1"/>
  <c r="M3214" i="1"/>
  <c r="M3086" i="1"/>
  <c r="M2918" i="1"/>
  <c r="M2748" i="1"/>
  <c r="N2124" i="1"/>
  <c r="M4090" i="1"/>
  <c r="N4090" i="1"/>
  <c r="M4050" i="1"/>
  <c r="N4050" i="1"/>
  <c r="M4010" i="1"/>
  <c r="N4010" i="1"/>
  <c r="M3962" i="1"/>
  <c r="N3962" i="1"/>
  <c r="M3922" i="1"/>
  <c r="N3922" i="1"/>
  <c r="M3882" i="1"/>
  <c r="N3882" i="1"/>
  <c r="M3850" i="1"/>
  <c r="N3850" i="1"/>
  <c r="M3802" i="1"/>
  <c r="N3802" i="1"/>
  <c r="M3770" i="1"/>
  <c r="N3770" i="1"/>
  <c r="M3722" i="1"/>
  <c r="N3722" i="1"/>
  <c r="M3682" i="1"/>
  <c r="N3682" i="1"/>
  <c r="M3626" i="1"/>
  <c r="N3626" i="1"/>
  <c r="M3554" i="1"/>
  <c r="N3554" i="1"/>
  <c r="M3514" i="1"/>
  <c r="N3514" i="1"/>
  <c r="M3474" i="1"/>
  <c r="N3474" i="1"/>
  <c r="M3450" i="1"/>
  <c r="N3450" i="1"/>
  <c r="M3402" i="1"/>
  <c r="N3402" i="1"/>
  <c r="M3370" i="1"/>
  <c r="N3370" i="1"/>
  <c r="M3322" i="1"/>
  <c r="N3322" i="1"/>
  <c r="M3282" i="1"/>
  <c r="N3282" i="1"/>
  <c r="M3250" i="1"/>
  <c r="N3250" i="1"/>
  <c r="M3162" i="1"/>
  <c r="N3162" i="1"/>
  <c r="M3146" i="1"/>
  <c r="N3146" i="1"/>
  <c r="M3114" i="1"/>
  <c r="N3114" i="1"/>
  <c r="N3066" i="1"/>
  <c r="M3066" i="1"/>
  <c r="N3026" i="1"/>
  <c r="M3026" i="1"/>
  <c r="N2986" i="1"/>
  <c r="M2986" i="1"/>
  <c r="N2954" i="1"/>
  <c r="M2954" i="1"/>
  <c r="N2906" i="1"/>
  <c r="M2906" i="1"/>
  <c r="N2866" i="1"/>
  <c r="M2866" i="1"/>
  <c r="N2770" i="1"/>
  <c r="M2770" i="1"/>
  <c r="M2738" i="1"/>
  <c r="N2738" i="1"/>
  <c r="M2690" i="1"/>
  <c r="N2690" i="1"/>
  <c r="M2642" i="1"/>
  <c r="N2642" i="1"/>
  <c r="M2602" i="1"/>
  <c r="N2602" i="1"/>
  <c r="M2562" i="1"/>
  <c r="N2562" i="1"/>
  <c r="M2522" i="1"/>
  <c r="N2522" i="1"/>
  <c r="M2474" i="1"/>
  <c r="N2474" i="1"/>
  <c r="M2426" i="1"/>
  <c r="N2426" i="1"/>
  <c r="M2386" i="1"/>
  <c r="N2386" i="1"/>
  <c r="M2338" i="1"/>
  <c r="N2338" i="1"/>
  <c r="M2306" i="1"/>
  <c r="N2306" i="1"/>
  <c r="M2274" i="1"/>
  <c r="N2274" i="1"/>
  <c r="M2242" i="1"/>
  <c r="N2242" i="1"/>
  <c r="M2194" i="1"/>
  <c r="N2194" i="1"/>
  <c r="M2162" i="1"/>
  <c r="N2162" i="1"/>
  <c r="M2122" i="1"/>
  <c r="N2122" i="1"/>
  <c r="M2098" i="1"/>
  <c r="N2098" i="1"/>
  <c r="M2050" i="1"/>
  <c r="N2050" i="1"/>
  <c r="M2010" i="1"/>
  <c r="N2010" i="1"/>
  <c r="M1962" i="1"/>
  <c r="N1962" i="1"/>
  <c r="M1930" i="1"/>
  <c r="N1930" i="1"/>
  <c r="N1882" i="1"/>
  <c r="M1882" i="1"/>
  <c r="N1850" i="1"/>
  <c r="M1850" i="1"/>
  <c r="M1802" i="1"/>
  <c r="N1802" i="1"/>
  <c r="N1778" i="1"/>
  <c r="M1778" i="1"/>
  <c r="M1746" i="1"/>
  <c r="N1746" i="1"/>
  <c r="M1714" i="1"/>
  <c r="N1714" i="1"/>
  <c r="M1674" i="1"/>
  <c r="N1674" i="1"/>
  <c r="M1626" i="1"/>
  <c r="N1626" i="1"/>
  <c r="M1594" i="1"/>
  <c r="N1594" i="1"/>
  <c r="M1546" i="1"/>
  <c r="N1546" i="1"/>
  <c r="M1514" i="1"/>
  <c r="N1514" i="1"/>
  <c r="M1474" i="1"/>
  <c r="N1474" i="1"/>
  <c r="N1434" i="1"/>
  <c r="M1434" i="1"/>
  <c r="M1394" i="1"/>
  <c r="N1394" i="1"/>
  <c r="M1354" i="1"/>
  <c r="N1354" i="1"/>
  <c r="N1338" i="1"/>
  <c r="M1338" i="1"/>
  <c r="M1298" i="1"/>
  <c r="N1298" i="1"/>
  <c r="M1266" i="1"/>
  <c r="N1266" i="1"/>
  <c r="M1226" i="1"/>
  <c r="N1226" i="1"/>
  <c r="M1186" i="1"/>
  <c r="N1186" i="1"/>
  <c r="M1154" i="1"/>
  <c r="N1154" i="1"/>
  <c r="M1106" i="1"/>
  <c r="N1106" i="1"/>
  <c r="M1066" i="1"/>
  <c r="N1066" i="1"/>
  <c r="M1034" i="1"/>
  <c r="N1034" i="1"/>
  <c r="M1010" i="1"/>
  <c r="N1010" i="1"/>
  <c r="M986" i="1"/>
  <c r="N986" i="1"/>
  <c r="M946" i="1"/>
  <c r="N946" i="1"/>
  <c r="M914" i="1"/>
  <c r="N914" i="1"/>
  <c r="M874" i="1"/>
  <c r="N874" i="1"/>
  <c r="M842" i="1"/>
  <c r="N842" i="1"/>
  <c r="M810" i="1"/>
  <c r="N810" i="1"/>
  <c r="M778" i="1"/>
  <c r="N778" i="1"/>
  <c r="N730" i="1"/>
  <c r="M730" i="1"/>
  <c r="N706" i="1"/>
  <c r="M706" i="1"/>
  <c r="N666" i="1"/>
  <c r="M666" i="1"/>
  <c r="N634" i="1"/>
  <c r="M634" i="1"/>
  <c r="N594" i="1"/>
  <c r="M594" i="1"/>
  <c r="N554" i="1"/>
  <c r="M554" i="1"/>
  <c r="M522" i="1"/>
  <c r="N522" i="1"/>
  <c r="M474" i="1"/>
  <c r="N474" i="1"/>
  <c r="M434" i="1"/>
  <c r="N434" i="1"/>
  <c r="M402" i="1"/>
  <c r="N402" i="1"/>
  <c r="M370" i="1"/>
  <c r="N370" i="1"/>
  <c r="N346" i="1"/>
  <c r="M346" i="1"/>
  <c r="M306" i="1"/>
  <c r="N306" i="1"/>
  <c r="M274" i="1"/>
  <c r="N274" i="1"/>
  <c r="M234" i="1"/>
  <c r="N234" i="1"/>
  <c r="M202" i="1"/>
  <c r="N202" i="1"/>
  <c r="M162" i="1"/>
  <c r="N162" i="1"/>
  <c r="M130" i="1"/>
  <c r="N130" i="1"/>
  <c r="M90" i="1"/>
  <c r="N90" i="1"/>
  <c r="M74" i="1"/>
  <c r="N74" i="1"/>
  <c r="M42" i="1"/>
  <c r="N42" i="1"/>
  <c r="M18" i="1"/>
  <c r="N18" i="1"/>
  <c r="N3607" i="1"/>
  <c r="M3607" i="1"/>
  <c r="N3591" i="1"/>
  <c r="M3591" i="1"/>
  <c r="N3415" i="1"/>
  <c r="M3415" i="1"/>
  <c r="N3287" i="1"/>
  <c r="M3287" i="1"/>
  <c r="M3215" i="1"/>
  <c r="N3215" i="1"/>
  <c r="M3191" i="1"/>
  <c r="N3191" i="1"/>
  <c r="M3159" i="1"/>
  <c r="N3159" i="1"/>
  <c r="M3127" i="1"/>
  <c r="N3127" i="1"/>
  <c r="M3095" i="1"/>
  <c r="N3095" i="1"/>
  <c r="M3071" i="1"/>
  <c r="N3071" i="1"/>
  <c r="M3047" i="1"/>
  <c r="N3047" i="1"/>
  <c r="M3023" i="1"/>
  <c r="N3023" i="1"/>
  <c r="M2999" i="1"/>
  <c r="N2999" i="1"/>
  <c r="M2967" i="1"/>
  <c r="N2967" i="1"/>
  <c r="M2935" i="1"/>
  <c r="N2935" i="1"/>
  <c r="M2903" i="1"/>
  <c r="N2903" i="1"/>
  <c r="M2871" i="1"/>
  <c r="N2871" i="1"/>
  <c r="M2831" i="1"/>
  <c r="N2831" i="1"/>
  <c r="M2799" i="1"/>
  <c r="N2799" i="1"/>
  <c r="M2775" i="1"/>
  <c r="N2775" i="1"/>
  <c r="M2743" i="1"/>
  <c r="N2743" i="1"/>
  <c r="M2711" i="1"/>
  <c r="N2711" i="1"/>
  <c r="M2679" i="1"/>
  <c r="N2679" i="1"/>
  <c r="M2647" i="1"/>
  <c r="N2647" i="1"/>
  <c r="M2615" i="1"/>
  <c r="N2615" i="1"/>
  <c r="M2583" i="1"/>
  <c r="N2583" i="1"/>
  <c r="M2551" i="1"/>
  <c r="N2551" i="1"/>
  <c r="M2527" i="1"/>
  <c r="N2527" i="1"/>
  <c r="M2503" i="1"/>
  <c r="N2503" i="1"/>
  <c r="M2479" i="1"/>
  <c r="N2479" i="1"/>
  <c r="M2447" i="1"/>
  <c r="N2447" i="1"/>
  <c r="M2423" i="1"/>
  <c r="N2423" i="1"/>
  <c r="M2391" i="1"/>
  <c r="N2391" i="1"/>
  <c r="M2367" i="1"/>
  <c r="N2367" i="1"/>
  <c r="M2335" i="1"/>
  <c r="N2335" i="1"/>
  <c r="M2311" i="1"/>
  <c r="N2311" i="1"/>
  <c r="M2287" i="1"/>
  <c r="N2287" i="1"/>
  <c r="M2255" i="1"/>
  <c r="N2255" i="1"/>
  <c r="M2223" i="1"/>
  <c r="N2223" i="1"/>
  <c r="M2199" i="1"/>
  <c r="N2199" i="1"/>
  <c r="M2167" i="1"/>
  <c r="N2167" i="1"/>
  <c r="M2143" i="1"/>
  <c r="N2143" i="1"/>
  <c r="M2111" i="1"/>
  <c r="N2111" i="1"/>
  <c r="M2079" i="1"/>
  <c r="N2079" i="1"/>
  <c r="M2055" i="1"/>
  <c r="N2055" i="1"/>
  <c r="M2023" i="1"/>
  <c r="N2023" i="1"/>
  <c r="M1991" i="1"/>
  <c r="N1991" i="1"/>
  <c r="M1959" i="1"/>
  <c r="N1959" i="1"/>
  <c r="M1943" i="1"/>
  <c r="N1943" i="1"/>
  <c r="M1903" i="1"/>
  <c r="N1903" i="1"/>
  <c r="M1871" i="1"/>
  <c r="N1871" i="1"/>
  <c r="M1839" i="1"/>
  <c r="N1839" i="1"/>
  <c r="M1807" i="1"/>
  <c r="N1807" i="1"/>
  <c r="M1775" i="1"/>
  <c r="N1775" i="1"/>
  <c r="M1751" i="1"/>
  <c r="N1751" i="1"/>
  <c r="M1719" i="1"/>
  <c r="N1719" i="1"/>
  <c r="M1703" i="1"/>
  <c r="N1703" i="1"/>
  <c r="M1671" i="1"/>
  <c r="N1671" i="1"/>
  <c r="M1647" i="1"/>
  <c r="N1647" i="1"/>
  <c r="M1615" i="1"/>
  <c r="N1615" i="1"/>
  <c r="N1575" i="1"/>
  <c r="M1575" i="1"/>
  <c r="N1543" i="1"/>
  <c r="M1543" i="1"/>
  <c r="M1511" i="1"/>
  <c r="N1511" i="1"/>
  <c r="M1479" i="1"/>
  <c r="N1479" i="1"/>
  <c r="M1455" i="1"/>
  <c r="N1455" i="1"/>
  <c r="M1439" i="1"/>
  <c r="N1439" i="1"/>
  <c r="M1407" i="1"/>
  <c r="N1407" i="1"/>
  <c r="M1375" i="1"/>
  <c r="N1375" i="1"/>
  <c r="M1351" i="1"/>
  <c r="N1351" i="1"/>
  <c r="M1327" i="1"/>
  <c r="N1327" i="1"/>
  <c r="M1295" i="1"/>
  <c r="N1295" i="1"/>
  <c r="M1263" i="1"/>
  <c r="N1263" i="1"/>
  <c r="M1231" i="1"/>
  <c r="N1231" i="1"/>
  <c r="M1207" i="1"/>
  <c r="N1207" i="1"/>
  <c r="M1175" i="1"/>
  <c r="N1175" i="1"/>
  <c r="M1143" i="1"/>
  <c r="N1143" i="1"/>
  <c r="M1111" i="1"/>
  <c r="N1111" i="1"/>
  <c r="M1087" i="1"/>
  <c r="N1087" i="1"/>
  <c r="M1063" i="1"/>
  <c r="N1063" i="1"/>
  <c r="M1031" i="1"/>
  <c r="N1031" i="1"/>
  <c r="M999" i="1"/>
  <c r="N999" i="1"/>
  <c r="M967" i="1"/>
  <c r="N967" i="1"/>
  <c r="M943" i="1"/>
  <c r="N943" i="1"/>
  <c r="M919" i="1"/>
  <c r="N919" i="1"/>
  <c r="M887" i="1"/>
  <c r="N887" i="1"/>
  <c r="M855" i="1"/>
  <c r="N855" i="1"/>
  <c r="M823" i="1"/>
  <c r="N823" i="1"/>
  <c r="M799" i="1"/>
  <c r="N799" i="1"/>
  <c r="M775" i="1"/>
  <c r="N775" i="1"/>
  <c r="M743" i="1"/>
  <c r="N743" i="1"/>
  <c r="M719" i="1"/>
  <c r="N719" i="1"/>
  <c r="M687" i="1"/>
  <c r="N687" i="1"/>
  <c r="M655" i="1"/>
  <c r="N655" i="1"/>
  <c r="M615" i="1"/>
  <c r="N615" i="1"/>
  <c r="M583" i="1"/>
  <c r="N583" i="1"/>
  <c r="M551" i="1"/>
  <c r="N551" i="1"/>
  <c r="M527" i="1"/>
  <c r="N527" i="1"/>
  <c r="M495" i="1"/>
  <c r="N495" i="1"/>
  <c r="M463" i="1"/>
  <c r="N463" i="1"/>
  <c r="M431" i="1"/>
  <c r="N431" i="1"/>
  <c r="M407" i="1"/>
  <c r="N407" i="1"/>
  <c r="M375" i="1"/>
  <c r="N375" i="1"/>
  <c r="M351" i="1"/>
  <c r="N351" i="1"/>
  <c r="M319" i="1"/>
  <c r="N319" i="1"/>
  <c r="M303" i="1"/>
  <c r="N303" i="1"/>
  <c r="M271" i="1"/>
  <c r="N271" i="1"/>
  <c r="M239" i="1"/>
  <c r="N239" i="1"/>
  <c r="M223" i="1"/>
  <c r="N223" i="1"/>
  <c r="M191" i="1"/>
  <c r="N191" i="1"/>
  <c r="M159" i="1"/>
  <c r="N159" i="1"/>
  <c r="M127" i="1"/>
  <c r="N127" i="1"/>
  <c r="M103" i="1"/>
  <c r="N103" i="1"/>
  <c r="M87" i="1"/>
  <c r="N87" i="1"/>
  <c r="M55" i="1"/>
  <c r="N55" i="1"/>
  <c r="M31" i="1"/>
  <c r="N31" i="1"/>
  <c r="M15" i="1"/>
  <c r="N15" i="1"/>
  <c r="M3557" i="1"/>
  <c r="N3557" i="1"/>
  <c r="M3541" i="1"/>
  <c r="N3541" i="1"/>
  <c r="M3517" i="1"/>
  <c r="N3517" i="1"/>
  <c r="M3493" i="1"/>
  <c r="N3493" i="1"/>
  <c r="M3469" i="1"/>
  <c r="N3469" i="1"/>
  <c r="M3445" i="1"/>
  <c r="N3445" i="1"/>
  <c r="M3421" i="1"/>
  <c r="N3421" i="1"/>
  <c r="M3405" i="1"/>
  <c r="N3405" i="1"/>
  <c r="M3389" i="1"/>
  <c r="N3389" i="1"/>
  <c r="M3365" i="1"/>
  <c r="N3365" i="1"/>
  <c r="M3341" i="1"/>
  <c r="N3341" i="1"/>
  <c r="M3317" i="1"/>
  <c r="N3317" i="1"/>
  <c r="M3293" i="1"/>
  <c r="N3293" i="1"/>
  <c r="M3269" i="1"/>
  <c r="N3269" i="1"/>
  <c r="M3245" i="1"/>
  <c r="N3245" i="1"/>
  <c r="M3221" i="1"/>
  <c r="N3221" i="1"/>
  <c r="M3189" i="1"/>
  <c r="N3189" i="1"/>
  <c r="M3165" i="1"/>
  <c r="N3165" i="1"/>
  <c r="M3141" i="1"/>
  <c r="N3141" i="1"/>
  <c r="M3117" i="1"/>
  <c r="N3117" i="1"/>
  <c r="M3093" i="1"/>
  <c r="N3093" i="1"/>
  <c r="M3069" i="1"/>
  <c r="N3069" i="1"/>
  <c r="M3045" i="1"/>
  <c r="N3045" i="1"/>
  <c r="M3029" i="1"/>
  <c r="N3029" i="1"/>
  <c r="M3005" i="1"/>
  <c r="N3005" i="1"/>
  <c r="M2981" i="1"/>
  <c r="N2981" i="1"/>
  <c r="M2957" i="1"/>
  <c r="N2957" i="1"/>
  <c r="M2933" i="1"/>
  <c r="N2933" i="1"/>
  <c r="M2917" i="1"/>
  <c r="N2917" i="1"/>
  <c r="M2893" i="1"/>
  <c r="N2893" i="1"/>
  <c r="M2869" i="1"/>
  <c r="N2869" i="1"/>
  <c r="M2853" i="1"/>
  <c r="N2853" i="1"/>
  <c r="M2829" i="1"/>
  <c r="N2829" i="1"/>
  <c r="M2805" i="1"/>
  <c r="N2805" i="1"/>
  <c r="M2781" i="1"/>
  <c r="N2781" i="1"/>
  <c r="M2757" i="1"/>
  <c r="N2757" i="1"/>
  <c r="N2733" i="1"/>
  <c r="M2733" i="1"/>
  <c r="N2709" i="1"/>
  <c r="M2709" i="1"/>
  <c r="N2685" i="1"/>
  <c r="M2685" i="1"/>
  <c r="N2669" i="1"/>
  <c r="M2669" i="1"/>
  <c r="N2653" i="1"/>
  <c r="M2653" i="1"/>
  <c r="N2629" i="1"/>
  <c r="M2629" i="1"/>
  <c r="N2605" i="1"/>
  <c r="M2605" i="1"/>
  <c r="N2549" i="1"/>
  <c r="M2549" i="1"/>
  <c r="N2493" i="1"/>
  <c r="M2493" i="1"/>
  <c r="N2469" i="1"/>
  <c r="M2469" i="1"/>
  <c r="N2453" i="1"/>
  <c r="M2453" i="1"/>
  <c r="N2429" i="1"/>
  <c r="M2429" i="1"/>
  <c r="N2413" i="1"/>
  <c r="M2413" i="1"/>
  <c r="N2389" i="1"/>
  <c r="M2389" i="1"/>
  <c r="N2365" i="1"/>
  <c r="M2365" i="1"/>
  <c r="N2349" i="1"/>
  <c r="M2349" i="1"/>
  <c r="M2325" i="1"/>
  <c r="N2325" i="1"/>
  <c r="M2301" i="1"/>
  <c r="N2301" i="1"/>
  <c r="M2277" i="1"/>
  <c r="N2277" i="1"/>
  <c r="M2253" i="1"/>
  <c r="N2253" i="1"/>
  <c r="M2229" i="1"/>
  <c r="N2229" i="1"/>
  <c r="M2213" i="1"/>
  <c r="N2213" i="1"/>
  <c r="M2189" i="1"/>
  <c r="N2189" i="1"/>
  <c r="M2165" i="1"/>
  <c r="N2165" i="1"/>
  <c r="M2141" i="1"/>
  <c r="N2141" i="1"/>
  <c r="M2117" i="1"/>
  <c r="N2117" i="1"/>
  <c r="M2093" i="1"/>
  <c r="N2093" i="1"/>
  <c r="M2077" i="1"/>
  <c r="N2077" i="1"/>
  <c r="M2053" i="1"/>
  <c r="N2053" i="1"/>
  <c r="M2029" i="1"/>
  <c r="N2029" i="1"/>
  <c r="M2005" i="1"/>
  <c r="N2005" i="1"/>
  <c r="M1981" i="1"/>
  <c r="N1981" i="1"/>
  <c r="M1965" i="1"/>
  <c r="N1965" i="1"/>
  <c r="M1941" i="1"/>
  <c r="N1941" i="1"/>
  <c r="M1917" i="1"/>
  <c r="N1917" i="1"/>
  <c r="M1893" i="1"/>
  <c r="N1893" i="1"/>
  <c r="M1877" i="1"/>
  <c r="N1877" i="1"/>
  <c r="M1861" i="1"/>
  <c r="N1861" i="1"/>
  <c r="M1837" i="1"/>
  <c r="N1837" i="1"/>
  <c r="M1813" i="1"/>
  <c r="N1813" i="1"/>
  <c r="N1789" i="1"/>
  <c r="M1789" i="1"/>
  <c r="M1765" i="1"/>
  <c r="N1765" i="1"/>
  <c r="M1749" i="1"/>
  <c r="N1749" i="1"/>
  <c r="M1725" i="1"/>
  <c r="N1725" i="1"/>
  <c r="M1701" i="1"/>
  <c r="N1701" i="1"/>
  <c r="N1677" i="1"/>
  <c r="M1677" i="1"/>
  <c r="N1661" i="1"/>
  <c r="M1661" i="1"/>
  <c r="N1637" i="1"/>
  <c r="M1637" i="1"/>
  <c r="N1613" i="1"/>
  <c r="M1613" i="1"/>
  <c r="N1589" i="1"/>
  <c r="M1589" i="1"/>
  <c r="N1573" i="1"/>
  <c r="M1573" i="1"/>
  <c r="N1549" i="1"/>
  <c r="M1549" i="1"/>
  <c r="N1525" i="1"/>
  <c r="M1525" i="1"/>
  <c r="N1501" i="1"/>
  <c r="M1501" i="1"/>
  <c r="N1485" i="1"/>
  <c r="M1485" i="1"/>
  <c r="N1469" i="1"/>
  <c r="M1469" i="1"/>
  <c r="N1445" i="1"/>
  <c r="M1445" i="1"/>
  <c r="N1421" i="1"/>
  <c r="M1421" i="1"/>
  <c r="N1397" i="1"/>
  <c r="M1397" i="1"/>
  <c r="N1373" i="1"/>
  <c r="M1373" i="1"/>
  <c r="N1349" i="1"/>
  <c r="M1349" i="1"/>
  <c r="N1325" i="1"/>
  <c r="M1325" i="1"/>
  <c r="N1309" i="1"/>
  <c r="M1309" i="1"/>
  <c r="N1285" i="1"/>
  <c r="M1285" i="1"/>
  <c r="N1261" i="1"/>
  <c r="M1261" i="1"/>
  <c r="N1245" i="1"/>
  <c r="M1245" i="1"/>
  <c r="N1221" i="1"/>
  <c r="M1221" i="1"/>
  <c r="N1197" i="1"/>
  <c r="M1197" i="1"/>
  <c r="N1173" i="1"/>
  <c r="M1173" i="1"/>
  <c r="N1149" i="1"/>
  <c r="M1149" i="1"/>
  <c r="N1133" i="1"/>
  <c r="M1133" i="1"/>
  <c r="N1109" i="1"/>
  <c r="M1109" i="1"/>
  <c r="N1093" i="1"/>
  <c r="M1093" i="1"/>
  <c r="M1069" i="1"/>
  <c r="N1069" i="1"/>
  <c r="M1053" i="1"/>
  <c r="N1053" i="1"/>
  <c r="M1037" i="1"/>
  <c r="N1037" i="1"/>
  <c r="M1021" i="1"/>
  <c r="N1021" i="1"/>
  <c r="M1005" i="1"/>
  <c r="N1005" i="1"/>
  <c r="M981" i="1"/>
  <c r="N981" i="1"/>
  <c r="M965" i="1"/>
  <c r="N965" i="1"/>
  <c r="M949" i="1"/>
  <c r="N949" i="1"/>
  <c r="M933" i="1"/>
  <c r="N933" i="1"/>
  <c r="M917" i="1"/>
  <c r="N917" i="1"/>
  <c r="N901" i="1"/>
  <c r="M901" i="1"/>
  <c r="N885" i="1"/>
  <c r="M885" i="1"/>
  <c r="N869" i="1"/>
  <c r="M869" i="1"/>
  <c r="N853" i="1"/>
  <c r="M853" i="1"/>
  <c r="N837" i="1"/>
  <c r="M837" i="1"/>
  <c r="N821" i="1"/>
  <c r="M821" i="1"/>
  <c r="N805" i="1"/>
  <c r="M805" i="1"/>
  <c r="N789" i="1"/>
  <c r="M789" i="1"/>
  <c r="N773" i="1"/>
  <c r="M773" i="1"/>
  <c r="N757" i="1"/>
  <c r="M757" i="1"/>
  <c r="N741" i="1"/>
  <c r="M741" i="1"/>
  <c r="M725" i="1"/>
  <c r="N725" i="1"/>
  <c r="M709" i="1"/>
  <c r="N709" i="1"/>
  <c r="M693" i="1"/>
  <c r="N693" i="1"/>
  <c r="M677" i="1"/>
  <c r="N677" i="1"/>
  <c r="M661" i="1"/>
  <c r="N661" i="1"/>
  <c r="M645" i="1"/>
  <c r="N645" i="1"/>
  <c r="M613" i="1"/>
  <c r="N613" i="1"/>
  <c r="M597" i="1"/>
  <c r="N597" i="1"/>
  <c r="M581" i="1"/>
  <c r="N581" i="1"/>
  <c r="M565" i="1"/>
  <c r="N565" i="1"/>
  <c r="M549" i="1"/>
  <c r="N549" i="1"/>
  <c r="M533" i="1"/>
  <c r="N533" i="1"/>
  <c r="M517" i="1"/>
  <c r="N517" i="1"/>
  <c r="M501" i="1"/>
  <c r="N501" i="1"/>
  <c r="M493" i="1"/>
  <c r="N493" i="1"/>
  <c r="M477" i="1"/>
  <c r="N477" i="1"/>
  <c r="M461" i="1"/>
  <c r="N461" i="1"/>
  <c r="M445" i="1"/>
  <c r="N445" i="1"/>
  <c r="M429" i="1"/>
  <c r="N429" i="1"/>
  <c r="M413" i="1"/>
  <c r="N413" i="1"/>
  <c r="M397" i="1"/>
  <c r="N397" i="1"/>
  <c r="M381" i="1"/>
  <c r="N381" i="1"/>
  <c r="M365" i="1"/>
  <c r="N365" i="1"/>
  <c r="M349" i="1"/>
  <c r="N349" i="1"/>
  <c r="N333" i="1"/>
  <c r="M333" i="1"/>
  <c r="N317" i="1"/>
  <c r="M317" i="1"/>
  <c r="N301" i="1"/>
  <c r="M301" i="1"/>
  <c r="N285" i="1"/>
  <c r="M285" i="1"/>
  <c r="N269" i="1"/>
  <c r="M269" i="1"/>
  <c r="N253" i="1"/>
  <c r="M253" i="1"/>
  <c r="N237" i="1"/>
  <c r="M237" i="1"/>
  <c r="N221" i="1"/>
  <c r="M221" i="1"/>
  <c r="N205" i="1"/>
  <c r="M205" i="1"/>
  <c r="N189" i="1"/>
  <c r="M189" i="1"/>
  <c r="N173" i="1"/>
  <c r="M173" i="1"/>
  <c r="N157" i="1"/>
  <c r="M157" i="1"/>
  <c r="N141" i="1"/>
  <c r="M141" i="1"/>
  <c r="N125" i="1"/>
  <c r="M125" i="1"/>
  <c r="N109" i="1"/>
  <c r="M109" i="1"/>
  <c r="N93" i="1"/>
  <c r="M93" i="1"/>
  <c r="N77" i="1"/>
  <c r="M77" i="1"/>
  <c r="N61" i="1"/>
  <c r="M61" i="1"/>
  <c r="N45" i="1"/>
  <c r="M45" i="1"/>
  <c r="N29" i="1"/>
  <c r="M29" i="1"/>
  <c r="N5" i="1"/>
  <c r="M5" i="1"/>
  <c r="N3619" i="1"/>
  <c r="M3619" i="1"/>
  <c r="N3611" i="1"/>
  <c r="M3611" i="1"/>
  <c r="N3603" i="1"/>
  <c r="M3603" i="1"/>
  <c r="N3595" i="1"/>
  <c r="M3595" i="1"/>
  <c r="N3587" i="1"/>
  <c r="M3587" i="1"/>
  <c r="N3579" i="1"/>
  <c r="M3579" i="1"/>
  <c r="N3571" i="1"/>
  <c r="M3571" i="1"/>
  <c r="N3563" i="1"/>
  <c r="M3563" i="1"/>
  <c r="N3555" i="1"/>
  <c r="M3555" i="1"/>
  <c r="N3547" i="1"/>
  <c r="M3547" i="1"/>
  <c r="N3539" i="1"/>
  <c r="M3539" i="1"/>
  <c r="N3531" i="1"/>
  <c r="M3531" i="1"/>
  <c r="N3523" i="1"/>
  <c r="M3523" i="1"/>
  <c r="N3515" i="1"/>
  <c r="M3515" i="1"/>
  <c r="N3507" i="1"/>
  <c r="M3507" i="1"/>
  <c r="N3499" i="1"/>
  <c r="M3499" i="1"/>
  <c r="N3491" i="1"/>
  <c r="M3491" i="1"/>
  <c r="N3483" i="1"/>
  <c r="M3483" i="1"/>
  <c r="N3475" i="1"/>
  <c r="M3475" i="1"/>
  <c r="N3467" i="1"/>
  <c r="M3467" i="1"/>
  <c r="N3459" i="1"/>
  <c r="M3459" i="1"/>
  <c r="N3451" i="1"/>
  <c r="M3451" i="1"/>
  <c r="N3443" i="1"/>
  <c r="M3443" i="1"/>
  <c r="N3435" i="1"/>
  <c r="M3435" i="1"/>
  <c r="N3427" i="1"/>
  <c r="M3427" i="1"/>
  <c r="N3419" i="1"/>
  <c r="M3419" i="1"/>
  <c r="N3411" i="1"/>
  <c r="M3411" i="1"/>
  <c r="N3403" i="1"/>
  <c r="M3403" i="1"/>
  <c r="N3395" i="1"/>
  <c r="M3395" i="1"/>
  <c r="N3387" i="1"/>
  <c r="M3387" i="1"/>
  <c r="N3379" i="1"/>
  <c r="M3379" i="1"/>
  <c r="N3371" i="1"/>
  <c r="M3371" i="1"/>
  <c r="N3363" i="1"/>
  <c r="M3363" i="1"/>
  <c r="N3355" i="1"/>
  <c r="M3355" i="1"/>
  <c r="N3347" i="1"/>
  <c r="M3347" i="1"/>
  <c r="N3339" i="1"/>
  <c r="M3339" i="1"/>
  <c r="N3331" i="1"/>
  <c r="M3331" i="1"/>
  <c r="N3323" i="1"/>
  <c r="M3323" i="1"/>
  <c r="N3315" i="1"/>
  <c r="M3315" i="1"/>
  <c r="N3307" i="1"/>
  <c r="M3307" i="1"/>
  <c r="N3299" i="1"/>
  <c r="M3299" i="1"/>
  <c r="N3291" i="1"/>
  <c r="M3291" i="1"/>
  <c r="N3283" i="1"/>
  <c r="M3283" i="1"/>
  <c r="N3275" i="1"/>
  <c r="M3275" i="1"/>
  <c r="N3267" i="1"/>
  <c r="M3267" i="1"/>
  <c r="N3259" i="1"/>
  <c r="M3259" i="1"/>
  <c r="N3251" i="1"/>
  <c r="M3251" i="1"/>
  <c r="N3243" i="1"/>
  <c r="M3243" i="1"/>
  <c r="N3235" i="1"/>
  <c r="M3235" i="1"/>
  <c r="N3227" i="1"/>
  <c r="M3227" i="1"/>
  <c r="N3219" i="1"/>
  <c r="M3219" i="1"/>
  <c r="M3211" i="1"/>
  <c r="N3211" i="1"/>
  <c r="M3203" i="1"/>
  <c r="N3203" i="1"/>
  <c r="M3195" i="1"/>
  <c r="N3195" i="1"/>
  <c r="M3187" i="1"/>
  <c r="N3187" i="1"/>
  <c r="M3179" i="1"/>
  <c r="N3179" i="1"/>
  <c r="M3171" i="1"/>
  <c r="N3171" i="1"/>
  <c r="M3163" i="1"/>
  <c r="N3163" i="1"/>
  <c r="M3155" i="1"/>
  <c r="N3155" i="1"/>
  <c r="M3147" i="1"/>
  <c r="N3147" i="1"/>
  <c r="M3139" i="1"/>
  <c r="N3139" i="1"/>
  <c r="M3131" i="1"/>
  <c r="N3131" i="1"/>
  <c r="M3123" i="1"/>
  <c r="N3123" i="1"/>
  <c r="M3115" i="1"/>
  <c r="N3115" i="1"/>
  <c r="M3107" i="1"/>
  <c r="N3107" i="1"/>
  <c r="M3099" i="1"/>
  <c r="N3099" i="1"/>
  <c r="M3091" i="1"/>
  <c r="N3091" i="1"/>
  <c r="M3083" i="1"/>
  <c r="N3083" i="1"/>
  <c r="M3075" i="1"/>
  <c r="N3075" i="1"/>
  <c r="M3067" i="1"/>
  <c r="N3067" i="1"/>
  <c r="M3059" i="1"/>
  <c r="N3059" i="1"/>
  <c r="M3051" i="1"/>
  <c r="N3051" i="1"/>
  <c r="M3043" i="1"/>
  <c r="N3043" i="1"/>
  <c r="M3035" i="1"/>
  <c r="N3035" i="1"/>
  <c r="M3027" i="1"/>
  <c r="N3027" i="1"/>
  <c r="M3019" i="1"/>
  <c r="N3019" i="1"/>
  <c r="M3011" i="1"/>
  <c r="N3011" i="1"/>
  <c r="M3003" i="1"/>
  <c r="N3003" i="1"/>
  <c r="M2995" i="1"/>
  <c r="N2995" i="1"/>
  <c r="M2987" i="1"/>
  <c r="N2987" i="1"/>
  <c r="M2979" i="1"/>
  <c r="N2979" i="1"/>
  <c r="M2971" i="1"/>
  <c r="N2971" i="1"/>
  <c r="M2963" i="1"/>
  <c r="N2963" i="1"/>
  <c r="M2955" i="1"/>
  <c r="N2955" i="1"/>
  <c r="M2947" i="1"/>
  <c r="N2947" i="1"/>
  <c r="M2939" i="1"/>
  <c r="N2939" i="1"/>
  <c r="M2931" i="1"/>
  <c r="N2931" i="1"/>
  <c r="M2923" i="1"/>
  <c r="N2923" i="1"/>
  <c r="M2915" i="1"/>
  <c r="N2915" i="1"/>
  <c r="M2907" i="1"/>
  <c r="N2907" i="1"/>
  <c r="M2899" i="1"/>
  <c r="N2899" i="1"/>
  <c r="M2891" i="1"/>
  <c r="N2891" i="1"/>
  <c r="M2883" i="1"/>
  <c r="N2883" i="1"/>
  <c r="M2875" i="1"/>
  <c r="N2875" i="1"/>
  <c r="M2867" i="1"/>
  <c r="N2867" i="1"/>
  <c r="M2859" i="1"/>
  <c r="N2859" i="1"/>
  <c r="M2851" i="1"/>
  <c r="N2851" i="1"/>
  <c r="M2843" i="1"/>
  <c r="N2843" i="1"/>
  <c r="M2835" i="1"/>
  <c r="N2835" i="1"/>
  <c r="M2827" i="1"/>
  <c r="N2827" i="1"/>
  <c r="M2819" i="1"/>
  <c r="N2819" i="1"/>
  <c r="M2811" i="1"/>
  <c r="N2811" i="1"/>
  <c r="M2803" i="1"/>
  <c r="N2803" i="1"/>
  <c r="M2795" i="1"/>
  <c r="N2795" i="1"/>
  <c r="M2787" i="1"/>
  <c r="N2787" i="1"/>
  <c r="M2779" i="1"/>
  <c r="N2779" i="1"/>
  <c r="M2771" i="1"/>
  <c r="N2771" i="1"/>
  <c r="M2763" i="1"/>
  <c r="N2763" i="1"/>
  <c r="M2755" i="1"/>
  <c r="N2755" i="1"/>
  <c r="M2747" i="1"/>
  <c r="N2747" i="1"/>
  <c r="M2739" i="1"/>
  <c r="N2739" i="1"/>
  <c r="M2731" i="1"/>
  <c r="N2731" i="1"/>
  <c r="M2723" i="1"/>
  <c r="N2723" i="1"/>
  <c r="M2715" i="1"/>
  <c r="N2715" i="1"/>
  <c r="M2707" i="1"/>
  <c r="N2707" i="1"/>
  <c r="M2699" i="1"/>
  <c r="N2699" i="1"/>
  <c r="M2691" i="1"/>
  <c r="N2691" i="1"/>
  <c r="M2683" i="1"/>
  <c r="N2683" i="1"/>
  <c r="M2675" i="1"/>
  <c r="N2675" i="1"/>
  <c r="M2667" i="1"/>
  <c r="N2667" i="1"/>
  <c r="M2659" i="1"/>
  <c r="N2659" i="1"/>
  <c r="M2651" i="1"/>
  <c r="N2651" i="1"/>
  <c r="M2643" i="1"/>
  <c r="N2643" i="1"/>
  <c r="M2635" i="1"/>
  <c r="N2635" i="1"/>
  <c r="M2627" i="1"/>
  <c r="N2627" i="1"/>
  <c r="M2619" i="1"/>
  <c r="N2619" i="1"/>
  <c r="M2611" i="1"/>
  <c r="N2611" i="1"/>
  <c r="M2603" i="1"/>
  <c r="N2603" i="1"/>
  <c r="M2595" i="1"/>
  <c r="N2595" i="1"/>
  <c r="M2587" i="1"/>
  <c r="N2587" i="1"/>
  <c r="M2579" i="1"/>
  <c r="N2579" i="1"/>
  <c r="M2571" i="1"/>
  <c r="N2571" i="1"/>
  <c r="M2563" i="1"/>
  <c r="N2563" i="1"/>
  <c r="M2555" i="1"/>
  <c r="N2555" i="1"/>
  <c r="M2547" i="1"/>
  <c r="N2547" i="1"/>
  <c r="M2539" i="1"/>
  <c r="N2539" i="1"/>
  <c r="M2531" i="1"/>
  <c r="N2531" i="1"/>
  <c r="M2523" i="1"/>
  <c r="N2523" i="1"/>
  <c r="M2515" i="1"/>
  <c r="N2515" i="1"/>
  <c r="M2507" i="1"/>
  <c r="N2507" i="1"/>
  <c r="M2499" i="1"/>
  <c r="N2499" i="1"/>
  <c r="M2491" i="1"/>
  <c r="N2491" i="1"/>
  <c r="M2483" i="1"/>
  <c r="N2483" i="1"/>
  <c r="M2475" i="1"/>
  <c r="N2475" i="1"/>
  <c r="M2467" i="1"/>
  <c r="N2467" i="1"/>
  <c r="M2459" i="1"/>
  <c r="N2459" i="1"/>
  <c r="M2451" i="1"/>
  <c r="N2451" i="1"/>
  <c r="M2443" i="1"/>
  <c r="N2443" i="1"/>
  <c r="M2435" i="1"/>
  <c r="N2435" i="1"/>
  <c r="M2427" i="1"/>
  <c r="N2427" i="1"/>
  <c r="M2419" i="1"/>
  <c r="N2419" i="1"/>
  <c r="M2411" i="1"/>
  <c r="N2411" i="1"/>
  <c r="M2403" i="1"/>
  <c r="N2403" i="1"/>
  <c r="M2395" i="1"/>
  <c r="N2395" i="1"/>
  <c r="M2387" i="1"/>
  <c r="N2387" i="1"/>
  <c r="M2379" i="1"/>
  <c r="N2379" i="1"/>
  <c r="M2371" i="1"/>
  <c r="N2371" i="1"/>
  <c r="M2363" i="1"/>
  <c r="N2363" i="1"/>
  <c r="M2355" i="1"/>
  <c r="N2355" i="1"/>
  <c r="M2347" i="1"/>
  <c r="N2347" i="1"/>
  <c r="M2339" i="1"/>
  <c r="N2339" i="1"/>
  <c r="M2331" i="1"/>
  <c r="N2331" i="1"/>
  <c r="M2323" i="1"/>
  <c r="N2323" i="1"/>
  <c r="M2315" i="1"/>
  <c r="N2315" i="1"/>
  <c r="M2307" i="1"/>
  <c r="N2307" i="1"/>
  <c r="M2299" i="1"/>
  <c r="N2299" i="1"/>
  <c r="M2291" i="1"/>
  <c r="N2291" i="1"/>
  <c r="M2283" i="1"/>
  <c r="N2283" i="1"/>
  <c r="M2275" i="1"/>
  <c r="N2275" i="1"/>
  <c r="M2267" i="1"/>
  <c r="N2267" i="1"/>
  <c r="M2259" i="1"/>
  <c r="N2259" i="1"/>
  <c r="M2251" i="1"/>
  <c r="N2251" i="1"/>
  <c r="M2243" i="1"/>
  <c r="N2243" i="1"/>
  <c r="M2235" i="1"/>
  <c r="N2235" i="1"/>
  <c r="M2227" i="1"/>
  <c r="N2227" i="1"/>
  <c r="M2219" i="1"/>
  <c r="N2219" i="1"/>
  <c r="M2211" i="1"/>
  <c r="N2211" i="1"/>
  <c r="M2203" i="1"/>
  <c r="N2203" i="1"/>
  <c r="M2195" i="1"/>
  <c r="N2195" i="1"/>
  <c r="M2187" i="1"/>
  <c r="N2187" i="1"/>
  <c r="M2179" i="1"/>
  <c r="N2179" i="1"/>
  <c r="M2171" i="1"/>
  <c r="N2171" i="1"/>
  <c r="M2163" i="1"/>
  <c r="N2163" i="1"/>
  <c r="M2155" i="1"/>
  <c r="N2155" i="1"/>
  <c r="M2147" i="1"/>
  <c r="N2147" i="1"/>
  <c r="M2139" i="1"/>
  <c r="N2139" i="1"/>
  <c r="M2131" i="1"/>
  <c r="N2131" i="1"/>
  <c r="M2123" i="1"/>
  <c r="N2123" i="1"/>
  <c r="M2115" i="1"/>
  <c r="N2115" i="1"/>
  <c r="M2107" i="1"/>
  <c r="N2107" i="1"/>
  <c r="M2099" i="1"/>
  <c r="N2099" i="1"/>
  <c r="M2091" i="1"/>
  <c r="N2091" i="1"/>
  <c r="M2083" i="1"/>
  <c r="N2083" i="1"/>
  <c r="M2075" i="1"/>
  <c r="N2075" i="1"/>
  <c r="M2067" i="1"/>
  <c r="N2067" i="1"/>
  <c r="M2059" i="1"/>
  <c r="N2059" i="1"/>
  <c r="M2051" i="1"/>
  <c r="N2051" i="1"/>
  <c r="M2043" i="1"/>
  <c r="N2043" i="1"/>
  <c r="M2035" i="1"/>
  <c r="N2035" i="1"/>
  <c r="M2027" i="1"/>
  <c r="N2027" i="1"/>
  <c r="M2019" i="1"/>
  <c r="N2019" i="1"/>
  <c r="M2011" i="1"/>
  <c r="N2011" i="1"/>
  <c r="M2003" i="1"/>
  <c r="N2003" i="1"/>
  <c r="M1995" i="1"/>
  <c r="N1995" i="1"/>
  <c r="M1987" i="1"/>
  <c r="N1987" i="1"/>
  <c r="M1979" i="1"/>
  <c r="N1979" i="1"/>
  <c r="M1971" i="1"/>
  <c r="N1971" i="1"/>
  <c r="M1963" i="1"/>
  <c r="N1963" i="1"/>
  <c r="M1955" i="1"/>
  <c r="N1955" i="1"/>
  <c r="M1947" i="1"/>
  <c r="N1947" i="1"/>
  <c r="M1939" i="1"/>
  <c r="N1939" i="1"/>
  <c r="M1931" i="1"/>
  <c r="N1931" i="1"/>
  <c r="M1923" i="1"/>
  <c r="N1923" i="1"/>
  <c r="M1915" i="1"/>
  <c r="N1915" i="1"/>
  <c r="M1907" i="1"/>
  <c r="N1907" i="1"/>
  <c r="M1899" i="1"/>
  <c r="N1899" i="1"/>
  <c r="M1891" i="1"/>
  <c r="N1891" i="1"/>
  <c r="M1883" i="1"/>
  <c r="N1883" i="1"/>
  <c r="M1875" i="1"/>
  <c r="N1875" i="1"/>
  <c r="M1867" i="1"/>
  <c r="N1867" i="1"/>
  <c r="M1859" i="1"/>
  <c r="N1859" i="1"/>
  <c r="M1851" i="1"/>
  <c r="N1851" i="1"/>
  <c r="M1843" i="1"/>
  <c r="N1843" i="1"/>
  <c r="M1835" i="1"/>
  <c r="N1835" i="1"/>
  <c r="M1827" i="1"/>
  <c r="N1827" i="1"/>
  <c r="M1819" i="1"/>
  <c r="N1819" i="1"/>
  <c r="M1811" i="1"/>
  <c r="N1811" i="1"/>
  <c r="M1803" i="1"/>
  <c r="N1803" i="1"/>
  <c r="M1795" i="1"/>
  <c r="N1795" i="1"/>
  <c r="M1787" i="1"/>
  <c r="N1787" i="1"/>
  <c r="M1779" i="1"/>
  <c r="N1779" i="1"/>
  <c r="M1771" i="1"/>
  <c r="N1771" i="1"/>
  <c r="M1763" i="1"/>
  <c r="N1763" i="1"/>
  <c r="M1755" i="1"/>
  <c r="N1755" i="1"/>
  <c r="M1747" i="1"/>
  <c r="N1747" i="1"/>
  <c r="M1739" i="1"/>
  <c r="N1739" i="1"/>
  <c r="M1731" i="1"/>
  <c r="N1731" i="1"/>
  <c r="M1723" i="1"/>
  <c r="N1723" i="1"/>
  <c r="M1715" i="1"/>
  <c r="N1715" i="1"/>
  <c r="M1707" i="1"/>
  <c r="N1707" i="1"/>
  <c r="M1699" i="1"/>
  <c r="N1699" i="1"/>
  <c r="M1691" i="1"/>
  <c r="N1691" i="1"/>
  <c r="M1683" i="1"/>
  <c r="N1683" i="1"/>
  <c r="M1675" i="1"/>
  <c r="N1675" i="1"/>
  <c r="M1667" i="1"/>
  <c r="N1667" i="1"/>
  <c r="M1659" i="1"/>
  <c r="N1659" i="1"/>
  <c r="M1651" i="1"/>
  <c r="N1651" i="1"/>
  <c r="M1643" i="1"/>
  <c r="N1643" i="1"/>
  <c r="M1635" i="1"/>
  <c r="N1635" i="1"/>
  <c r="M1627" i="1"/>
  <c r="N1627" i="1"/>
  <c r="N1619" i="1"/>
  <c r="M1619" i="1"/>
  <c r="M1611" i="1"/>
  <c r="N1611" i="1"/>
  <c r="N1603" i="1"/>
  <c r="M1603" i="1"/>
  <c r="M1595" i="1"/>
  <c r="N1595" i="1"/>
  <c r="N1587" i="1"/>
  <c r="M1587" i="1"/>
  <c r="N1579" i="1"/>
  <c r="M1579" i="1"/>
  <c r="N1571" i="1"/>
  <c r="M1571" i="1"/>
  <c r="N1563" i="1"/>
  <c r="M1563" i="1"/>
  <c r="N1555" i="1"/>
  <c r="M1555" i="1"/>
  <c r="N1547" i="1"/>
  <c r="M1547" i="1"/>
  <c r="N1539" i="1"/>
  <c r="M1539" i="1"/>
  <c r="N1531" i="1"/>
  <c r="M1531" i="1"/>
  <c r="N1523" i="1"/>
  <c r="M1523" i="1"/>
  <c r="M1515" i="1"/>
  <c r="N1515" i="1"/>
  <c r="M1507" i="1"/>
  <c r="N1507" i="1"/>
  <c r="M1499" i="1"/>
  <c r="N1499" i="1"/>
  <c r="M1491" i="1"/>
  <c r="N1491" i="1"/>
  <c r="M1483" i="1"/>
  <c r="N1483" i="1"/>
  <c r="M1475" i="1"/>
  <c r="N1475" i="1"/>
  <c r="M1467" i="1"/>
  <c r="N1467" i="1"/>
  <c r="M1459" i="1"/>
  <c r="N1459" i="1"/>
  <c r="M1451" i="1"/>
  <c r="N1451" i="1"/>
  <c r="M1443" i="1"/>
  <c r="N1443" i="1"/>
  <c r="M1435" i="1"/>
  <c r="N1435" i="1"/>
  <c r="M1427" i="1"/>
  <c r="N1427" i="1"/>
  <c r="M1419" i="1"/>
  <c r="N1419" i="1"/>
  <c r="M1411" i="1"/>
  <c r="N1411" i="1"/>
  <c r="M1403" i="1"/>
  <c r="N1403" i="1"/>
  <c r="M1395" i="1"/>
  <c r="N1395" i="1"/>
  <c r="M1387" i="1"/>
  <c r="N1387" i="1"/>
  <c r="M1379" i="1"/>
  <c r="N1379" i="1"/>
  <c r="M1371" i="1"/>
  <c r="N1371" i="1"/>
  <c r="M1363" i="1"/>
  <c r="N1363" i="1"/>
  <c r="M1355" i="1"/>
  <c r="N1355" i="1"/>
  <c r="M1347" i="1"/>
  <c r="N1347" i="1"/>
  <c r="M1339" i="1"/>
  <c r="N1339" i="1"/>
  <c r="M1331" i="1"/>
  <c r="N1331" i="1"/>
  <c r="M1323" i="1"/>
  <c r="N1323" i="1"/>
  <c r="M1315" i="1"/>
  <c r="N1315" i="1"/>
  <c r="M1307" i="1"/>
  <c r="N1307" i="1"/>
  <c r="M1299" i="1"/>
  <c r="N1299" i="1"/>
  <c r="M1291" i="1"/>
  <c r="N1291" i="1"/>
  <c r="M1283" i="1"/>
  <c r="N1283" i="1"/>
  <c r="M1275" i="1"/>
  <c r="N1275" i="1"/>
  <c r="M1267" i="1"/>
  <c r="N1267" i="1"/>
  <c r="M1259" i="1"/>
  <c r="N1259" i="1"/>
  <c r="M1251" i="1"/>
  <c r="N1251" i="1"/>
  <c r="M1243" i="1"/>
  <c r="N1243" i="1"/>
  <c r="M1235" i="1"/>
  <c r="N1235" i="1"/>
  <c r="M1227" i="1"/>
  <c r="N1227" i="1"/>
  <c r="M1219" i="1"/>
  <c r="N1219" i="1"/>
  <c r="M1211" i="1"/>
  <c r="N1211" i="1"/>
  <c r="M1203" i="1"/>
  <c r="N1203" i="1"/>
  <c r="M1195" i="1"/>
  <c r="N1195" i="1"/>
  <c r="M1187" i="1"/>
  <c r="N1187" i="1"/>
  <c r="M1179" i="1"/>
  <c r="N1179" i="1"/>
  <c r="M1171" i="1"/>
  <c r="N1171" i="1"/>
  <c r="M1163" i="1"/>
  <c r="N1163" i="1"/>
  <c r="M1155" i="1"/>
  <c r="N1155" i="1"/>
  <c r="M1147" i="1"/>
  <c r="N1147" i="1"/>
  <c r="M1139" i="1"/>
  <c r="N1139" i="1"/>
  <c r="M1131" i="1"/>
  <c r="N1131" i="1"/>
  <c r="M1123" i="1"/>
  <c r="N1123" i="1"/>
  <c r="M1115" i="1"/>
  <c r="N1115" i="1"/>
  <c r="M1107" i="1"/>
  <c r="N1107" i="1"/>
  <c r="M1099" i="1"/>
  <c r="N1099" i="1"/>
  <c r="M1091" i="1"/>
  <c r="N1091" i="1"/>
  <c r="N1083" i="1"/>
  <c r="M1083" i="1"/>
  <c r="N1075" i="1"/>
  <c r="M1075" i="1"/>
  <c r="N1067" i="1"/>
  <c r="M1067" i="1"/>
  <c r="N1059" i="1"/>
  <c r="M1059" i="1"/>
  <c r="N1051" i="1"/>
  <c r="M1051" i="1"/>
  <c r="N1043" i="1"/>
  <c r="M1043" i="1"/>
  <c r="N1035" i="1"/>
  <c r="M1035" i="1"/>
  <c r="N1027" i="1"/>
  <c r="M1027" i="1"/>
  <c r="N1019" i="1"/>
  <c r="M1019" i="1"/>
  <c r="N1011" i="1"/>
  <c r="M1011" i="1"/>
  <c r="N1003" i="1"/>
  <c r="M1003" i="1"/>
  <c r="N995" i="1"/>
  <c r="M995" i="1"/>
  <c r="N987" i="1"/>
  <c r="M987" i="1"/>
  <c r="N979" i="1"/>
  <c r="M979" i="1"/>
  <c r="N971" i="1"/>
  <c r="M971" i="1"/>
  <c r="N963" i="1"/>
  <c r="M963" i="1"/>
  <c r="N955" i="1"/>
  <c r="M955" i="1"/>
  <c r="N947" i="1"/>
  <c r="M947" i="1"/>
  <c r="N939" i="1"/>
  <c r="M939" i="1"/>
  <c r="N931" i="1"/>
  <c r="M931" i="1"/>
  <c r="N923" i="1"/>
  <c r="M923" i="1"/>
  <c r="N915" i="1"/>
  <c r="M915" i="1"/>
  <c r="M907" i="1"/>
  <c r="N907" i="1"/>
  <c r="M899" i="1"/>
  <c r="N899" i="1"/>
  <c r="M891" i="1"/>
  <c r="N891" i="1"/>
  <c r="M883" i="1"/>
  <c r="N883" i="1"/>
  <c r="M875" i="1"/>
  <c r="N875" i="1"/>
  <c r="M867" i="1"/>
  <c r="N867" i="1"/>
  <c r="M859" i="1"/>
  <c r="N859" i="1"/>
  <c r="M851" i="1"/>
  <c r="N851" i="1"/>
  <c r="M843" i="1"/>
  <c r="N843" i="1"/>
  <c r="M835" i="1"/>
  <c r="N835" i="1"/>
  <c r="M827" i="1"/>
  <c r="N827" i="1"/>
  <c r="M819" i="1"/>
  <c r="N819" i="1"/>
  <c r="M811" i="1"/>
  <c r="N811" i="1"/>
  <c r="M803" i="1"/>
  <c r="N803" i="1"/>
  <c r="M795" i="1"/>
  <c r="N795" i="1"/>
  <c r="M787" i="1"/>
  <c r="N787" i="1"/>
  <c r="M779" i="1"/>
  <c r="N779" i="1"/>
  <c r="M771" i="1"/>
  <c r="N771" i="1"/>
  <c r="M763" i="1"/>
  <c r="N763" i="1"/>
  <c r="M755" i="1"/>
  <c r="N755" i="1"/>
  <c r="M747" i="1"/>
  <c r="N747" i="1"/>
  <c r="M739" i="1"/>
  <c r="N739" i="1"/>
  <c r="M731" i="1"/>
  <c r="N731" i="1"/>
  <c r="M723" i="1"/>
  <c r="N723" i="1"/>
  <c r="M715" i="1"/>
  <c r="N715" i="1"/>
  <c r="M707" i="1"/>
  <c r="N707" i="1"/>
  <c r="M699" i="1"/>
  <c r="N699" i="1"/>
  <c r="M691" i="1"/>
  <c r="N691" i="1"/>
  <c r="M683" i="1"/>
  <c r="N683" i="1"/>
  <c r="M675" i="1"/>
  <c r="N675" i="1"/>
  <c r="M667" i="1"/>
  <c r="N667" i="1"/>
  <c r="M659" i="1"/>
  <c r="N659" i="1"/>
  <c r="M651" i="1"/>
  <c r="N651" i="1"/>
  <c r="M643" i="1"/>
  <c r="N643" i="1"/>
  <c r="M635" i="1"/>
  <c r="N635" i="1"/>
  <c r="M627" i="1"/>
  <c r="N627" i="1"/>
  <c r="M619" i="1"/>
  <c r="N619" i="1"/>
  <c r="M611" i="1"/>
  <c r="N611" i="1"/>
  <c r="M603" i="1"/>
  <c r="N603" i="1"/>
  <c r="M595" i="1"/>
  <c r="N595" i="1"/>
  <c r="M587" i="1"/>
  <c r="N587" i="1"/>
  <c r="M579" i="1"/>
  <c r="N579" i="1"/>
  <c r="M571" i="1"/>
  <c r="N571" i="1"/>
  <c r="M563" i="1"/>
  <c r="N563" i="1"/>
  <c r="M555" i="1"/>
  <c r="N555" i="1"/>
  <c r="M547" i="1"/>
  <c r="N547" i="1"/>
  <c r="M539" i="1"/>
  <c r="N539" i="1"/>
  <c r="M531" i="1"/>
  <c r="N531" i="1"/>
  <c r="M523" i="1"/>
  <c r="N523" i="1"/>
  <c r="M515" i="1"/>
  <c r="N515" i="1"/>
  <c r="M507" i="1"/>
  <c r="N507" i="1"/>
  <c r="M499" i="1"/>
  <c r="N499" i="1"/>
  <c r="M491" i="1"/>
  <c r="N491" i="1"/>
  <c r="M483" i="1"/>
  <c r="N483" i="1"/>
  <c r="M475" i="1"/>
  <c r="N475" i="1"/>
  <c r="M467" i="1"/>
  <c r="N467" i="1"/>
  <c r="M459" i="1"/>
  <c r="N459" i="1"/>
  <c r="M451" i="1"/>
  <c r="N451" i="1"/>
  <c r="M443" i="1"/>
  <c r="N443" i="1"/>
  <c r="M435" i="1"/>
  <c r="N435" i="1"/>
  <c r="M427" i="1"/>
  <c r="N427" i="1"/>
  <c r="M419" i="1"/>
  <c r="N419" i="1"/>
  <c r="M411" i="1"/>
  <c r="N411" i="1"/>
  <c r="M403" i="1"/>
  <c r="N403" i="1"/>
  <c r="M395" i="1"/>
  <c r="N395" i="1"/>
  <c r="M387" i="1"/>
  <c r="N387" i="1"/>
  <c r="M379" i="1"/>
  <c r="N379" i="1"/>
  <c r="M371" i="1"/>
  <c r="N371" i="1"/>
  <c r="M363" i="1"/>
  <c r="N363" i="1"/>
  <c r="M355" i="1"/>
  <c r="N355" i="1"/>
  <c r="M347" i="1"/>
  <c r="N347" i="1"/>
  <c r="M339" i="1"/>
  <c r="N339" i="1"/>
  <c r="M331" i="1"/>
  <c r="N331" i="1"/>
  <c r="M323" i="1"/>
  <c r="N323" i="1"/>
  <c r="M315" i="1"/>
  <c r="N315" i="1"/>
  <c r="M307" i="1"/>
  <c r="N307" i="1"/>
  <c r="M299" i="1"/>
  <c r="N299" i="1"/>
  <c r="M291" i="1"/>
  <c r="N291" i="1"/>
  <c r="M283" i="1"/>
  <c r="N283" i="1"/>
  <c r="M275" i="1"/>
  <c r="N275" i="1"/>
  <c r="M267" i="1"/>
  <c r="N267" i="1"/>
  <c r="M259" i="1"/>
  <c r="N259" i="1"/>
  <c r="M251" i="1"/>
  <c r="N251" i="1"/>
  <c r="M243" i="1"/>
  <c r="N243" i="1"/>
  <c r="M235" i="1"/>
  <c r="N235" i="1"/>
  <c r="M227" i="1"/>
  <c r="N227" i="1"/>
  <c r="M219" i="1"/>
  <c r="N219" i="1"/>
  <c r="M211" i="1"/>
  <c r="N211" i="1"/>
  <c r="M203" i="1"/>
  <c r="N203" i="1"/>
  <c r="M195" i="1"/>
  <c r="N195" i="1"/>
  <c r="M187" i="1"/>
  <c r="N187" i="1"/>
  <c r="M179" i="1"/>
  <c r="N179" i="1"/>
  <c r="M171" i="1"/>
  <c r="N171" i="1"/>
  <c r="M163" i="1"/>
  <c r="N163" i="1"/>
  <c r="M155" i="1"/>
  <c r="N155" i="1"/>
  <c r="M147" i="1"/>
  <c r="N147" i="1"/>
  <c r="M139" i="1"/>
  <c r="N139" i="1"/>
  <c r="M131" i="1"/>
  <c r="N131" i="1"/>
  <c r="M123" i="1"/>
  <c r="N123" i="1"/>
  <c r="M115" i="1"/>
  <c r="N115" i="1"/>
  <c r="M107" i="1"/>
  <c r="N107" i="1"/>
  <c r="M99" i="1"/>
  <c r="N99" i="1"/>
  <c r="M91" i="1"/>
  <c r="N91" i="1"/>
  <c r="M83" i="1"/>
  <c r="N83" i="1"/>
  <c r="M75" i="1"/>
  <c r="N75" i="1"/>
  <c r="M67" i="1"/>
  <c r="N67" i="1"/>
  <c r="M59" i="1"/>
  <c r="N59" i="1"/>
  <c r="M51" i="1"/>
  <c r="N51" i="1"/>
  <c r="M43" i="1"/>
  <c r="N43" i="1"/>
  <c r="M35" i="1"/>
  <c r="N35" i="1"/>
  <c r="M27" i="1"/>
  <c r="N27" i="1"/>
  <c r="M19" i="1"/>
  <c r="N19" i="1"/>
  <c r="M11" i="1"/>
  <c r="N11" i="1"/>
  <c r="M3" i="1"/>
  <c r="N3" i="1"/>
  <c r="N4099" i="1"/>
  <c r="N4083" i="1"/>
  <c r="N4067" i="1"/>
  <c r="N4051" i="1"/>
  <c r="N4035" i="1"/>
  <c r="N4019" i="1"/>
  <c r="N4003" i="1"/>
  <c r="N3987" i="1"/>
  <c r="N3971" i="1"/>
  <c r="N3955" i="1"/>
  <c r="N3939" i="1"/>
  <c r="N3923" i="1"/>
  <c r="N3907" i="1"/>
  <c r="N3891" i="1"/>
  <c r="N3875" i="1"/>
  <c r="N3859" i="1"/>
  <c r="N3843" i="1"/>
  <c r="N3827" i="1"/>
  <c r="N3811" i="1"/>
  <c r="N3795" i="1"/>
  <c r="N3779" i="1"/>
  <c r="N3763" i="1"/>
  <c r="N3747" i="1"/>
  <c r="N3731" i="1"/>
  <c r="N3715" i="1"/>
  <c r="N3699" i="1"/>
  <c r="N3683" i="1"/>
  <c r="N3667" i="1"/>
  <c r="N3651" i="1"/>
  <c r="N3635" i="1"/>
  <c r="N3618" i="1"/>
  <c r="N3597" i="1"/>
  <c r="M3576" i="1"/>
  <c r="N3529" i="1"/>
  <c r="N3465" i="1"/>
  <c r="N3401" i="1"/>
  <c r="N3337" i="1"/>
  <c r="N3273" i="1"/>
  <c r="N3202" i="1"/>
  <c r="M3074" i="1"/>
  <c r="M2904" i="1"/>
  <c r="N2721" i="1"/>
  <c r="M2008" i="1"/>
  <c r="E2" i="8"/>
  <c r="H2" i="8" s="1"/>
  <c r="E4" i="8"/>
  <c r="F4" i="8" s="1"/>
  <c r="E5" i="8"/>
  <c r="F5" i="8" s="1"/>
  <c r="E3" i="8"/>
  <c r="F3" i="8" s="1"/>
  <c r="E12" i="8"/>
  <c r="F12" i="8" s="1"/>
  <c r="E11" i="8"/>
  <c r="F11" i="8" s="1"/>
  <c r="E6" i="8"/>
  <c r="H6" i="8" s="1"/>
  <c r="E9" i="8"/>
  <c r="F9" i="8" s="1"/>
  <c r="E8" i="8"/>
  <c r="G8" i="8" s="1"/>
  <c r="E7" i="8"/>
  <c r="G7" i="8" s="1"/>
  <c r="F13" i="8"/>
  <c r="G13" i="8"/>
  <c r="H13" i="8"/>
  <c r="F10" i="8"/>
  <c r="H10" i="8"/>
  <c r="G10" i="8"/>
  <c r="F2" i="8" l="1"/>
  <c r="G2" i="8"/>
  <c r="H4" i="8"/>
  <c r="H8" i="8"/>
  <c r="H12" i="8"/>
  <c r="G11" i="8"/>
  <c r="H11" i="8"/>
  <c r="H5" i="8"/>
  <c r="G5" i="8"/>
  <c r="G4" i="8"/>
  <c r="H7" i="8"/>
  <c r="G3" i="8"/>
  <c r="H3" i="8"/>
  <c r="G9" i="8"/>
  <c r="H9" i="8"/>
  <c r="G6" i="8"/>
  <c r="G12" i="8"/>
  <c r="F6" i="8"/>
  <c r="F8" i="8"/>
  <c r="F7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tc={BB153191-C4B7-45A1-8182-172A2229ED9D}</author>
  </authors>
  <commentList>
    <comment ref="U2" authorId="0" shapeId="0" xr:uid="{BB153191-C4B7-45A1-8182-172A2229ED9D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Initially used Text to Columns (in Data Tab) as it's more efficient. I have included the formula below per instructions. Thanks!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D4D75C-58C7-43E4-BCD6-D3778C25E671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A7F79C6-224E-4CD1-B6DE-29816A4037F1}" name="WorksheetConnection_StarterBook - MDJ edit.xlsx!Table1" type="102" refreshedVersion="6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StarterBookMDJedit.xlsxTable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Table1].[Category].[All]}"/>
    <s v="{[Table1].[Year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<sst xmlns="http://schemas.openxmlformats.org/spreadsheetml/2006/main" count="24811" uniqueCount="8390">
  <si>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</si>
  <si>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</si>
  <si>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</si>
  <si>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</si>
  <si>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</si>
  <si>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</si>
  <si>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</si>
  <si>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</si>
  <si>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</si>
  <si>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</si>
  <si>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</si>
  <si>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</si>
  <si>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</si>
  <si>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</si>
  <si>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</si>
  <si>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</si>
  <si>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</si>
  <si>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</si>
  <si>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</si>
  <si>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</si>
  <si>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</si>
  <si>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</si>
  <si>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</si>
  <si>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</si>
  <si>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</si>
  <si>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</si>
  <si>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</si>
  <si>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</si>
  <si>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</si>
  <si>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</si>
  <si>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</si>
  <si>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</si>
  <si>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</si>
  <si>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</si>
  <si>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</si>
  <si>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</si>
  <si>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</si>
  <si>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</si>
  <si>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</si>
  <si>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</si>
  <si>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</si>
  <si>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</si>
  <si>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</si>
  <si>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</si>
  <si>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</si>
  <si>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</si>
  <si>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</si>
  <si>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</si>
  <si>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</si>
  <si>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</si>
  <si>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</si>
  <si>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</si>
  <si>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</si>
  <si>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</si>
  <si>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</si>
  <si>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</si>
  <si>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</si>
  <si>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</si>
  <si>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</si>
  <si>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</si>
  <si>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</si>
  <si>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</si>
  <si>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</si>
  <si>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</si>
  <si>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</si>
  <si>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</si>
  <si>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</si>
  <si>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</si>
  <si>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</si>
  <si>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</si>
  <si>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</si>
  <si>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</si>
  <si>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</si>
  <si>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</si>
  <si>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</si>
  <si>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</si>
  <si>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</si>
  <si>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</si>
  <si>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</si>
  <si>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</si>
  <si>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</si>
  <si>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</si>
  <si>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</si>
  <si>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</si>
  <si>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</si>
  <si>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</si>
  <si>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</si>
  <si>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</si>
  <si>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</si>
  <si>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</si>
  <si>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</si>
  <si>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</si>
  <si>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</si>
  <si>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</si>
  <si>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</si>
  <si>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</si>
  <si>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</si>
  <si>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</si>
  <si>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</si>
  <si>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</si>
  <si>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</si>
  <si>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</si>
  <si>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</si>
  <si>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</si>
  <si>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</si>
  <si>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</si>
  <si>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</si>
  <si>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</si>
  <si>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</si>
  <si>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</si>
  <si>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</si>
  <si>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</si>
  <si>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</si>
  <si>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</si>
  <si>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</si>
  <si>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</si>
  <si>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</si>
  <si>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</si>
  <si>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</si>
  <si>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</si>
  <si>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</si>
  <si>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</si>
  <si>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</si>
  <si>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</si>
  <si>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</si>
  <si>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</si>
  <si>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</si>
  <si>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</si>
  <si>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</si>
  <si>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</si>
  <si>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</si>
  <si>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</si>
  <si>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</si>
  <si>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</si>
  <si>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</si>
  <si>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</si>
  <si>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</si>
  <si>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</si>
  <si>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</si>
  <si>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</si>
  <si>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</si>
  <si>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</si>
  <si>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</si>
  <si>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</si>
  <si>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</si>
  <si>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</si>
  <si>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</si>
  <si>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</si>
  <si>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</si>
  <si>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</si>
  <si>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</si>
  <si>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</si>
  <si>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</si>
  <si>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</si>
  <si>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</si>
  <si>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</si>
  <si>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</si>
  <si>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</si>
  <si>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</si>
  <si>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</si>
  <si>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</si>
  <si>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</si>
  <si>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</si>
  <si>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</si>
  <si>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</si>
  <si>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</si>
  <si>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</si>
  <si>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</si>
  <si>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</si>
  <si>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</si>
  <si>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</si>
  <si>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</si>
  <si>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</si>
  <si>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</si>
  <si>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</si>
  <si>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</si>
  <si>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</si>
  <si>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</si>
  <si>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</si>
  <si>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</si>
  <si>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</si>
  <si>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</si>
  <si>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</si>
  <si>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</si>
  <si>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</si>
  <si>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</si>
  <si>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</si>
  <si>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</si>
  <si>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</si>
  <si>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</si>
  <si>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</si>
  <si>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</si>
  <si>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</si>
  <si>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</si>
  <si>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</si>
  <si>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</si>
  <si>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</si>
  <si>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</si>
  <si>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</si>
  <si>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</si>
  <si>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</si>
  <si>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</si>
  <si>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</si>
  <si>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</si>
  <si>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</si>
  <si>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</si>
  <si>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</si>
  <si>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</si>
  <si>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</si>
  <si>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</si>
  <si>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</si>
  <si>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</si>
  <si>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</si>
  <si>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</si>
  <si>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</si>
  <si>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</si>
  <si>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</si>
  <si>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</si>
  <si>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</si>
  <si>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</si>
  <si>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</si>
  <si>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</si>
  <si>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</si>
  <si>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</si>
  <si>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</si>
  <si>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</si>
  <si>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</si>
  <si>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</si>
  <si>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</si>
  <si>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</si>
  <si>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</si>
  <si>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</si>
  <si>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</si>
  <si>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</si>
  <si>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</si>
  <si>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</si>
  <si>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</si>
  <si>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</si>
  <si>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</si>
  <si>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</si>
  <si>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</si>
  <si>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</si>
  <si>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</si>
  <si>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</si>
  <si>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</si>
  <si>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</si>
  <si>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</si>
  <si>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</si>
  <si>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</si>
  <si>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</si>
  <si>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</si>
  <si>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</si>
  <si>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</si>
  <si>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</si>
  <si>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</si>
  <si>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</si>
  <si>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</si>
  <si>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</si>
  <si>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</si>
  <si>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</si>
  <si>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</si>
  <si>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</si>
  <si>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</si>
  <si>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</si>
  <si>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</si>
  <si>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</si>
  <si>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</si>
  <si>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</si>
  <si>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</si>
  <si>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</si>
  <si>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</si>
  <si>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</si>
  <si>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</si>
  <si>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</si>
  <si>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</si>
  <si>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</si>
  <si>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</si>
  <si>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</si>
  <si>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</si>
  <si>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</si>
  <si>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</si>
  <si>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</si>
  <si>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</si>
  <si>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</si>
  <si>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</si>
  <si>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</si>
  <si>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</si>
  <si>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</si>
  <si>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</si>
  <si>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</si>
  <si>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</si>
  <si>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</si>
  <si>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</si>
  <si>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</si>
  <si>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</si>
  <si>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</si>
  <si>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</si>
  <si>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</si>
  <si>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</si>
  <si>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</si>
  <si>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</si>
  <si>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</si>
  <si>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</si>
  <si>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</si>
  <si>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</si>
  <si>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</si>
  <si>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</si>
  <si>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</si>
  <si>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</si>
  <si>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</si>
  <si>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</si>
  <si>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</si>
  <si>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</si>
  <si>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</si>
  <si>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</si>
  <si>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</si>
  <si>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</si>
  <si>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</si>
  <si>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</si>
  <si>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</si>
  <si>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</si>
  <si>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</si>
  <si>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</si>
  <si>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</si>
  <si>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</si>
  <si>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</si>
  <si>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</si>
  <si>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</si>
  <si>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</si>
  <si>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</si>
  <si>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</si>
  <si>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</si>
  <si>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</si>
  <si>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</si>
  <si>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</si>
  <si>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</si>
  <si>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</si>
  <si>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</si>
  <si>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</si>
  <si>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</si>
  <si>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</si>
  <si>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</si>
  <si>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</si>
  <si>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</si>
  <si>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</si>
  <si>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</si>
  <si>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</si>
  <si>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</si>
  <si>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</si>
  <si>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</si>
  <si>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</si>
  <si>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</si>
  <si>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</si>
  <si>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</si>
  <si>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</si>
  <si>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</si>
  <si>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</si>
  <si>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</si>
  <si>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</si>
  <si>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</si>
  <si>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</si>
  <si>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</si>
  <si>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</si>
  <si>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</si>
  <si>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</si>
  <si>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</si>
  <si>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</si>
  <si>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</si>
  <si>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</si>
  <si>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</si>
  <si>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</si>
  <si>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</si>
  <si>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</si>
  <si>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</si>
  <si>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</si>
  <si>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</si>
  <si>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</si>
  <si>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</si>
  <si>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</si>
  <si>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</si>
  <si>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</si>
  <si>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</si>
  <si>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</si>
  <si>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</si>
  <si>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</si>
  <si>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</si>
  <si>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</si>
  <si>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</si>
  <si>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</si>
  <si>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</si>
  <si>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</si>
  <si>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</si>
  <si>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</si>
  <si>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</si>
  <si>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</si>
  <si>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</si>
  <si>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</si>
  <si>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</si>
  <si>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</si>
  <si>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</si>
  <si>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</si>
  <si>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</si>
  <si>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</si>
  <si>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</si>
  <si>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</si>
  <si>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</si>
  <si>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</si>
  <si>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</si>
  <si>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</si>
  <si>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</si>
  <si>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</si>
  <si>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</si>
  <si>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</si>
  <si>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</si>
  <si>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</si>
  <si>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</si>
  <si>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</si>
  <si>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</si>
  <si>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</si>
  <si>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</si>
  <si>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</si>
  <si>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</si>
  <si>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</si>
  <si>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</si>
  <si>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</si>
  <si>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</si>
  <si>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</si>
  <si>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</si>
  <si>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</si>
  <si>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</si>
  <si>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</si>
  <si>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</si>
  <si>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</si>
  <si>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</si>
  <si>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</si>
  <si>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</si>
  <si>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</si>
  <si>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</si>
  <si>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</si>
  <si>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</si>
  <si>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</si>
  <si>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</si>
  <si>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</si>
  <si>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</si>
  <si>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</si>
  <si>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</si>
  <si>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</si>
  <si>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</si>
  <si>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</si>
  <si>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</si>
  <si>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</si>
  <si>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</si>
  <si>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</si>
  <si>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</si>
  <si>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</si>
  <si>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</si>
  <si>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</si>
  <si>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</si>
  <si>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</si>
  <si>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</si>
  <si>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</si>
  <si>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</si>
  <si>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</si>
  <si>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</si>
  <si>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</si>
  <si>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</si>
  <si>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</si>
  <si>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</si>
  <si>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</si>
  <si>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</si>
  <si>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</si>
  <si>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</si>
  <si>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</si>
  <si>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</si>
  <si>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</si>
  <si>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</si>
  <si>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</si>
  <si>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</si>
  <si>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</si>
  <si>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</si>
  <si>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</si>
  <si>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</si>
  <si>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</si>
  <si>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</si>
  <si>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</si>
  <si>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</si>
  <si>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</si>
  <si>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</si>
  <si>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</si>
  <si>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</si>
  <si>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</si>
  <si>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</si>
  <si>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</si>
  <si>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</si>
  <si>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</si>
  <si>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</si>
  <si>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</si>
  <si>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</si>
  <si>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</si>
  <si>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</si>
  <si>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</si>
  <si>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</si>
  <si>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</si>
  <si>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</si>
  <si>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</si>
  <si>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</si>
  <si>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</si>
  <si>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</si>
  <si>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</si>
  <si>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</si>
  <si>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</si>
  <si>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</si>
  <si>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</si>
  <si>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</si>
  <si>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</si>
  <si>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</si>
  <si>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</si>
  <si>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</si>
  <si>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</si>
  <si>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</si>
  <si>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</si>
  <si>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</si>
  <si>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</si>
  <si>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</si>
  <si>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</si>
  <si>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</si>
  <si>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</si>
  <si>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</si>
  <si>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</si>
  <si>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</si>
  <si>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</si>
  <si>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</si>
  <si>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</si>
  <si>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</si>
  <si>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</si>
  <si>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</si>
  <si>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</si>
  <si>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</si>
  <si>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</si>
  <si>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</si>
  <si>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</si>
  <si>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</si>
  <si>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</si>
  <si>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</si>
  <si>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</si>
  <si>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</si>
  <si>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</si>
  <si>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</si>
  <si>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</si>
  <si>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</si>
  <si>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</si>
  <si>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</si>
  <si>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</si>
  <si>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</si>
  <si>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</si>
  <si>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</si>
  <si>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</si>
  <si>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</si>
  <si>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</si>
  <si>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</si>
  <si>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</si>
  <si>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</si>
  <si>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</si>
  <si>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</si>
  <si>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</si>
  <si>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</si>
  <si>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</si>
  <si>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</si>
  <si>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</si>
  <si>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</si>
  <si>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</si>
  <si>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</si>
  <si>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</si>
  <si>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</si>
  <si>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</si>
  <si>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</si>
  <si>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</si>
  <si>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</si>
  <si>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</si>
  <si>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</si>
  <si>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</si>
  <si>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</si>
  <si>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</si>
  <si>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</si>
  <si>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</si>
  <si>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</si>
  <si>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</si>
  <si>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</si>
  <si>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</si>
  <si>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</si>
  <si>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</si>
  <si>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</si>
  <si>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</si>
  <si>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</si>
  <si>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</si>
  <si>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</si>
  <si>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</si>
  <si>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</si>
  <si>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</si>
  <si>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</si>
  <si>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</si>
  <si>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</si>
  <si>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</si>
  <si>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</si>
  <si>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</si>
  <si>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</si>
  <si>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</si>
  <si>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</si>
  <si>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</si>
  <si>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</si>
  <si>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</si>
  <si>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</si>
  <si>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</si>
  <si>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</si>
  <si>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</si>
  <si>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</si>
  <si>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</si>
  <si>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</si>
  <si>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</si>
  <si>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</si>
  <si>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</si>
  <si>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</si>
  <si>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</si>
  <si>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</si>
  <si>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</si>
  <si>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</si>
  <si>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</si>
  <si>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</si>
  <si>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</si>
  <si>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</si>
  <si>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</si>
  <si>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</si>
  <si>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</si>
  <si>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</si>
  <si>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</si>
  <si>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</si>
  <si>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</si>
  <si>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</si>
  <si>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</si>
  <si>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</si>
  <si>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</si>
  <si>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</si>
  <si>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</si>
  <si>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</si>
  <si>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</si>
  <si>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</si>
  <si>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</si>
  <si>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</si>
  <si>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</si>
  <si>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</si>
  <si>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</si>
  <si>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</si>
  <si>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</si>
  <si>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</si>
  <si>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</si>
  <si>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</si>
  <si>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</si>
  <si>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</si>
  <si>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</si>
  <si>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</si>
  <si>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</si>
  <si>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</si>
  <si>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</si>
  <si>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</si>
  <si>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</si>
  <si>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</si>
  <si>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</si>
  <si>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</si>
  <si>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</si>
  <si>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</si>
  <si>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</si>
  <si>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</si>
  <si>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</si>
  <si>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</si>
  <si>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</si>
  <si>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</si>
  <si>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</si>
  <si>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</si>
  <si>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</si>
  <si>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</si>
  <si>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</si>
  <si>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</si>
  <si>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</si>
  <si>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</si>
  <si>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</si>
  <si>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</si>
  <si>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</si>
  <si>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</si>
  <si>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</si>
  <si>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</si>
  <si>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</si>
  <si>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</si>
  <si>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</si>
  <si>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</si>
  <si>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</si>
  <si>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</si>
  <si>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</si>
  <si>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</si>
  <si>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</si>
  <si>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</si>
  <si>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</si>
  <si>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</si>
  <si>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</si>
  <si>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</si>
  <si>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</si>
  <si>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</si>
  <si>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</si>
  <si>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</si>
  <si>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</si>
  <si>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</si>
  <si>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</si>
  <si>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</si>
  <si>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</si>
  <si>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</si>
  <si>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</si>
  <si>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</si>
  <si>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</si>
  <si>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</si>
  <si>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</si>
  <si>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</si>
  <si>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</si>
  <si>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</si>
  <si>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</si>
  <si>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</si>
  <si>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</si>
  <si>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</si>
  <si>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</si>
  <si>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</si>
  <si>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</si>
  <si>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</si>
  <si>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</si>
  <si>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</si>
  <si>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</si>
  <si>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</si>
  <si>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</si>
  <si>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</si>
  <si>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</si>
  <si>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</si>
  <si>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</si>
  <si>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</si>
  <si>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</si>
  <si>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</si>
  <si>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</si>
  <si>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</si>
  <si>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</si>
  <si>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</si>
  <si>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</si>
  <si>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</si>
  <si>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</si>
  <si>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</si>
  <si>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</si>
  <si>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</si>
  <si>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</si>
  <si>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</si>
  <si>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</si>
  <si>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</si>
  <si>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</si>
  <si>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</si>
  <si>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</si>
  <si>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</si>
  <si>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</si>
  <si>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</si>
  <si>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</si>
  <si>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</si>
  <si>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</si>
  <si>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</si>
  <si>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</si>
  <si>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</si>
  <si>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</si>
  <si>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</si>
  <si>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</si>
  <si>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</si>
  <si>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</si>
  <si>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</si>
  <si>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</si>
  <si>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</si>
  <si>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</si>
  <si>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</si>
  <si>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</si>
  <si>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</si>
  <si>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</si>
  <si>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</si>
  <si>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</si>
  <si>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</si>
  <si>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</si>
  <si>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</si>
  <si>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</si>
  <si>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</si>
  <si>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</si>
  <si>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</si>
  <si>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</si>
  <si>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</si>
  <si>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</si>
  <si>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</si>
  <si>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</si>
  <si>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</si>
  <si>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</si>
  <si>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</si>
  <si>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</si>
  <si>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</si>
  <si>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</si>
  <si>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</si>
  <si>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</si>
  <si>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</si>
  <si>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</si>
  <si>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</si>
  <si>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</si>
  <si>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</si>
  <si>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</si>
  <si>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</si>
  <si>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</si>
  <si>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</si>
  <si>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</si>
  <si>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</si>
  <si>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</si>
  <si>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</si>
  <si>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</si>
  <si>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</si>
  <si>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</si>
  <si>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</si>
  <si>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</si>
  <si>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</si>
  <si>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</si>
  <si>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</si>
  <si>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</si>
  <si>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</si>
  <si>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</si>
  <si>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</si>
  <si>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</si>
  <si>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</si>
  <si>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</si>
  <si>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</si>
  <si>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</si>
  <si>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</si>
  <si>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</si>
  <si>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</si>
  <si>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</si>
  <si>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</si>
  <si>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</si>
  <si>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</si>
  <si>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</si>
  <si>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</si>
  <si>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</si>
  <si>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</si>
  <si>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</si>
  <si>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</si>
  <si>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</si>
  <si>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</si>
  <si>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</si>
  <si>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</si>
  <si>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</si>
  <si>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</si>
  <si>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</si>
  <si>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</si>
  <si>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</si>
  <si>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</si>
  <si>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</si>
  <si>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</si>
  <si>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</si>
  <si>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</si>
  <si>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</si>
  <si>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</si>
  <si>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</si>
  <si>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</si>
  <si>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</si>
  <si>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</si>
  <si>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</si>
  <si>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</si>
  <si>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</si>
  <si>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</si>
  <si>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</si>
  <si>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</si>
  <si>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</si>
  <si>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</si>
  <si>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</si>
  <si>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</si>
  <si>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</si>
  <si>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</si>
  <si>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</si>
  <si>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</si>
  <si>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</si>
  <si>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</si>
  <si>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</si>
  <si>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</si>
  <si>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</si>
  <si>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</si>
  <si>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</si>
  <si>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</si>
  <si>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</si>
  <si>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</si>
  <si>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</si>
  <si>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</si>
  <si>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</si>
  <si>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</si>
  <si>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</si>
  <si>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</si>
  <si>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</si>
  <si>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</si>
  <si>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</si>
  <si>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</si>
  <si>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</si>
  <si>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</si>
  <si>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</si>
  <si>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</si>
  <si>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</si>
  <si>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</si>
  <si>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</si>
  <si>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</si>
  <si>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</si>
  <si>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</si>
  <si>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</si>
  <si>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</si>
  <si>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</si>
  <si>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</si>
  <si>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</si>
  <si>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</si>
  <si>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</si>
  <si>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</si>
  <si>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</si>
  <si>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</si>
  <si>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</si>
  <si>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</si>
  <si>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</si>
  <si>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</si>
  <si>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</si>
  <si>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</si>
  <si>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</si>
  <si>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</si>
  <si>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</si>
  <si>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</si>
  <si>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</si>
  <si>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</si>
  <si>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</si>
  <si>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</si>
  <si>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</si>
  <si>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</si>
  <si>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</si>
  <si>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</si>
  <si>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</si>
  <si>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</si>
  <si>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</si>
  <si>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</si>
  <si>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</si>
  <si>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</si>
  <si>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</si>
  <si>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</si>
  <si>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</si>
  <si>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</si>
  <si>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</si>
  <si>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</si>
  <si>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</si>
  <si>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</si>
  <si>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</si>
  <si>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</si>
  <si>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</si>
  <si>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</si>
  <si>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</si>
  <si>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</si>
  <si>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</si>
  <si>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</si>
  <si>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</si>
  <si>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</si>
  <si>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</si>
  <si>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</si>
  <si>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</si>
  <si>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</si>
  <si>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</si>
  <si>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</si>
  <si>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</si>
  <si>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</si>
  <si>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</si>
  <si>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</si>
  <si>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</si>
  <si>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</si>
  <si>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</si>
  <si>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</si>
  <si>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</si>
  <si>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</si>
  <si>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</si>
  <si>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</si>
  <si>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</si>
  <si>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</si>
  <si>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</si>
  <si>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</si>
  <si>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</si>
  <si>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</si>
  <si>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</si>
  <si>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</si>
  <si>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</si>
  <si>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</si>
  <si>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</si>
  <si>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</si>
  <si>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</si>
  <si>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</si>
  <si>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</si>
  <si>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</si>
  <si>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</si>
  <si>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</si>
  <si>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</si>
  <si>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</si>
  <si>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</si>
  <si>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</si>
  <si>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</si>
  <si>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</si>
  <si>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</si>
  <si>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</si>
  <si>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</si>
  <si>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</si>
  <si>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</si>
  <si>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</si>
  <si>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</si>
  <si>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</si>
  <si>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</si>
  <si>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</si>
  <si>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</si>
  <si>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</si>
  <si>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</si>
  <si>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</si>
  <si>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</si>
  <si>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</si>
  <si>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</si>
  <si>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</si>
  <si>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</si>
  <si>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</si>
  <si>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</si>
  <si>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</si>
  <si>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</si>
  <si>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</si>
  <si>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</si>
  <si>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</si>
  <si>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</si>
  <si>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</si>
  <si>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</si>
  <si>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</si>
  <si>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</si>
  <si>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</si>
  <si>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</si>
  <si>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</si>
  <si>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</si>
  <si>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</si>
  <si>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</si>
  <si>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</si>
  <si>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</si>
  <si>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</si>
  <si>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</si>
  <si>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</si>
  <si>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</si>
  <si>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</si>
  <si>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</si>
  <si>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</si>
  <si>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</si>
  <si>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</si>
  <si>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</si>
  <si>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</si>
  <si>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</si>
  <si>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</si>
  <si>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</si>
  <si>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</si>
  <si>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</si>
  <si>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</si>
  <si>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</si>
  <si>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</si>
  <si>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</si>
  <si>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</si>
  <si>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</si>
  <si>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</si>
  <si>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</si>
  <si>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</si>
  <si>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</si>
  <si>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</si>
  <si>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</si>
  <si>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</si>
  <si>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</si>
  <si>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</si>
  <si>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</si>
  <si>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</si>
  <si>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</si>
  <si>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</si>
  <si>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</si>
  <si>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</si>
  <si>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</si>
  <si>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</si>
  <si>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</si>
  <si>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</si>
  <si>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</si>
  <si>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</si>
  <si>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</si>
  <si>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</si>
  <si>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</si>
  <si>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</si>
  <si>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</si>
  <si>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</si>
  <si>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</si>
  <si>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</si>
  <si>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</si>
  <si>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</si>
  <si>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</si>
  <si>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</si>
  <si>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</si>
  <si>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</si>
  <si>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</si>
  <si>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</si>
  <si>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</si>
  <si>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</si>
  <si>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</si>
  <si>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</si>
  <si>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</si>
  <si>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</si>
  <si>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</si>
  <si>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</si>
  <si>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</si>
  <si>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</si>
  <si>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</si>
  <si>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</si>
  <si>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</si>
  <si>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</si>
  <si>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</si>
  <si>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</si>
  <si>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</si>
  <si>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</si>
  <si>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</si>
  <si>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</si>
  <si>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</si>
  <si>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</si>
  <si>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</si>
  <si>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</si>
  <si>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</si>
  <si>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</si>
  <si>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</si>
  <si>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</si>
  <si>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</si>
  <si>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</si>
  <si>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</si>
  <si>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</si>
  <si>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</si>
  <si>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</si>
  <si>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</si>
  <si>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</si>
  <si>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</si>
  <si>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</si>
  <si>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</si>
  <si>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</si>
  <si>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</si>
  <si>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</si>
  <si>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</si>
  <si>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</si>
  <si>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</si>
  <si>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</si>
  <si>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</si>
  <si>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</si>
  <si>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</si>
  <si>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</si>
  <si>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</si>
  <si>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</si>
  <si>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</si>
  <si>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</si>
  <si>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</si>
  <si>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</si>
  <si>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</si>
  <si>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</si>
  <si>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</si>
  <si>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</si>
  <si>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</si>
  <si>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</si>
  <si>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</si>
  <si>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</si>
  <si>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</si>
  <si>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</si>
  <si>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</si>
  <si>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</si>
  <si>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</si>
  <si>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</si>
  <si>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</si>
  <si>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</si>
  <si>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</si>
  <si>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</si>
  <si>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</si>
  <si>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</si>
  <si>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</si>
  <si>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</si>
  <si>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</si>
  <si>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</si>
  <si>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</si>
  <si>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</si>
  <si>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</si>
  <si>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</si>
  <si>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</si>
  <si>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</si>
  <si>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</si>
  <si>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</si>
  <si>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</si>
  <si>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</si>
  <si>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</si>
  <si>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</si>
  <si>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</si>
  <si>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</si>
  <si>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</si>
  <si>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</si>
  <si>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</si>
  <si>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</si>
  <si>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</si>
  <si>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</si>
  <si>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</si>
  <si>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</si>
  <si>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</si>
  <si>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</si>
  <si>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</si>
  <si>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</si>
  <si>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</si>
  <si>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</si>
  <si>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</si>
  <si>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</si>
  <si>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</si>
  <si>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</si>
  <si>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</si>
  <si>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</si>
  <si>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</si>
  <si>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</si>
  <si>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</si>
  <si>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</si>
  <si>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</si>
  <si>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</si>
  <si>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</si>
  <si>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</si>
  <si>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</si>
  <si>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</si>
  <si>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</si>
  <si>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</si>
  <si>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</si>
  <si>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</si>
  <si>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</si>
  <si>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</si>
  <si>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</si>
  <si>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</si>
  <si>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</si>
  <si>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</si>
  <si>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</si>
  <si>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</si>
  <si>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</si>
  <si>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</si>
  <si>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</si>
  <si>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</si>
  <si>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</si>
  <si>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</si>
  <si>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</si>
  <si>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</si>
  <si>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</si>
  <si>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</si>
  <si>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</si>
  <si>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</si>
  <si>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</si>
  <si>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</si>
  <si>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</si>
  <si>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</si>
  <si>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</si>
  <si>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</si>
  <si>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</si>
  <si>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</si>
  <si>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</si>
  <si>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</si>
  <si>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</si>
  <si>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</si>
  <si>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</si>
  <si>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</si>
  <si>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</si>
  <si>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</si>
  <si>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</si>
  <si>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</si>
  <si>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</si>
  <si>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</si>
  <si>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</si>
  <si>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</si>
  <si>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</si>
  <si>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</si>
  <si>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</si>
  <si>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</si>
  <si>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</si>
  <si>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</si>
  <si>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</si>
  <si>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</si>
  <si>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</si>
  <si>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</si>
  <si>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</si>
  <si>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</si>
  <si>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</si>
  <si>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</si>
  <si>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</si>
  <si>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</si>
  <si>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</si>
  <si>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</si>
  <si>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</si>
  <si>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</si>
  <si>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</si>
  <si>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</si>
  <si>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</si>
  <si>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</si>
  <si>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</si>
  <si>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</si>
  <si>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</si>
  <si>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</si>
  <si>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</si>
  <si>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</si>
  <si>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</si>
  <si>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</si>
  <si>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</si>
  <si>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</si>
  <si>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</si>
  <si>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</si>
  <si>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</si>
  <si>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</si>
  <si>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</si>
  <si>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</si>
  <si>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</si>
  <si>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</si>
  <si>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</si>
  <si>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</si>
  <si>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</si>
  <si>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</si>
  <si>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</si>
  <si>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</si>
  <si>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</si>
  <si>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</si>
  <si>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</si>
  <si>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</si>
  <si>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</si>
  <si>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</si>
  <si>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</si>
  <si>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</si>
  <si>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</si>
  <si>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</si>
  <si>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</si>
  <si>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</si>
  <si>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</si>
  <si>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</si>
  <si>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</si>
  <si>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</si>
  <si>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</si>
  <si>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</si>
  <si>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</si>
  <si>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</si>
  <si>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</si>
  <si>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</si>
  <si>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</si>
  <si>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</si>
  <si>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</si>
  <si>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</si>
  <si>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</si>
  <si>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</si>
  <si>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</si>
  <si>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</si>
  <si>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</si>
  <si>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</si>
  <si>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</si>
  <si>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</si>
  <si>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</si>
  <si>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</si>
  <si>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</si>
  <si>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</si>
  <si>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</si>
  <si>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</si>
  <si>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</si>
  <si>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</si>
  <si>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</si>
  <si>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</si>
  <si>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</si>
  <si>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</si>
  <si>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</si>
  <si>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</si>
  <si>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</si>
  <si>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</si>
  <si>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</si>
  <si>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</si>
  <si>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</si>
  <si>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</si>
  <si>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</si>
  <si>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</si>
  <si>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</si>
  <si>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</si>
  <si>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</si>
  <si>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</si>
  <si>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</si>
  <si>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</si>
  <si>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</si>
  <si>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</si>
  <si>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</si>
  <si>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</si>
  <si>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</si>
  <si>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</si>
  <si>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</si>
  <si>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</si>
  <si>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</si>
  <si>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</si>
  <si>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</si>
  <si>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</si>
  <si>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</si>
  <si>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</si>
  <si>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</si>
  <si>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</si>
  <si>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</si>
  <si>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</si>
  <si>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</si>
  <si>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</si>
  <si>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</si>
  <si>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</si>
  <si>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</si>
  <si>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</si>
  <si>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</si>
  <si>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</si>
  <si>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</si>
  <si>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</si>
  <si>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</si>
  <si>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</si>
  <si>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</si>
  <si>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</si>
  <si>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</si>
  <si>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</si>
  <si>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</si>
  <si>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</si>
  <si>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</si>
  <si>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</si>
  <si>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</si>
  <si>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</si>
  <si>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</si>
  <si>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</si>
  <si>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</si>
  <si>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</si>
  <si>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</si>
  <si>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</si>
  <si>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</si>
  <si>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</si>
  <si>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</si>
  <si>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</si>
  <si>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</si>
  <si>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</si>
  <si>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</si>
  <si>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</si>
  <si>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</si>
  <si>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</si>
  <si>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</si>
  <si>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</si>
  <si>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</si>
  <si>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</si>
  <si>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</si>
  <si>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</si>
  <si>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</si>
  <si>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</si>
  <si>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</si>
  <si>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</si>
  <si>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</si>
  <si>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</si>
  <si>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</si>
  <si>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</si>
  <si>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</si>
  <si>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</si>
  <si>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</si>
  <si>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</si>
  <si>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</si>
  <si>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</si>
  <si>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</si>
  <si>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</si>
  <si>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</si>
  <si>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</si>
  <si>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</si>
  <si>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</si>
  <si>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</si>
  <si>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</si>
  <si>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</si>
  <si>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</si>
  <si>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</si>
  <si>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</si>
  <si>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</si>
  <si>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</si>
  <si>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</si>
  <si>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</si>
  <si>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</si>
  <si>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</si>
  <si>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</si>
  <si>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</si>
  <si>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</si>
  <si>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</si>
  <si>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</si>
  <si>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</si>
  <si>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</si>
  <si>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</si>
  <si>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</si>
  <si>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</si>
  <si>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</si>
  <si>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</si>
  <si>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</si>
  <si>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</si>
  <si>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</si>
  <si>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</si>
  <si>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</si>
  <si>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</si>
  <si>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</si>
  <si>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</si>
  <si>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</si>
  <si>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</si>
  <si>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</si>
  <si>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</si>
  <si>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</si>
  <si>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</si>
  <si>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</si>
  <si>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</si>
  <si>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</si>
  <si>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</si>
  <si>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</si>
  <si>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</si>
  <si>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</si>
  <si>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</si>
  <si>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</si>
  <si>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</si>
  <si>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</si>
  <si>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</si>
  <si>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</si>
  <si>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</si>
  <si>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</si>
  <si>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</si>
  <si>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</si>
  <si>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</si>
  <si>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</si>
  <si>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</si>
  <si>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</si>
  <si>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</si>
  <si>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</si>
  <si>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</si>
  <si>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</si>
  <si>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</si>
  <si>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</si>
  <si>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</si>
  <si>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</si>
  <si>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</si>
  <si>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</si>
  <si>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</si>
  <si>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</si>
  <si>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</si>
  <si>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</si>
  <si>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</si>
  <si>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</si>
  <si>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</si>
  <si>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</si>
  <si>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</si>
  <si>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</si>
  <si>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</si>
  <si>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</si>
  <si>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</si>
  <si>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</si>
  <si>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</si>
  <si>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</si>
  <si>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</si>
  <si>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</si>
  <si>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</si>
  <si>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</si>
  <si>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</si>
  <si>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</si>
  <si>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</si>
  <si>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</si>
  <si>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</si>
  <si>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</si>
  <si>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</si>
  <si>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</si>
  <si>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</si>
  <si>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</si>
  <si>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</si>
  <si>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</si>
  <si>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</si>
  <si>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</si>
  <si>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</si>
  <si>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</si>
  <si>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</si>
  <si>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</si>
  <si>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</si>
  <si>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</si>
  <si>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</si>
  <si>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</si>
  <si>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</si>
  <si>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</si>
  <si>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</si>
  <si>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</si>
  <si>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</si>
  <si>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</si>
  <si>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</si>
  <si>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</si>
  <si>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</si>
  <si>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</si>
  <si>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</si>
  <si>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</si>
  <si>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</si>
  <si>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</si>
  <si>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</si>
  <si>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</si>
  <si>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</si>
  <si>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</si>
  <si>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</si>
  <si>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</si>
  <si>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</si>
  <si>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</si>
  <si>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</si>
  <si>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</si>
  <si>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</si>
  <si>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</si>
  <si>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</si>
  <si>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</si>
  <si>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</si>
  <si>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</si>
  <si>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</si>
  <si>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</si>
  <si>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</si>
  <si>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</si>
  <si>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</si>
  <si>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</si>
  <si>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</si>
  <si>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</si>
  <si>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</si>
  <si>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</si>
  <si>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</si>
  <si>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</si>
  <si>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</si>
  <si>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</si>
  <si>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</si>
  <si>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</si>
  <si>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</si>
  <si>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</si>
  <si>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</si>
  <si>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</si>
  <si>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</si>
  <si>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</si>
  <si>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</si>
  <si>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</si>
  <si>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</si>
  <si>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</si>
  <si>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</si>
  <si>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</si>
  <si>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</si>
  <si>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</si>
  <si>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</si>
  <si>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</si>
  <si>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</si>
  <si>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</si>
  <si>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</si>
  <si>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</si>
  <si>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</si>
  <si>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</si>
  <si>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</si>
  <si>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</si>
  <si>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</si>
  <si>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</si>
  <si>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</si>
  <si>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</si>
  <si>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</si>
  <si>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</si>
  <si>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</si>
  <si>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</si>
  <si>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</si>
  <si>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</si>
  <si>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</si>
  <si>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</si>
  <si>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</si>
  <si>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</si>
  <si>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</si>
  <si>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</si>
  <si>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</si>
  <si>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</si>
  <si>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</si>
  <si>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</si>
  <si>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</si>
  <si>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</si>
  <si>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</si>
  <si>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</si>
  <si>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</si>
  <si>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</si>
  <si>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</si>
  <si>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</si>
  <si>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</si>
  <si>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</si>
  <si>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</si>
  <si>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</si>
  <si>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</si>
  <si>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</si>
  <si>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</si>
  <si>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</si>
  <si>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</si>
  <si>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</si>
  <si>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</si>
  <si>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</si>
  <si>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</si>
  <si>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</si>
  <si>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</si>
  <si>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</si>
  <si>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</si>
  <si>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</si>
  <si>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</si>
  <si>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</si>
  <si>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</si>
  <si>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</si>
  <si>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</si>
  <si>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</si>
  <si>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</si>
  <si>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</si>
  <si>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</si>
  <si>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</si>
  <si>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</si>
  <si>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</si>
  <si>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</si>
  <si>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</si>
  <si>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</si>
  <si>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</si>
  <si>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</si>
  <si>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</si>
  <si>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</si>
  <si>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</si>
  <si>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</si>
  <si>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</si>
  <si>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</si>
  <si>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</si>
  <si>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</si>
  <si>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</si>
  <si>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</si>
  <si>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</si>
  <si>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</si>
  <si>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</si>
  <si>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</si>
  <si>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</si>
  <si>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</si>
  <si>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</si>
  <si>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</si>
  <si>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</si>
  <si>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</si>
  <si>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</si>
  <si>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</si>
  <si>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</si>
  <si>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</si>
  <si>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</si>
  <si>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</si>
  <si>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</si>
  <si>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</si>
  <si>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</si>
  <si>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</si>
  <si>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</si>
  <si>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</si>
  <si>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</si>
  <si>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</si>
  <si>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</si>
  <si>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</si>
  <si>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</si>
  <si>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</si>
  <si>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</si>
  <si>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</si>
  <si>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</si>
  <si>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</si>
  <si>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</si>
  <si>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</si>
  <si>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</si>
  <si>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</si>
  <si>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</si>
  <si>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</si>
  <si>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</si>
  <si>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</si>
  <si>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</si>
  <si>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</si>
  <si>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</si>
  <si>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</si>
  <si>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</si>
  <si>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</si>
  <si>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</si>
  <si>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</si>
  <si>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</si>
  <si>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</si>
  <si>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</si>
  <si>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</si>
  <si>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</si>
  <si>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</si>
  <si>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</si>
  <si>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</si>
  <si>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</si>
  <si>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</si>
  <si>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</si>
  <si>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</si>
  <si>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</si>
  <si>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</si>
  <si>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</si>
  <si>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</si>
  <si>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</si>
  <si>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</si>
  <si>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</si>
  <si>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</si>
  <si>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</si>
  <si>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</si>
  <si>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</si>
  <si>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</si>
  <si>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</si>
  <si>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</si>
  <si>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</si>
  <si>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</si>
  <si>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</si>
  <si>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</si>
  <si>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</si>
  <si>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</si>
  <si>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</si>
  <si>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</si>
  <si>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</si>
  <si>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</si>
  <si>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</si>
  <si>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</si>
  <si>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</si>
  <si>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</si>
  <si>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</si>
  <si>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</si>
  <si>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</si>
  <si>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</si>
  <si>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</si>
  <si>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</si>
  <si>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</si>
  <si>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</si>
  <si>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</si>
  <si>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</si>
  <si>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</si>
  <si>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</si>
  <si>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</si>
  <si>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</si>
  <si>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</si>
  <si>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</si>
  <si>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</si>
  <si>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</si>
  <si>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</si>
  <si>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</si>
  <si>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</si>
  <si>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</si>
  <si>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</si>
  <si>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</si>
  <si>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</si>
  <si>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</si>
  <si>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</si>
  <si>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</si>
  <si>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</si>
  <si>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</si>
  <si>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</si>
  <si>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</si>
  <si>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</si>
  <si>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</si>
  <si>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</si>
  <si>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</si>
  <si>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</si>
  <si>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</si>
  <si>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</si>
  <si>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</si>
  <si>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</si>
  <si>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</si>
  <si>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</si>
  <si>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</si>
  <si>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</si>
  <si>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</si>
  <si>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</si>
  <si>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</si>
  <si>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</si>
  <si>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</si>
  <si>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</si>
  <si>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</si>
  <si>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</si>
  <si>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</si>
  <si>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</si>
  <si>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</si>
  <si>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</si>
  <si>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</si>
  <si>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</si>
  <si>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</si>
  <si>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</si>
  <si>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</si>
  <si>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</si>
  <si>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</si>
  <si>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</si>
  <si>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</si>
  <si>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</si>
  <si>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</si>
  <si>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</si>
  <si>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</si>
  <si>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</si>
  <si>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</si>
  <si>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</si>
  <si>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</si>
  <si>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</si>
  <si>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</si>
  <si>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</si>
  <si>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</si>
  <si>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</si>
  <si>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</si>
  <si>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</si>
  <si>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</si>
  <si>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</si>
  <si>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</si>
  <si>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</si>
  <si>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</si>
  <si>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</si>
  <si>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</si>
  <si>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</si>
  <si>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</si>
  <si>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</si>
  <si>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</si>
  <si>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</si>
  <si>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</si>
  <si>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</si>
  <si>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</si>
  <si>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</si>
  <si>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</si>
  <si>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</si>
  <si>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</si>
  <si>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</si>
  <si>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</si>
  <si>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</si>
  <si>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</si>
  <si>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</si>
  <si>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</si>
  <si>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</si>
  <si>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</si>
  <si>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</si>
  <si>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</si>
  <si>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</si>
  <si>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</si>
  <si>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</si>
  <si>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</si>
  <si>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</si>
  <si>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</si>
  <si>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</si>
  <si>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</si>
  <si>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</si>
  <si>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</si>
  <si>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</si>
  <si>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</si>
  <si>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</si>
  <si>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</si>
  <si>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</si>
  <si>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</si>
  <si>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</si>
  <si>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</si>
  <si>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</si>
  <si>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</si>
  <si>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</si>
  <si>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</si>
  <si>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</si>
  <si>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</si>
  <si>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</si>
  <si>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</si>
  <si>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</si>
  <si>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</si>
  <si>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</si>
  <si>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</si>
  <si>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</si>
  <si>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</si>
  <si>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</si>
  <si>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</si>
  <si>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</si>
  <si>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</si>
  <si>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</si>
  <si>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</si>
  <si>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</si>
  <si>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</si>
  <si>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</si>
  <si>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</si>
  <si>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</si>
  <si>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</si>
  <si>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</si>
  <si>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</si>
  <si>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</si>
  <si>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</si>
  <si>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</si>
  <si>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</si>
  <si>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</si>
  <si>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</si>
  <si>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</si>
  <si>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</si>
  <si>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</si>
  <si>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</si>
  <si>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</si>
  <si>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</si>
  <si>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</si>
  <si>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</si>
  <si>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</si>
  <si>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</si>
  <si>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</si>
  <si>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</si>
  <si>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</si>
  <si>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</si>
  <si>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</si>
  <si>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</si>
  <si>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</si>
  <si>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</si>
  <si>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</si>
  <si>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</si>
  <si>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</si>
  <si>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</si>
  <si>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</si>
  <si>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</si>
  <si>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</si>
  <si>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</si>
  <si>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</si>
  <si>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</si>
  <si>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</si>
  <si>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</si>
  <si>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</si>
  <si>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</si>
  <si>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</si>
  <si>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</si>
  <si>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</si>
  <si>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</si>
  <si>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</si>
  <si>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</si>
  <si>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</si>
  <si>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</si>
  <si>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</si>
  <si>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</si>
  <si>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</si>
  <si>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</si>
  <si>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</si>
  <si>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</si>
  <si>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</si>
  <si>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</si>
  <si>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</si>
  <si>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</si>
  <si>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</si>
  <si>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</si>
  <si>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</si>
  <si>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</si>
  <si>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</si>
  <si>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</si>
  <si>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</si>
  <si>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</si>
  <si>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</si>
  <si>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</si>
  <si>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</si>
  <si>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</si>
  <si>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</si>
  <si>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</si>
  <si>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</si>
  <si>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</si>
  <si>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</si>
  <si>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</si>
  <si>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</si>
  <si>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</si>
  <si>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</si>
  <si>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</si>
  <si>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</si>
  <si>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</si>
  <si>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</si>
  <si>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</si>
  <si>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</si>
  <si>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</si>
  <si>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</si>
  <si>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</si>
  <si>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</si>
  <si>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</si>
  <si>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</si>
  <si>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</si>
  <si>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</si>
  <si>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</si>
  <si>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</si>
  <si>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</si>
  <si>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</si>
  <si>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</si>
  <si>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</si>
  <si>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</si>
  <si>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</si>
  <si>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</si>
  <si>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</si>
  <si>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</si>
  <si>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</si>
  <si>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</si>
  <si>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</si>
  <si>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</si>
  <si>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</si>
  <si>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</si>
  <si>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</si>
  <si>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</si>
  <si>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</si>
  <si>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</si>
  <si>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</si>
  <si>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</si>
  <si>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</si>
  <si>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</si>
  <si>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</si>
  <si>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</si>
  <si>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</si>
  <si>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</si>
  <si>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</si>
  <si>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</si>
  <si>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</si>
  <si>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</si>
  <si>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</si>
  <si>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</si>
  <si>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</si>
  <si>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</si>
  <si>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</si>
  <si>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</si>
  <si>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</si>
  <si>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</si>
  <si>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</si>
  <si>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</si>
  <si>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</si>
  <si>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</si>
  <si>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</si>
  <si>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</si>
  <si>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</si>
  <si>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</si>
  <si>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</si>
  <si>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</si>
  <si>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</si>
  <si>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</si>
  <si>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</si>
  <si>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</si>
  <si>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</si>
  <si>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</si>
  <si>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</si>
  <si>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</si>
  <si>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</si>
  <si>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</si>
  <si>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</si>
  <si>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</si>
  <si>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</si>
  <si>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</si>
  <si>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</si>
  <si>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</si>
  <si>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</si>
  <si>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</si>
  <si>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</si>
  <si>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</si>
  <si>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</si>
  <si>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</si>
  <si>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</si>
  <si>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</si>
  <si>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</si>
  <si>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</si>
  <si>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</si>
  <si>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</si>
  <si>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</si>
  <si>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</si>
  <si>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</si>
  <si>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</si>
  <si>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</si>
  <si>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</si>
  <si>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</si>
  <si>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</si>
  <si>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</si>
  <si>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</si>
  <si>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</si>
  <si>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</si>
  <si>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</si>
  <si>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</si>
  <si>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</si>
  <si>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</si>
  <si>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</si>
  <si>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</si>
  <si>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</si>
  <si>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</si>
  <si>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</si>
  <si>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</si>
  <si>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</si>
  <si>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</si>
  <si>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</si>
  <si>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</si>
  <si>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</si>
  <si>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</si>
  <si>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</si>
  <si>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</si>
  <si>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</si>
  <si>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</si>
  <si>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</si>
  <si>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</si>
  <si>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</si>
  <si>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</si>
  <si>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</si>
  <si>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</si>
  <si>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</si>
  <si>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</si>
  <si>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</si>
  <si>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</si>
  <si>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</si>
  <si>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</si>
  <si>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</si>
  <si>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</si>
  <si>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</si>
  <si>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</si>
  <si>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</si>
  <si>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</si>
  <si>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</si>
  <si>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</si>
  <si>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</si>
  <si>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</si>
  <si>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</si>
  <si>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</si>
  <si>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</si>
  <si>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</si>
  <si>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</si>
  <si>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</si>
  <si>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</si>
  <si>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</si>
  <si>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</si>
  <si>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</si>
  <si>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</si>
  <si>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</si>
  <si>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</si>
  <si>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</si>
  <si>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</si>
  <si>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</si>
  <si>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</si>
  <si>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</si>
  <si>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</si>
  <si>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</si>
  <si>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</si>
  <si>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</si>
  <si>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</si>
  <si>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</si>
  <si>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</si>
  <si>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</si>
  <si>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</si>
  <si>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</si>
  <si>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</si>
  <si>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</si>
  <si>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</si>
  <si>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</si>
  <si>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</si>
  <si>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</si>
  <si>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</si>
  <si>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</si>
  <si>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</si>
  <si>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</si>
  <si>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</si>
  <si>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</si>
  <si>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</si>
  <si>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</si>
  <si>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</si>
  <si>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</si>
  <si>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</si>
  <si>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</si>
  <si>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</si>
  <si>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</si>
  <si>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</si>
  <si>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</si>
  <si>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</si>
  <si>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</si>
  <si>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</si>
  <si>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</si>
  <si>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</si>
  <si>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</si>
  <si>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</si>
  <si>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</si>
  <si>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</si>
  <si>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</si>
  <si>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</si>
  <si>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</si>
  <si>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</si>
  <si>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</si>
  <si>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</si>
  <si>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</si>
  <si>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</si>
  <si>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</si>
  <si>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</si>
  <si>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</si>
  <si>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</si>
  <si>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</si>
  <si>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</si>
  <si>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</si>
  <si>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</si>
  <si>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</si>
  <si>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</si>
  <si>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</si>
  <si>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</si>
  <si>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</si>
  <si>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</si>
  <si>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</si>
  <si>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</si>
  <si>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</si>
  <si>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</si>
  <si>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</si>
  <si>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</si>
  <si>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</si>
  <si>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</si>
  <si>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</si>
  <si>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</si>
  <si>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</si>
  <si>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</si>
  <si>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</si>
  <si>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</si>
  <si>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</si>
  <si>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</si>
  <si>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</si>
  <si>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</si>
  <si>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</si>
  <si>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</si>
  <si>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</si>
  <si>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</si>
  <si>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</si>
  <si>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</si>
  <si>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</si>
  <si>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</si>
  <si>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</si>
  <si>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</si>
  <si>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</si>
  <si>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</si>
  <si>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</si>
  <si>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</si>
  <si>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</si>
  <si>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</si>
  <si>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</si>
  <si>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</si>
  <si>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</si>
  <si>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</si>
  <si>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</si>
  <si>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</si>
  <si>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</si>
  <si>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</si>
  <si>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</si>
  <si>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</si>
  <si>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</si>
  <si>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</si>
  <si>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</si>
  <si>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</si>
  <si>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</si>
  <si>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</si>
  <si>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</si>
  <si>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</si>
  <si>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</si>
  <si>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</si>
  <si>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</si>
  <si>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</si>
  <si>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</si>
  <si>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</si>
  <si>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</si>
  <si>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</si>
  <si>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</si>
  <si>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</si>
  <si>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</si>
  <si>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</si>
  <si>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</si>
  <si>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</si>
  <si>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</si>
  <si>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</si>
  <si>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</si>
  <si>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</si>
  <si>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</si>
  <si>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</si>
  <si>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</si>
  <si>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</si>
  <si>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</si>
  <si>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</si>
  <si>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</si>
  <si>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</si>
  <si>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</si>
  <si>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</si>
  <si>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</si>
  <si>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</si>
  <si>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</si>
  <si>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</si>
  <si>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</si>
  <si>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</si>
  <si>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</si>
  <si>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</si>
  <si>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</si>
  <si>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</si>
  <si>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</si>
  <si>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</si>
  <si>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</si>
  <si>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</si>
  <si>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</si>
  <si>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</si>
  <si>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</si>
  <si>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</si>
  <si>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</si>
  <si>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</si>
  <si>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</si>
  <si>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</si>
  <si>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</si>
  <si>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</si>
  <si>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</si>
  <si>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</si>
  <si>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</si>
  <si>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</si>
  <si>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</si>
  <si>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</si>
  <si>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</si>
  <si>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</si>
  <si>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</si>
  <si>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</si>
  <si>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</si>
  <si>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</si>
  <si>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</si>
  <si>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</si>
  <si>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</si>
  <si>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</si>
  <si>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</si>
  <si>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</si>
  <si>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</si>
  <si>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</si>
  <si>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</si>
  <si>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</si>
  <si>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</si>
  <si>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</si>
  <si>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</si>
  <si>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</si>
  <si>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</si>
  <si>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</si>
  <si>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</si>
  <si>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</si>
  <si>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</si>
  <si>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</si>
  <si>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</si>
  <si>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</si>
  <si>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</si>
  <si>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</si>
  <si>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</si>
  <si>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</si>
  <si>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</si>
  <si>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</si>
  <si>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</si>
  <si>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</si>
  <si>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</si>
  <si>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</si>
  <si>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</si>
  <si>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</si>
  <si>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</si>
  <si>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</si>
  <si>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</si>
  <si>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</si>
  <si>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</si>
  <si>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</si>
  <si>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</si>
  <si>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</si>
  <si>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</si>
  <si>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</si>
  <si>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</si>
  <si>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</si>
  <si>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</si>
  <si>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</si>
  <si>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</si>
  <si>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</si>
  <si>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</si>
  <si>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</si>
  <si>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</si>
  <si>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</si>
  <si>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</si>
  <si>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</si>
  <si>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</si>
  <si>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</si>
  <si>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</si>
  <si>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</si>
  <si>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</si>
  <si>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</si>
  <si>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</si>
  <si>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</si>
  <si>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</si>
  <si>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</si>
  <si>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</si>
  <si>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</si>
  <si>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</si>
  <si>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</si>
  <si>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</si>
  <si>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</si>
  <si>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</si>
  <si>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</si>
  <si>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</si>
  <si>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</si>
  <si>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</si>
  <si>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</si>
  <si>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</si>
  <si>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</si>
  <si>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</si>
  <si>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</si>
  <si>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</si>
  <si>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</si>
  <si>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</si>
  <si>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</si>
  <si>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</si>
  <si>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</si>
  <si>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</si>
  <si>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</si>
  <si>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</si>
  <si>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</si>
  <si>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</si>
  <si>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</si>
  <si>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</si>
  <si>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</si>
  <si>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</si>
  <si>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</si>
  <si>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</si>
  <si>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</si>
  <si>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</si>
  <si>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</si>
  <si>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</si>
  <si>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</si>
  <si>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</si>
  <si>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</si>
  <si>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</si>
  <si>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</si>
  <si>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</si>
  <si>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</si>
  <si>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</si>
  <si>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</si>
  <si>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</si>
  <si>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</si>
  <si>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</si>
  <si>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</si>
  <si>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</si>
  <si>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</si>
  <si>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</si>
  <si>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</si>
  <si>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</si>
  <si>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</si>
  <si>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</si>
  <si>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</si>
  <si>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</si>
  <si>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</si>
  <si>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</si>
  <si>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</si>
  <si>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</si>
  <si>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</si>
  <si>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</si>
  <si>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</si>
  <si>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</si>
  <si>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</si>
  <si>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</si>
  <si>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</si>
  <si>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</si>
  <si>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</si>
  <si>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</si>
  <si>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</si>
  <si>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</si>
  <si>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</si>
  <si>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</si>
  <si>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</si>
  <si>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</si>
  <si>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</si>
  <si>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</si>
  <si>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</si>
  <si>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</si>
  <si>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</si>
  <si>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</si>
  <si>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</si>
  <si>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</si>
  <si>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</si>
  <si>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</si>
  <si>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</si>
  <si>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</si>
  <si>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</si>
  <si>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</si>
  <si>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</si>
  <si>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</si>
  <si>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</si>
  <si>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</si>
  <si>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</si>
  <si>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</si>
  <si>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</si>
  <si>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</si>
  <si>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</si>
  <si>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</si>
  <si>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</si>
  <si>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</si>
  <si>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</si>
  <si>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</si>
  <si>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</si>
  <si>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</si>
  <si>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</si>
  <si>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</si>
  <si>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</si>
  <si>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</si>
  <si>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</si>
  <si>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</si>
  <si>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</si>
  <si>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</si>
  <si>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</si>
  <si>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</si>
  <si>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</si>
  <si>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</si>
  <si>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</si>
  <si>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</si>
  <si>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</si>
  <si>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</si>
  <si>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</si>
  <si>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</si>
  <si>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</si>
  <si>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</si>
  <si>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</si>
  <si>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</si>
  <si>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</si>
  <si>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</si>
  <si>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</si>
  <si>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</si>
  <si>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</si>
  <si>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</si>
  <si>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</si>
  <si>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</si>
  <si>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</si>
  <si>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</si>
  <si>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</si>
  <si>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</si>
  <si>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</si>
  <si>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</si>
  <si>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</si>
  <si>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</si>
  <si>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</si>
  <si>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</si>
  <si>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</si>
  <si>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</si>
  <si>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</si>
  <si>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</si>
  <si>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</si>
  <si>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</si>
  <si>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</si>
  <si>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</si>
  <si>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</si>
  <si>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</si>
  <si>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</si>
  <si>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</si>
  <si>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</si>
  <si>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</si>
  <si>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</si>
  <si>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</si>
  <si>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</si>
  <si>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</si>
  <si>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</si>
  <si>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</si>
  <si>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</si>
  <si>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</si>
  <si>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</si>
  <si>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</si>
  <si>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</si>
  <si>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</si>
  <si>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</si>
  <si>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</si>
  <si>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</si>
  <si>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</si>
  <si>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</si>
  <si>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</si>
  <si>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</si>
  <si>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</si>
  <si>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</si>
  <si>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</si>
  <si>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</si>
  <si>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</si>
  <si>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</si>
  <si>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</si>
  <si>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</si>
  <si>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</si>
  <si>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</si>
  <si>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</si>
  <si>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</si>
  <si>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</si>
  <si>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</si>
  <si>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</si>
  <si>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</si>
  <si>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</si>
  <si>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</si>
  <si>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</si>
  <si>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</si>
  <si>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</si>
  <si>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</si>
  <si>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</si>
  <si>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</si>
  <si>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</si>
  <si>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</si>
  <si>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</si>
  <si>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</si>
  <si>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</si>
  <si>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</si>
  <si>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</si>
  <si>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</si>
  <si>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</si>
  <si>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</si>
  <si>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</si>
  <si>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</si>
  <si>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</si>
  <si>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</si>
  <si>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</si>
  <si>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</si>
  <si>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</si>
  <si>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</si>
  <si>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</si>
  <si>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</si>
  <si>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</si>
  <si>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</si>
  <si>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</si>
  <si>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</si>
  <si>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</si>
  <si>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</si>
  <si>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</si>
  <si>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</si>
  <si>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</si>
  <si>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</si>
  <si>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</si>
  <si>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</si>
  <si>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</si>
  <si>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</si>
  <si>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</si>
  <si>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</si>
  <si>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</si>
  <si>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</si>
  <si>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</si>
  <si>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</si>
  <si>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</si>
  <si>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</si>
  <si>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</si>
  <si>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</si>
  <si>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</si>
  <si>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</si>
  <si>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</si>
  <si>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</si>
  <si>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</si>
  <si>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</si>
  <si>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</si>
  <si>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</si>
  <si>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</si>
  <si>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</si>
  <si>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</si>
  <si>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</si>
  <si>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</si>
  <si>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</si>
  <si>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</si>
  <si>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</si>
  <si>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</si>
  <si>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</si>
  <si>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</si>
  <si>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</si>
  <si>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</si>
  <si>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</si>
  <si>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</si>
  <si>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</si>
  <si>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</si>
  <si>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</si>
  <si>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</si>
  <si>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</si>
  <si>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</si>
  <si>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</si>
  <si>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</si>
  <si>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</si>
  <si>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</si>
  <si>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</si>
  <si>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</si>
  <si>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</si>
  <si>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</si>
  <si>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</si>
  <si>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</si>
  <si>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</si>
  <si>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</si>
  <si>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</si>
  <si>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</si>
  <si>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</si>
  <si>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</si>
  <si>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</si>
  <si>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</si>
  <si>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</si>
  <si>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</si>
  <si>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</si>
  <si>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</si>
  <si>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</si>
  <si>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</si>
  <si>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</si>
  <si>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</si>
  <si>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</si>
  <si>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</si>
  <si>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</si>
  <si>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</si>
  <si>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</si>
  <si>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</si>
  <si>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</si>
  <si>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</si>
  <si>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</si>
  <si>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</si>
  <si>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</si>
  <si>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</si>
  <si>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</si>
  <si>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</si>
  <si>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</si>
  <si>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</si>
  <si>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</si>
  <si>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</si>
  <si>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</si>
  <si>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</si>
  <si>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</si>
  <si>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</si>
  <si>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</si>
  <si>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</si>
  <si>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</si>
  <si>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</si>
  <si>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</si>
  <si>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</si>
  <si>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</si>
  <si>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</si>
  <si>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</si>
  <si>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</si>
  <si>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</si>
  <si>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</si>
  <si>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</si>
  <si>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</si>
  <si>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</si>
  <si>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</si>
  <si>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</si>
  <si>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</si>
  <si>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</si>
  <si>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</si>
  <si>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</si>
  <si>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</si>
  <si>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</si>
  <si>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</si>
  <si>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</si>
  <si>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</si>
  <si>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</si>
  <si>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</si>
  <si>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</si>
  <si>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</si>
  <si>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</si>
  <si>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</si>
  <si>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</si>
  <si>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</si>
  <si>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</si>
  <si>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</si>
  <si>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</si>
  <si>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</si>
  <si>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</si>
  <si>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</si>
  <si>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</si>
  <si>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</si>
  <si>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</si>
  <si>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</si>
  <si>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</si>
  <si>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</si>
  <si>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</si>
  <si>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</si>
  <si>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</si>
  <si>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</si>
  <si>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</si>
  <si>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</si>
  <si>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</si>
  <si>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</si>
  <si>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</si>
  <si>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</si>
  <si>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</si>
  <si>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</si>
  <si>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</si>
  <si>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</si>
  <si>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</si>
  <si>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</si>
  <si>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</si>
  <si>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</si>
  <si>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</si>
  <si>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</si>
  <si>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</si>
  <si>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</si>
  <si>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</si>
  <si>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</si>
  <si>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</si>
  <si>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</si>
  <si>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</si>
  <si>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</si>
  <si>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</si>
  <si>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</si>
  <si>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</si>
  <si>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</si>
  <si>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</si>
  <si>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</si>
  <si>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</si>
  <si>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</si>
  <si>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</si>
  <si>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</si>
  <si>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</si>
  <si>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</si>
  <si>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</si>
  <si>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</si>
  <si>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</si>
  <si>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</si>
  <si>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</si>
  <si>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</si>
  <si>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</si>
  <si>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</si>
  <si>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</si>
  <si>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</si>
  <si>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</si>
  <si>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</si>
  <si>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</si>
  <si>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</si>
  <si>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</si>
  <si>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</si>
  <si>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</si>
  <si>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</si>
  <si>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</si>
  <si>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</si>
  <si>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</si>
  <si>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</si>
  <si>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</si>
  <si>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</si>
  <si>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</si>
  <si>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</si>
  <si>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</si>
  <si>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</si>
  <si>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</si>
  <si>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</si>
  <si>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</si>
  <si>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</si>
  <si>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</si>
  <si>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</si>
  <si>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</si>
  <si>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</si>
  <si>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</si>
  <si>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</si>
  <si>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</si>
  <si>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</si>
  <si>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</si>
  <si>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</si>
  <si>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</si>
  <si>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</si>
  <si>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</si>
  <si>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</si>
  <si>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</si>
  <si>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</si>
  <si>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</si>
  <si>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</si>
  <si>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</si>
  <si>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</si>
  <si>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</si>
  <si>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</si>
  <si>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</si>
  <si>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</si>
  <si>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</si>
  <si>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</si>
  <si>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</si>
  <si>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</si>
  <si>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</si>
  <si>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</si>
  <si>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</si>
  <si>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</si>
  <si>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</si>
  <si>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</si>
  <si>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</si>
  <si>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</si>
  <si>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</si>
  <si>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</si>
  <si>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</si>
  <si>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</si>
  <si>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</si>
  <si>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</si>
  <si>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</si>
  <si>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</si>
  <si>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</si>
  <si>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</si>
  <si>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</si>
  <si>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</si>
  <si>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</si>
  <si>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</si>
  <si>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</si>
  <si>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</si>
  <si>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</si>
  <si>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</si>
  <si>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</si>
  <si>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</si>
  <si>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</si>
  <si>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</si>
  <si>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</si>
  <si>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</si>
  <si>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</si>
  <si>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</si>
  <si>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</si>
  <si>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</si>
  <si>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</si>
  <si>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</si>
  <si>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</si>
  <si>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</si>
  <si>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</si>
  <si>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</si>
  <si>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</si>
  <si>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</si>
  <si>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</si>
  <si>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</si>
  <si>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</si>
  <si>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</si>
  <si>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</si>
  <si>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</si>
  <si>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</si>
  <si>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</si>
  <si>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</si>
  <si>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</si>
  <si>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</si>
  <si>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</si>
  <si>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</si>
  <si>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</si>
  <si>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</si>
  <si>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</si>
  <si>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</si>
  <si>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</si>
  <si>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</si>
  <si>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</si>
  <si>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</si>
  <si>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</si>
  <si>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</si>
  <si>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</si>
  <si>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</si>
  <si>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</si>
  <si>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</si>
  <si>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</si>
  <si>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</si>
  <si>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</si>
  <si>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</si>
  <si>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</si>
  <si>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</si>
  <si>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</si>
  <si>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</si>
  <si>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</si>
  <si>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</si>
  <si>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</si>
  <si>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</si>
  <si>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</si>
  <si>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</si>
  <si>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</si>
  <si>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</si>
  <si>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</si>
  <si>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</si>
  <si>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</si>
  <si>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</si>
  <si>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</si>
  <si>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</si>
  <si>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</si>
  <si>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</si>
  <si>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</si>
  <si>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</si>
  <si>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</si>
  <si>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</si>
  <si>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</si>
  <si>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</si>
  <si>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</si>
  <si>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</si>
  <si>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</si>
  <si>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</si>
  <si>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</si>
  <si>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</si>
  <si>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</si>
  <si>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</si>
  <si>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</si>
  <si>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</si>
  <si>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</si>
  <si>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</si>
  <si>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</si>
  <si>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</si>
  <si>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</si>
  <si>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</si>
  <si>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</si>
  <si>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</si>
  <si>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</si>
  <si>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</si>
  <si>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</si>
  <si>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</si>
  <si>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</si>
  <si>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</si>
  <si>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</si>
  <si>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</si>
  <si>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</si>
  <si>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</si>
  <si>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</si>
  <si>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</si>
  <si>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</si>
  <si>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</si>
  <si>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</si>
  <si>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</si>
  <si>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</si>
  <si>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</si>
  <si>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</si>
  <si>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</si>
  <si>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</si>
  <si>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</si>
  <si>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</si>
  <si>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</si>
  <si>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</si>
  <si>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</si>
  <si>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</si>
  <si>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</si>
  <si>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</si>
  <si>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</si>
  <si>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</si>
  <si>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</si>
  <si>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</si>
  <si>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</si>
  <si>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</si>
  <si>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</si>
  <si>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</si>
  <si>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</si>
  <si>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</si>
  <si>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</si>
  <si>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</si>
  <si>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</si>
  <si>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</si>
  <si>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</si>
  <si>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</si>
  <si>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</si>
  <si>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</si>
  <si>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</si>
  <si>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</si>
  <si>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</si>
  <si>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</si>
  <si>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</si>
  <si>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</si>
  <si>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</si>
  <si>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</si>
  <si>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</si>
  <si>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</si>
  <si>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</si>
  <si>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</si>
  <si>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</si>
  <si>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</si>
  <si>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</si>
  <si>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</si>
  <si>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</si>
  <si>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</si>
  <si>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</si>
  <si>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</si>
  <si>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</si>
  <si>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</si>
  <si>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</si>
  <si>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</si>
  <si>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</si>
  <si>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</si>
  <si>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</si>
  <si>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</si>
  <si>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</si>
  <si>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</si>
  <si>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</si>
  <si>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</si>
  <si>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</si>
  <si>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</si>
  <si>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</si>
  <si>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</si>
  <si>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</si>
  <si>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</si>
  <si>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</si>
  <si>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</si>
  <si>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</si>
  <si>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</si>
  <si>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</si>
  <si>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</si>
  <si>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</si>
  <si>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</si>
  <si>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</si>
  <si>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</si>
  <si>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</si>
  <si>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</si>
  <si>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</si>
  <si>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</si>
  <si>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</si>
  <si>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</si>
  <si>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</si>
  <si>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</si>
  <si>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</si>
  <si>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</si>
  <si>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</si>
  <si>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</si>
  <si>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</si>
  <si>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</si>
  <si>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</si>
  <si>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</si>
  <si>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</si>
  <si>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</si>
  <si>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</si>
  <si>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</si>
  <si>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</si>
  <si>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</si>
  <si>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</si>
  <si>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</si>
  <si>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</si>
  <si>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</si>
  <si>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</si>
  <si>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</si>
  <si>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</si>
  <si>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</si>
  <si>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</si>
  <si>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</si>
  <si>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</si>
  <si>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</si>
  <si>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</si>
  <si>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</si>
  <si>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</si>
  <si>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</si>
  <si>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</si>
  <si>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</si>
  <si>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</si>
  <si>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</si>
  <si>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</si>
  <si>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</si>
  <si>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</si>
  <si>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</si>
  <si>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</si>
  <si>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</si>
  <si>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</si>
  <si>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</si>
  <si>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</si>
  <si>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</si>
  <si>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</si>
  <si>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</si>
  <si>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</si>
  <si>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</si>
  <si>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</si>
  <si>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</si>
  <si>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</si>
  <si>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</si>
  <si>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</si>
  <si>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</si>
  <si>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</si>
  <si>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</si>
  <si>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</si>
  <si>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</si>
  <si>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</si>
  <si>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</si>
  <si>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</si>
  <si>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</si>
  <si>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</si>
  <si>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</si>
  <si>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</si>
  <si>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</si>
  <si>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</si>
  <si>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</si>
  <si>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</si>
  <si>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</si>
  <si>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</si>
  <si>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</si>
  <si>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</si>
  <si>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</si>
  <si>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</si>
  <si>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</si>
  <si>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</si>
  <si>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</si>
  <si>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</si>
  <si>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</si>
  <si>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</si>
  <si>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</si>
  <si>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</si>
  <si>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</si>
  <si>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</si>
  <si>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</si>
  <si>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</si>
  <si>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</si>
  <si>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</si>
  <si>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</si>
  <si>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</si>
  <si>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</si>
  <si>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</si>
  <si>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</si>
  <si>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</si>
  <si>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</si>
  <si>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</si>
  <si>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</si>
  <si>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</si>
  <si>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</si>
  <si>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</si>
  <si>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</si>
  <si>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</si>
  <si>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</si>
  <si>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</si>
  <si>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</si>
  <si>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</si>
  <si>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</si>
  <si>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</si>
  <si>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</si>
  <si>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</si>
  <si>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</si>
  <si>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</si>
  <si>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</si>
  <si>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</si>
  <si>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</si>
  <si>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</si>
  <si>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</si>
  <si>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</si>
  <si>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</si>
  <si>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</si>
  <si>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</si>
  <si>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</si>
  <si>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</si>
  <si>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</si>
  <si>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</si>
  <si>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</si>
  <si>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</si>
  <si>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</si>
  <si>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</si>
  <si>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</si>
  <si>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</si>
  <si>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</si>
  <si>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</si>
  <si>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</si>
  <si>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</si>
  <si>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</si>
  <si>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</si>
  <si>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</si>
  <si>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</si>
  <si>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</si>
  <si>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</si>
  <si>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</si>
  <si>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</si>
  <si>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</si>
  <si>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</si>
  <si>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</si>
  <si>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</si>
  <si>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</si>
  <si>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</si>
  <si>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</si>
  <si>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</si>
  <si>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</si>
  <si>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</si>
  <si>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</si>
  <si>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</si>
  <si>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</si>
  <si>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</si>
  <si>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</si>
  <si>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</si>
  <si>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</si>
  <si>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</si>
  <si>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</si>
  <si>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</si>
  <si>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</si>
  <si>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</si>
  <si>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</si>
  <si>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</si>
  <si>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</si>
  <si>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</si>
  <si>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</si>
  <si>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</si>
  <si>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</si>
  <si>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</si>
  <si>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</si>
  <si>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</si>
  <si>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</si>
  <si>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</si>
  <si>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</si>
  <si>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</si>
  <si>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</si>
  <si>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</si>
  <si>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</si>
  <si>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</si>
  <si>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</si>
  <si>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</si>
  <si>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</si>
  <si>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</si>
  <si>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</si>
  <si>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</si>
  <si>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</si>
  <si>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</si>
  <si>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</si>
  <si>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</si>
  <si>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</si>
  <si>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</si>
  <si>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</si>
  <si>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</si>
  <si>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</si>
  <si>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</si>
  <si>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</si>
  <si>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</si>
  <si>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</si>
  <si>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</si>
  <si>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</si>
  <si>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</si>
  <si>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</si>
  <si>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</si>
  <si>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</si>
  <si>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</si>
  <si>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</si>
  <si>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</si>
  <si>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</si>
  <si>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</si>
  <si>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</si>
  <si>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</si>
  <si>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</si>
  <si>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</si>
  <si>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</si>
  <si>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</si>
  <si>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</si>
  <si>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</si>
  <si>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</si>
  <si>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</si>
  <si>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</si>
  <si>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</si>
  <si>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</si>
  <si>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</si>
  <si>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</si>
  <si>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</si>
  <si>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</si>
  <si>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</si>
  <si>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</si>
  <si>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</si>
  <si>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</si>
  <si>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</si>
  <si>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</si>
  <si>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</si>
  <si>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</si>
  <si>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</si>
  <si>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</si>
  <si>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</si>
  <si>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</si>
  <si>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</si>
  <si>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</si>
  <si>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</si>
  <si>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</si>
  <si>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</si>
  <si>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</si>
  <si>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</si>
  <si>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</si>
  <si>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</si>
  <si>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</si>
  <si>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</si>
  <si>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</si>
  <si>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</si>
  <si>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</si>
  <si>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</si>
  <si>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</si>
  <si>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</si>
  <si>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</si>
  <si>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</si>
  <si>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</si>
  <si>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</si>
  <si>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</si>
  <si>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</si>
  <si>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</si>
  <si>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</si>
  <si>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</si>
  <si>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</si>
  <si>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</si>
  <si>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</si>
  <si>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</si>
  <si>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</si>
  <si>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</si>
  <si>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</si>
  <si>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</si>
  <si>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</si>
  <si>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</si>
  <si>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</si>
  <si>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</si>
  <si>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</si>
  <si>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</si>
  <si>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</si>
  <si>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</si>
  <si>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</si>
  <si>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</si>
  <si>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</si>
  <si>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</si>
  <si>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</si>
  <si>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</si>
  <si>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</si>
  <si>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</si>
  <si>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</si>
  <si>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</si>
  <si>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</si>
  <si>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</si>
  <si>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</si>
  <si>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</si>
  <si>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</si>
  <si>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</si>
  <si>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</si>
  <si>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</si>
  <si>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</si>
  <si>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</si>
  <si>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</si>
  <si>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</si>
  <si>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</si>
  <si>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</si>
  <si>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</si>
  <si>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</si>
  <si>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</si>
  <si>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</si>
  <si>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</si>
  <si>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</si>
  <si>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</si>
  <si>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</si>
  <si>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</si>
  <si>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</si>
  <si>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</si>
  <si>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</si>
  <si>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</si>
  <si>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</si>
  <si>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</si>
  <si>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</si>
  <si>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</si>
  <si>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</si>
  <si>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</si>
  <si>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</si>
  <si>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</si>
  <si>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</si>
  <si>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</si>
  <si>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</si>
  <si>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</si>
  <si>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</si>
  <si>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</si>
  <si>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</si>
  <si>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</si>
  <si>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</si>
  <si>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</si>
  <si>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</si>
  <si>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</si>
  <si>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</si>
  <si>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</si>
  <si>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</si>
  <si>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</si>
  <si>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</si>
  <si>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</si>
  <si>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</si>
  <si>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</si>
  <si>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</si>
  <si>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</si>
  <si>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</si>
  <si>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</si>
  <si>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</si>
  <si>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</si>
  <si>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</si>
  <si>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</si>
  <si>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</si>
  <si>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</si>
  <si>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</si>
  <si>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</si>
  <si>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</si>
  <si>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</si>
  <si>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</si>
  <si>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</si>
  <si>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</si>
  <si>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</si>
  <si>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</si>
  <si>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</si>
  <si>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</si>
  <si>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</si>
  <si>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</si>
  <si>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</si>
  <si>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</si>
  <si>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</si>
  <si>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</si>
  <si>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</si>
  <si>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</si>
  <si>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</si>
  <si>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</si>
  <si>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</si>
  <si>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</si>
  <si>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</si>
  <si>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</si>
  <si>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</si>
  <si>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</si>
  <si>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</si>
  <si>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</si>
  <si>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</si>
  <si>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</si>
  <si>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</si>
  <si>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</si>
  <si>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</si>
  <si>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</si>
  <si>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</si>
  <si>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</si>
  <si>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</si>
  <si>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</si>
  <si>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</si>
  <si>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</si>
  <si>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</si>
  <si>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</si>
  <si>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</si>
  <si>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</si>
  <si>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</si>
  <si>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</si>
  <si>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</si>
  <si>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</si>
  <si>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</si>
  <si>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</si>
  <si>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</si>
  <si>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</si>
  <si>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</si>
  <si>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</si>
  <si>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</si>
  <si>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</si>
  <si>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</si>
  <si>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</si>
  <si>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</si>
  <si>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</si>
  <si>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</si>
  <si>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</si>
  <si>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</si>
  <si>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</si>
  <si>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</si>
  <si>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</si>
  <si>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</si>
  <si>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</si>
  <si>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</si>
  <si>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</si>
  <si>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</si>
  <si>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</si>
  <si>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</si>
  <si>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</si>
  <si>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</si>
  <si>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</si>
  <si>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</si>
  <si>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</si>
  <si>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</si>
  <si>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</si>
  <si>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</si>
  <si>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</si>
  <si>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</si>
  <si>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</si>
  <si>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</si>
  <si>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</si>
  <si>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</si>
  <si>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</si>
  <si>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</si>
  <si>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</si>
  <si>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</si>
  <si>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</si>
  <si>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</si>
  <si>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</si>
  <si>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</si>
  <si>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</si>
  <si>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</si>
  <si>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</si>
  <si>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</si>
  <si>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</si>
  <si>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</si>
  <si>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</si>
  <si>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</si>
  <si>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</si>
  <si>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</si>
  <si>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</si>
  <si>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</si>
  <si>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</si>
  <si>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</si>
  <si>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</si>
  <si>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</si>
  <si>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</si>
  <si>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</si>
  <si>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</si>
  <si>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</si>
  <si>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</si>
  <si>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</si>
  <si>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</si>
  <si>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</si>
  <si>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</si>
  <si>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</si>
  <si>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</si>
  <si>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</si>
  <si>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</si>
  <si>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</si>
  <si>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</si>
  <si>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</si>
  <si>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</si>
  <si>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</si>
  <si>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</si>
  <si>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</si>
  <si>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</si>
  <si>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</si>
  <si>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</si>
  <si>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</si>
  <si>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</si>
  <si>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</si>
  <si>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</si>
  <si>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</si>
  <si>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</si>
  <si>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</si>
  <si>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</si>
  <si>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</si>
  <si>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</si>
  <si>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</si>
  <si>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</si>
  <si>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</si>
  <si>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</si>
  <si>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</si>
  <si>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</si>
  <si>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</si>
  <si>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</si>
  <si>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</si>
  <si>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</si>
  <si>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</si>
  <si>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</si>
  <si>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</si>
  <si>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</si>
  <si>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</si>
  <si>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</si>
  <si>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</si>
  <si>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</si>
  <si>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</si>
  <si>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</si>
  <si>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</si>
  <si>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</si>
  <si>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</si>
  <si>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</si>
  <si>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</si>
  <si>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</si>
  <si>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</si>
  <si>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</si>
  <si>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</si>
  <si>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</si>
  <si>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</si>
  <si>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</si>
  <si>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</si>
  <si>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</si>
  <si>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</si>
  <si>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</si>
  <si>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</si>
  <si>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</si>
  <si>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</si>
  <si>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</si>
  <si>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</si>
  <si>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</si>
  <si>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</si>
  <si>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</si>
  <si>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</si>
  <si>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</si>
  <si>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</si>
  <si>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</si>
  <si>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</si>
  <si>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</si>
  <si>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</si>
  <si>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</si>
  <si>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</si>
  <si>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</si>
  <si>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</si>
  <si>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</si>
  <si>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</si>
  <si>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</si>
  <si>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</si>
  <si>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</si>
  <si>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</si>
  <si>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</si>
  <si>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</si>
  <si>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</si>
  <si>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</si>
  <si>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</si>
  <si>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</si>
  <si>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</si>
  <si>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</si>
  <si>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</si>
  <si>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</si>
  <si>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</si>
  <si>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</si>
  <si>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</si>
  <si>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</si>
  <si>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</si>
  <si>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</si>
  <si>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</si>
  <si>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</si>
  <si>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</si>
  <si>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</si>
  <si>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</si>
  <si>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</si>
  <si>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</si>
  <si>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</si>
  <si>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</si>
  <si>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</si>
  <si>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</si>
  <si>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</si>
  <si>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</si>
  <si>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</si>
  <si>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</si>
  <si>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</si>
  <si>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</si>
  <si>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</si>
  <si>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</si>
  <si>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</si>
  <si>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</si>
  <si>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</si>
  <si>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</si>
  <si>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</si>
  <si>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</si>
  <si>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</si>
  <si>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</si>
  <si>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</si>
  <si>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</si>
  <si>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</si>
  <si>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</si>
  <si>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</si>
  <si>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</si>
  <si>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</si>
  <si>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</si>
  <si>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</si>
  <si>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</si>
  <si>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</si>
  <si>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</si>
  <si>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</si>
  <si>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</si>
  <si>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</si>
  <si>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</si>
  <si>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</si>
  <si>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</si>
  <si>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</si>
  <si>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</si>
  <si>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</si>
  <si>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</si>
  <si>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</si>
  <si>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</si>
  <si>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</si>
  <si>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</si>
  <si>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</si>
  <si>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</si>
  <si>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</si>
  <si>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</si>
  <si>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</si>
  <si>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</si>
  <si>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</si>
  <si>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</si>
  <si>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</si>
  <si>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</si>
  <si>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</si>
  <si>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</si>
  <si>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</si>
  <si>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</si>
  <si>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</si>
  <si>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</si>
  <si>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</si>
  <si>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</si>
  <si>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</si>
  <si>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</si>
  <si>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</si>
  <si>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</si>
  <si>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</si>
  <si>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</si>
  <si>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</si>
  <si>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</si>
  <si>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</si>
  <si>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</si>
  <si>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</si>
  <si>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</si>
  <si>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</si>
  <si>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</si>
  <si>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</si>
  <si>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</si>
  <si>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</si>
  <si>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</si>
  <si>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</si>
  <si>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</si>
  <si>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</si>
  <si>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</si>
  <si>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</si>
  <si>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</si>
  <si>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</si>
  <si>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</si>
  <si>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</si>
  <si>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</si>
  <si>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</si>
  <si>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</si>
  <si>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</si>
  <si>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</si>
  <si>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</si>
  <si>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</si>
  <si>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</si>
  <si>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</si>
  <si>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</si>
  <si>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</si>
  <si>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</si>
  <si>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</si>
  <si>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</si>
  <si>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</si>
  <si>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</si>
  <si>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</si>
  <si>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</si>
  <si>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</si>
  <si>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</si>
  <si>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</si>
  <si>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</si>
  <si>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</si>
  <si>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</si>
  <si>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</si>
  <si>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</si>
  <si>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</si>
  <si>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</si>
  <si>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</si>
  <si>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</si>
  <si>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</si>
  <si>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</si>
  <si>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</si>
  <si>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</si>
  <si>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</si>
  <si>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</si>
  <si>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</si>
  <si>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</si>
  <si>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</si>
  <si>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</si>
  <si>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</si>
  <si>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</si>
  <si>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</si>
  <si>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</si>
  <si>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</si>
  <si>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</si>
  <si>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</si>
  <si>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</si>
  <si>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</si>
  <si>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</si>
  <si>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</si>
  <si>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</si>
  <si>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</si>
  <si>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</si>
  <si>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</si>
  <si>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</si>
  <si>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</si>
  <si>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</si>
  <si>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</si>
  <si>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</si>
  <si>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</si>
  <si>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</si>
  <si>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</si>
  <si>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</si>
  <si>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</si>
  <si>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</si>
  <si>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</si>
  <si>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</si>
  <si>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</si>
  <si>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</si>
  <si>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</si>
  <si>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</si>
  <si>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</si>
  <si>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</si>
  <si>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</si>
  <si>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</si>
  <si>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</si>
  <si>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</si>
  <si>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</si>
  <si>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</si>
  <si>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</si>
  <si>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</si>
  <si>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</si>
  <si>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</si>
  <si>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</si>
  <si>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</si>
  <si>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</si>
  <si>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</si>
  <si>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</si>
  <si>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</si>
  <si>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</si>
  <si>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</si>
  <si>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</si>
  <si>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</si>
  <si>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</si>
  <si>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</si>
  <si>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</si>
  <si>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</si>
  <si>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</si>
  <si>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</si>
  <si>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</si>
  <si>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</si>
  <si>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</si>
  <si>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</si>
  <si>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</si>
  <si>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</si>
  <si>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</si>
  <si>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</si>
  <si>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</si>
  <si>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</si>
  <si>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</si>
  <si>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</si>
  <si>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</si>
  <si>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</si>
  <si>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</si>
  <si>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</si>
  <si>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</si>
  <si>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</si>
  <si>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</si>
  <si>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</si>
  <si>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</si>
  <si>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</si>
  <si>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</si>
  <si>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</si>
  <si>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</si>
  <si>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</si>
  <si>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</si>
  <si>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</si>
  <si>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</si>
  <si>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</si>
  <si>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</si>
  <si>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</si>
  <si>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</si>
  <si>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</si>
  <si>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</si>
  <si>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</si>
  <si>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</si>
  <si>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</si>
  <si>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</si>
  <si>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</si>
  <si>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</si>
  <si>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</si>
  <si>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</si>
  <si>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</si>
  <si>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</si>
  <si>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</si>
  <si>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</si>
  <si>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</si>
  <si>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</si>
  <si>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</si>
  <si>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</si>
  <si>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</si>
  <si>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</si>
  <si>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</si>
  <si>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</si>
  <si>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</si>
  <si>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</si>
  <si>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</si>
  <si>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</si>
  <si>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</si>
  <si>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</si>
  <si>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</si>
  <si>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</si>
  <si>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</si>
  <si>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</si>
  <si>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</si>
  <si>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</si>
  <si>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</si>
  <si>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</si>
  <si>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</si>
  <si>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</si>
  <si>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</si>
  <si>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</si>
  <si>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</si>
  <si>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</si>
  <si>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</si>
  <si>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</si>
  <si>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</si>
  <si>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</si>
  <si>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</si>
  <si>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</si>
  <si>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</si>
  <si>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</si>
  <si>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</si>
  <si>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</si>
  <si>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</si>
  <si>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</si>
  <si>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</si>
  <si>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</si>
  <si>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</si>
  <si>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</si>
  <si>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</si>
  <si>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</si>
  <si>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</si>
  <si>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</si>
  <si>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</si>
  <si>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</si>
  <si>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</si>
  <si>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</si>
  <si>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</si>
  <si>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</si>
  <si>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</si>
  <si>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</si>
  <si>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</si>
  <si>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</si>
  <si>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</si>
  <si>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</si>
  <si>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</si>
  <si>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</si>
  <si>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</si>
  <si>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</si>
  <si>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</si>
  <si>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</si>
  <si>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</si>
  <si>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</si>
  <si>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</si>
  <si>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</si>
  <si>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</si>
  <si>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</si>
  <si>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</si>
  <si>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</si>
  <si>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</si>
  <si>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</si>
  <si>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</si>
  <si>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</si>
  <si>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</si>
  <si>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</si>
  <si>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</si>
  <si>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</si>
  <si>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</si>
  <si>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</si>
  <si>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</si>
  <si>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</si>
  <si>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</si>
  <si>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</si>
  <si>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</si>
  <si>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</si>
  <si>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</si>
  <si>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</si>
  <si>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</si>
  <si>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</si>
  <si>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</si>
  <si>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</si>
  <si>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</si>
  <si>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</si>
  <si>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</si>
  <si>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</si>
  <si>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</si>
  <si>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</si>
  <si>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</si>
  <si>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</si>
  <si>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</si>
  <si>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</si>
  <si>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</si>
  <si>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</si>
  <si>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</si>
  <si>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</si>
  <si>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</si>
  <si>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</si>
  <si>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</si>
  <si>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</si>
  <si>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</si>
  <si>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</si>
  <si>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</si>
  <si>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</si>
  <si>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</si>
  <si>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</si>
  <si>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</si>
  <si>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</si>
  <si>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</si>
  <si>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</si>
  <si>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</si>
  <si>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</si>
  <si>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</si>
  <si>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</si>
  <si>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</si>
  <si>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</si>
  <si>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</si>
  <si>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</si>
  <si>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</si>
  <si>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</si>
  <si>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</si>
  <si>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</si>
  <si>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</si>
  <si>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</si>
  <si>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</si>
  <si>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</si>
  <si>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</si>
  <si>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</si>
  <si>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</si>
  <si>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</si>
  <si>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</si>
  <si>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</si>
  <si>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</si>
  <si>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</si>
  <si>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</si>
  <si>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</si>
  <si>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</si>
  <si>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</si>
  <si>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</si>
  <si>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</si>
  <si>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</si>
  <si>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</si>
  <si>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</si>
  <si>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</si>
  <si>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</si>
  <si>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</si>
  <si>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</si>
  <si>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</si>
  <si>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</si>
  <si>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</si>
  <si>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</si>
  <si>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</si>
  <si>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</si>
  <si>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</si>
  <si>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</si>
  <si>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</si>
  <si>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</si>
  <si>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</si>
  <si>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</si>
  <si>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</si>
  <si>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</si>
  <si>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</si>
  <si>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</si>
  <si>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</si>
  <si>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</si>
  <si>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</si>
  <si>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</si>
  <si>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</si>
  <si>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</si>
  <si>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</si>
  <si>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</si>
  <si>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</si>
  <si>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</si>
  <si>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</si>
  <si>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</si>
  <si>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</si>
  <si>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</si>
  <si>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</si>
  <si>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</si>
  <si>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</si>
  <si>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</si>
  <si>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</si>
  <si>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</si>
  <si>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</si>
  <si>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</si>
  <si>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</si>
  <si>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</si>
  <si>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</si>
  <si>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</si>
  <si>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</si>
  <si>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</si>
  <si>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</si>
  <si>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</si>
  <si>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</si>
  <si>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</si>
  <si>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</si>
  <si>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</si>
  <si>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</si>
  <si>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</si>
  <si>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</si>
  <si>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</si>
  <si>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</si>
  <si>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</si>
  <si>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</si>
  <si>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</si>
  <si>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</si>
  <si>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</si>
  <si>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</si>
  <si>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</si>
  <si>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</si>
  <si>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</si>
  <si>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</si>
  <si>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</si>
  <si>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</si>
  <si>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</si>
  <si>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</si>
  <si>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</si>
  <si>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</si>
  <si>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</si>
  <si>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</si>
  <si>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</si>
  <si>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</si>
  <si>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</si>
  <si>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</si>
  <si>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</si>
  <si>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</si>
  <si>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</si>
  <si>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</si>
  <si>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</si>
  <si>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</si>
  <si>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</si>
  <si>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</si>
  <si>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</si>
  <si>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</si>
  <si>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</si>
  <si>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</si>
  <si>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</si>
  <si>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</si>
  <si>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</si>
  <si>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</si>
  <si>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</si>
  <si>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</si>
  <si>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</si>
  <si>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</si>
  <si>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</si>
  <si>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</si>
  <si>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</si>
  <si>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</si>
  <si>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</si>
  <si>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</si>
  <si>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</si>
  <si>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</si>
  <si>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</si>
  <si>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</si>
  <si>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</si>
  <si>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</si>
  <si>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</si>
  <si>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</si>
  <si>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</si>
  <si>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</si>
  <si>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</si>
  <si>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</si>
  <si>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</si>
  <si>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</si>
  <si>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</si>
  <si>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</si>
  <si>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</si>
  <si>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</si>
  <si>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</si>
  <si>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</si>
  <si>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</si>
  <si>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</si>
  <si>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</si>
  <si>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</si>
  <si>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</si>
  <si>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</si>
  <si>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</si>
  <si>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</si>
  <si>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</si>
  <si>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</si>
  <si>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</si>
  <si>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</si>
  <si>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</si>
  <si>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</si>
  <si>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</si>
  <si>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</si>
  <si>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</si>
  <si>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</si>
  <si>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</si>
  <si>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</si>
  <si>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</si>
  <si>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</si>
  <si>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</si>
  <si>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</si>
  <si>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</si>
  <si>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</si>
  <si>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</si>
  <si>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</si>
  <si>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</si>
  <si>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</si>
  <si>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</si>
  <si>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</si>
  <si>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</si>
  <si>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</si>
  <si>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</si>
  <si>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</si>
  <si>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</si>
  <si>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</si>
  <si>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</si>
  <si>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</si>
  <si>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</si>
  <si>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</si>
  <si>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</si>
  <si>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</si>
  <si>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</si>
  <si>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</si>
  <si>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</si>
  <si>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</si>
  <si>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</si>
  <si>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</si>
  <si>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</si>
  <si>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</si>
  <si>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</si>
  <si>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</si>
  <si>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</si>
  <si>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</si>
  <si>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</si>
  <si>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</si>
  <si>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</si>
  <si>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</si>
  <si>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</si>
  <si>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</si>
  <si>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</si>
  <si>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</si>
  <si>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</si>
  <si>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</si>
  <si>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</si>
  <si>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</si>
  <si>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</si>
  <si>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</si>
  <si>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</si>
  <si>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</si>
  <si>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</si>
  <si>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</si>
  <si>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</si>
  <si>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</si>
  <si>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</si>
  <si>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</si>
  <si>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</si>
  <si>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</si>
  <si>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</si>
  <si>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</si>
  <si>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</si>
  <si>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</si>
  <si>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</si>
  <si>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</si>
  <si>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</si>
  <si>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</si>
  <si>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</si>
  <si>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</si>
  <si>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</si>
  <si>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</si>
  <si>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</si>
  <si>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</si>
  <si>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</si>
  <si>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</si>
  <si>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</si>
  <si>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</si>
  <si>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</si>
  <si>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</si>
  <si>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</si>
  <si>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</si>
  <si>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</si>
  <si>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</si>
  <si>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</si>
  <si>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</si>
  <si>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</si>
  <si>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</si>
  <si>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</si>
  <si>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</si>
  <si>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</si>
  <si>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</si>
  <si>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</si>
  <si>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</si>
  <si>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</si>
  <si>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</si>
  <si>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</si>
  <si>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</si>
  <si>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</si>
  <si>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</si>
  <si>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</si>
  <si>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</si>
  <si>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</si>
  <si>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</si>
  <si>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</si>
  <si>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</si>
  <si>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</si>
  <si>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</si>
  <si>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</si>
  <si>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</si>
  <si>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</si>
  <si>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</si>
  <si>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</si>
  <si>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</si>
  <si>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</si>
  <si>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</si>
  <si>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</si>
  <si>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</si>
  <si>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</si>
  <si>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</si>
  <si>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</si>
  <si>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</si>
  <si>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</si>
  <si>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</si>
  <si>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</si>
  <si>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</si>
  <si>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</si>
  <si>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</si>
  <si>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</si>
  <si>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</si>
  <si>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</si>
  <si>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</si>
  <si>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</si>
  <si>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</si>
  <si>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</si>
  <si>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</si>
  <si>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</si>
  <si>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</si>
  <si>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</si>
  <si>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</si>
  <si>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</si>
  <si>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</si>
  <si>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</si>
  <si>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</si>
  <si>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</si>
  <si>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</si>
  <si>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</si>
  <si>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</si>
  <si>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</si>
  <si>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</si>
  <si>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</si>
  <si>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</si>
  <si>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</si>
  <si>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</si>
  <si>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</si>
  <si>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</si>
  <si>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</si>
  <si>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</si>
  <si>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</si>
  <si>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</si>
  <si>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</si>
  <si>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</si>
  <si>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</si>
  <si>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</si>
  <si>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</si>
  <si>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</si>
  <si>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</si>
  <si>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</si>
  <si>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</si>
  <si>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</si>
  <si>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</si>
  <si>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</si>
  <si>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</si>
  <si>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</si>
  <si>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</si>
  <si>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</si>
  <si>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</si>
  <si>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</si>
  <si>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</si>
  <si>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</si>
  <si>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</si>
  <si>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</si>
  <si>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</si>
  <si>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</si>
  <si>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</si>
  <si>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</si>
  <si>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</si>
  <si>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</si>
  <si>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</si>
  <si>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</si>
  <si>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</si>
  <si>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</si>
  <si>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</si>
  <si>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</si>
  <si>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</si>
  <si>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</si>
  <si>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</si>
  <si>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</si>
  <si>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</si>
  <si>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</si>
  <si>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</si>
  <si>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</si>
  <si>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</si>
  <si>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</si>
  <si>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</si>
  <si>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</si>
  <si>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</si>
  <si>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</si>
  <si>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</si>
  <si>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</si>
  <si>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</si>
  <si>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</si>
  <si>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</si>
  <si>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</si>
  <si>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</si>
  <si>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</si>
  <si>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</si>
  <si>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</si>
  <si>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</si>
  <si>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</si>
  <si>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</si>
  <si>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</si>
  <si>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</si>
  <si>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</si>
  <si>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</si>
  <si>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</si>
  <si>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</si>
  <si>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</si>
  <si>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</si>
  <si>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</si>
  <si>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</si>
  <si>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</si>
  <si>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</si>
  <si>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</si>
  <si>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</si>
  <si>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</si>
  <si>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</si>
  <si>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</si>
  <si>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</si>
  <si>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</si>
  <si>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</si>
  <si>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</si>
  <si>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</si>
  <si>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</si>
  <si>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</si>
  <si>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</si>
  <si>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</si>
  <si>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</si>
  <si>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</si>
  <si>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</si>
  <si>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</si>
  <si>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</si>
  <si>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</si>
  <si>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</si>
  <si>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</si>
  <si>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</si>
  <si>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</si>
  <si>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</si>
  <si>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</si>
  <si>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</si>
  <si>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</si>
  <si>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</si>
  <si>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</si>
  <si>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</si>
  <si>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</si>
  <si>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</si>
  <si>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</si>
  <si>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</si>
  <si>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</si>
  <si>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</si>
  <si>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</si>
  <si>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</si>
  <si>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</si>
  <si>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</si>
  <si>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</si>
  <si>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</si>
  <si>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</si>
  <si>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</si>
  <si>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</si>
  <si>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</si>
  <si>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</si>
  <si>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</si>
  <si>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</si>
  <si>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</si>
  <si>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</si>
  <si>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</si>
  <si>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</si>
  <si>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</si>
  <si>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</si>
  <si>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</si>
  <si>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</si>
  <si>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</si>
  <si>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</si>
  <si>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</si>
  <si>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</si>
  <si>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</si>
  <si>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</si>
  <si>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</si>
  <si>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</si>
  <si>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</si>
  <si>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</si>
  <si>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</si>
  <si>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</si>
  <si>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</si>
  <si>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</si>
  <si>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</si>
  <si>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</si>
  <si>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</si>
  <si>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</si>
  <si>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</si>
  <si>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</si>
  <si>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</si>
  <si>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</si>
  <si>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</si>
  <si>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</si>
  <si>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</si>
  <si>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</si>
  <si>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</si>
  <si>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</si>
  <si>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</si>
  <si>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</si>
  <si>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</si>
  <si>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</si>
  <si>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</si>
  <si>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</si>
  <si>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</si>
  <si>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</si>
  <si>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</si>
  <si>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</si>
  <si>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</si>
  <si>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</si>
  <si>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</si>
  <si>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</si>
  <si>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</si>
  <si>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</si>
  <si>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</si>
  <si>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</si>
  <si>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</si>
  <si>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</si>
  <si>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</si>
  <si>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</si>
  <si>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</si>
  <si>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</si>
  <si>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</si>
  <si>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</si>
  <si>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</si>
  <si>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</si>
  <si>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</si>
  <si>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</si>
  <si>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</si>
  <si>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</si>
  <si>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</si>
  <si>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</si>
  <si>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</si>
  <si>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</si>
  <si>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</si>
  <si>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</si>
  <si>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</si>
  <si>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</si>
  <si>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</si>
  <si>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</si>
  <si>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</si>
  <si>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</si>
  <si>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</si>
  <si>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</si>
  <si>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</si>
  <si>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</si>
  <si>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</si>
  <si>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</si>
  <si>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</si>
  <si>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</si>
  <si>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</si>
  <si>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</si>
  <si>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</si>
  <si>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</si>
  <si>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</si>
  <si>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</si>
  <si>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</si>
  <si>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</si>
  <si>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</si>
  <si>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</si>
  <si>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</si>
  <si>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</si>
  <si>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</si>
  <si>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</si>
  <si>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</si>
  <si>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</si>
  <si>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</si>
  <si>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</si>
  <si>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</si>
  <si>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</si>
  <si>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</si>
  <si>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</si>
  <si>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</si>
  <si>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</si>
  <si>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</si>
  <si>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</si>
  <si>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</si>
  <si>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</si>
  <si>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</si>
  <si>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</si>
  <si>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</si>
  <si>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</si>
  <si>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</si>
  <si>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</si>
  <si>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</si>
  <si>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</si>
  <si>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</si>
  <si>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</si>
  <si>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</si>
  <si>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</si>
  <si>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</si>
  <si>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</si>
  <si>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</si>
  <si>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</si>
  <si>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</si>
  <si>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</si>
  <si>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</si>
  <si>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</si>
  <si>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</si>
  <si>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</si>
  <si>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</si>
  <si>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</si>
  <si>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</si>
  <si>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</si>
  <si>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</si>
  <si>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</si>
  <si>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</si>
  <si>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</si>
  <si>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</si>
  <si>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</si>
  <si>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</si>
  <si>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</si>
  <si>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</si>
  <si>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</si>
  <si>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</si>
  <si>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</si>
  <si>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</si>
  <si>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</si>
  <si>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</si>
  <si>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</si>
  <si>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</si>
  <si>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</si>
  <si>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</si>
  <si>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</si>
  <si>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</si>
  <si>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</si>
  <si>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</si>
  <si>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</si>
  <si>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</si>
  <si>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</si>
  <si>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</si>
  <si>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</si>
  <si>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</si>
  <si>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</si>
  <si>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</si>
  <si>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</si>
  <si>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</si>
  <si>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</si>
  <si>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</si>
  <si>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</si>
  <si>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</si>
  <si>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</si>
  <si>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</si>
  <si>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</si>
  <si>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</si>
  <si>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</si>
  <si>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</si>
  <si>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</si>
  <si>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</si>
  <si>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</si>
  <si>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</si>
  <si>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</si>
  <si>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</si>
  <si>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</si>
  <si>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</si>
  <si>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</si>
  <si>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</si>
  <si>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</si>
  <si>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</si>
  <si>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</si>
  <si>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</si>
  <si>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</si>
  <si>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</si>
  <si>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</si>
  <si>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</si>
  <si>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</si>
  <si>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</si>
  <si>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</si>
  <si>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</si>
  <si>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</si>
  <si>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</si>
  <si>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</si>
  <si>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</si>
  <si>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</si>
  <si>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</si>
  <si>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</si>
  <si>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</si>
  <si>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</si>
  <si>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</si>
  <si>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</si>
  <si>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</si>
  <si>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</si>
  <si>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</si>
  <si>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</si>
  <si>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</si>
  <si>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</si>
  <si>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</si>
  <si>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</si>
  <si>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</si>
  <si>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</si>
  <si>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</si>
  <si>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</si>
  <si>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</si>
  <si>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</si>
  <si>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</si>
  <si>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</si>
  <si>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</si>
  <si>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</si>
  <si>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</si>
  <si>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</si>
  <si>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</si>
  <si>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</si>
  <si>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</si>
  <si>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</si>
  <si>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</si>
  <si>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</si>
  <si>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</si>
  <si>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</si>
  <si>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</si>
  <si>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</si>
  <si>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</si>
  <si>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</si>
  <si>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</si>
  <si>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</si>
  <si>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</si>
  <si>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</si>
  <si>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</si>
  <si>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</si>
  <si>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</si>
  <si>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</si>
  <si>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</si>
  <si>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</si>
  <si>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</si>
  <si>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</si>
  <si>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</si>
  <si>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</si>
  <si>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</si>
  <si>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</si>
  <si>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</si>
  <si>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</si>
  <si>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</si>
  <si>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</si>
  <si>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</si>
  <si>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</si>
  <si>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</si>
  <si>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</si>
  <si>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</si>
  <si>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</si>
  <si>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</si>
  <si>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</si>
  <si>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</si>
  <si>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</si>
  <si>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</si>
  <si>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</si>
  <si>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</si>
  <si>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</si>
  <si>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</si>
  <si>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</si>
  <si>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</si>
  <si>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</si>
  <si>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</si>
  <si>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</si>
  <si>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</si>
  <si>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</si>
  <si>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</si>
  <si>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</si>
  <si>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</si>
  <si>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</si>
  <si>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</si>
  <si>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</si>
  <si>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</si>
  <si>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</si>
  <si>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</si>
  <si>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</si>
  <si>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</si>
  <si>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</si>
  <si>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</si>
  <si>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</si>
  <si>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</si>
  <si>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</si>
  <si>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</si>
  <si>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</si>
  <si>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</si>
  <si>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</si>
  <si>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</si>
  <si>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</si>
  <si>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</si>
  <si>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</si>
  <si>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</si>
  <si>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</si>
  <si>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</si>
  <si>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</si>
  <si>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</si>
  <si>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</si>
  <si>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</si>
  <si>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</si>
  <si>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</si>
  <si>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</si>
  <si>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</si>
  <si>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</si>
  <si>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</si>
  <si>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</si>
  <si>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</si>
  <si>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</si>
  <si>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</si>
  <si>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</si>
  <si>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</si>
  <si>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</si>
  <si>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</si>
  <si>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</si>
  <si>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</si>
  <si>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</si>
  <si>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</si>
  <si>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</si>
  <si>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</si>
  <si>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</si>
  <si>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</si>
  <si>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</si>
  <si>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</si>
  <si>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</si>
  <si>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</si>
  <si>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</si>
  <si>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</si>
  <si>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</si>
  <si>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</si>
  <si>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</si>
  <si>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</si>
  <si>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</si>
  <si>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</si>
  <si>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</si>
  <si>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</si>
  <si>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</si>
  <si>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</si>
  <si>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</si>
  <si>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</si>
  <si>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</si>
  <si>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</si>
  <si>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</si>
  <si>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</si>
  <si>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</si>
  <si>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</si>
  <si>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</si>
  <si>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</si>
  <si>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</si>
  <si>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</si>
  <si>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</si>
  <si>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</si>
  <si>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</si>
  <si>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</si>
  <si>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</si>
  <si>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</si>
  <si>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</si>
  <si>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</si>
  <si>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</si>
  <si>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</si>
  <si>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</si>
  <si>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</si>
  <si>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</si>
  <si>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</si>
  <si>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</si>
  <si>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</si>
  <si>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</si>
  <si>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</si>
  <si>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</si>
  <si>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</si>
  <si>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</si>
  <si>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</si>
  <si>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</si>
  <si>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</si>
  <si>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</si>
  <si>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</si>
  <si>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</si>
  <si>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</si>
  <si>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</si>
  <si>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</si>
  <si>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</si>
  <si>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</si>
  <si>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</si>
  <si>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</si>
  <si>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</si>
  <si>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</si>
  <si>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</si>
  <si>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</si>
  <si>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</si>
  <si>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</si>
  <si>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</si>
  <si>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</si>
  <si>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</si>
  <si>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</si>
  <si>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</si>
  <si>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</si>
  <si>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</si>
  <si>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</si>
  <si>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</si>
  <si>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</si>
  <si>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</si>
  <si>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</si>
  <si>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</si>
  <si>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</si>
  <si>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</si>
  <si>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</si>
  <si>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</si>
  <si>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</si>
  <si>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</si>
  <si>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</si>
  <si>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</si>
  <si>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</si>
  <si>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</si>
  <si>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</si>
  <si>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</si>
  <si>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</si>
  <si>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</si>
  <si>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</si>
  <si>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</si>
  <si>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</si>
  <si>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</si>
  <si>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</si>
  <si>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</si>
  <si>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</si>
  <si>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</si>
  <si>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</si>
  <si>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</si>
  <si>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</si>
  <si>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</si>
  <si>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</si>
  <si>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</si>
  <si>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</si>
  <si>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</si>
  <si>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</si>
  <si>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</si>
  <si>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</si>
  <si>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</si>
  <si>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</si>
  <si>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</si>
  <si>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</si>
  <si>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</si>
  <si>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</si>
  <si>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</si>
  <si>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</si>
  <si>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</si>
  <si>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</si>
  <si>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</si>
  <si>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</si>
  <si>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</si>
  <si>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</si>
  <si>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</si>
  <si>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</si>
  <si>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</si>
  <si>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</si>
  <si>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</si>
  <si>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</si>
  <si>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</si>
  <si>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</si>
  <si>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</si>
  <si>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</si>
  <si>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</si>
  <si>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</si>
  <si>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</si>
  <si>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</si>
  <si>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</si>
  <si>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</si>
  <si>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</si>
  <si>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</si>
  <si>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</si>
  <si>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</si>
  <si>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</si>
  <si>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</si>
  <si>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</si>
  <si>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</si>
  <si>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</si>
  <si>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</si>
  <si>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</si>
  <si>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</si>
  <si>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</si>
  <si>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</si>
  <si>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</si>
  <si>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</si>
  <si>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</si>
  <si>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</si>
  <si>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</si>
  <si>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</si>
  <si>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</si>
  <si>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</si>
  <si>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</si>
  <si>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</si>
  <si>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</si>
  <si>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</si>
  <si>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</si>
  <si>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</si>
  <si>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</si>
  <si>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</si>
  <si>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</si>
  <si>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</si>
  <si>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</si>
  <si>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</si>
  <si>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</si>
  <si>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</si>
  <si>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</si>
  <si>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</si>
  <si>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</si>
  <si>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</si>
  <si>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</si>
  <si>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</si>
  <si>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</si>
  <si>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</si>
  <si>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</si>
  <si>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</si>
  <si>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</si>
  <si>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</si>
  <si>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</si>
  <si>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</si>
  <si>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</si>
  <si>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</si>
  <si>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</si>
  <si>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</si>
  <si>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</si>
  <si>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</si>
  <si>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</si>
  <si>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</si>
  <si>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</si>
  <si>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</si>
  <si>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</si>
  <si>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</si>
  <si>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</si>
  <si>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</si>
  <si>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</si>
  <si>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</si>
  <si>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</si>
  <si>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</si>
  <si>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</si>
  <si>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</si>
  <si>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</si>
  <si>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</si>
  <si>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</si>
  <si>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</si>
  <si>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</si>
  <si>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</si>
  <si>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</si>
  <si>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</si>
  <si>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</si>
  <si>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</si>
  <si>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</si>
  <si>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</si>
  <si>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</si>
  <si>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</si>
  <si>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</si>
  <si>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</si>
  <si>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</si>
  <si>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</si>
  <si>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</si>
  <si>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</si>
  <si>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</si>
  <si>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</si>
  <si>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</si>
  <si>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</si>
  <si>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</si>
  <si>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</si>
  <si>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</si>
  <si>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</si>
  <si>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</si>
  <si>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</si>
  <si>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</si>
  <si>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</si>
  <si>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</si>
  <si>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</si>
  <si>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</si>
  <si>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</si>
  <si>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</si>
  <si>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</si>
  <si>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</si>
  <si>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</si>
  <si>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</si>
  <si>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</si>
  <si>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</si>
  <si>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</si>
  <si>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</si>
  <si>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</si>
  <si>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</si>
  <si>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</si>
  <si>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</si>
  <si>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</si>
  <si>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</si>
  <si>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</si>
  <si>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</si>
  <si>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</si>
  <si>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</si>
  <si>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</si>
  <si>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</si>
  <si>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</si>
  <si>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</si>
  <si>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</si>
  <si>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</si>
  <si>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</si>
  <si>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</si>
  <si>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</si>
  <si>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</si>
  <si>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</si>
  <si>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</si>
  <si>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</si>
  <si>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</si>
  <si>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</si>
  <si>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</si>
  <si>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</si>
  <si>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</si>
  <si>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</si>
  <si>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</si>
  <si>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</si>
  <si>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</si>
  <si>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</si>
  <si>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</si>
  <si>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</si>
  <si>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</si>
  <si>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</si>
  <si>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</si>
  <si>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</si>
  <si>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</si>
  <si>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</si>
  <si>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</si>
  <si>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</si>
  <si>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</si>
  <si>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</si>
  <si>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</si>
  <si>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</si>
  <si>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</si>
  <si>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</si>
  <si>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</si>
  <si>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</si>
  <si>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</si>
  <si>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</si>
  <si>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</si>
  <si>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</si>
  <si>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</si>
  <si>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</si>
  <si>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</si>
  <si>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</si>
  <si>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</si>
  <si>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</si>
  <si>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</si>
  <si>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</si>
  <si>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</si>
  <si>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</si>
  <si>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</si>
  <si>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</si>
  <si>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</si>
  <si>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</si>
  <si>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</si>
  <si>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</si>
  <si>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</si>
  <si>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</si>
  <si>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</si>
  <si>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</si>
  <si>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</si>
  <si>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</si>
  <si>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</si>
  <si>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</si>
  <si>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</si>
  <si>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</si>
  <si>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</si>
  <si>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</si>
  <si>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</si>
  <si>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</si>
  <si>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</si>
  <si>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</si>
  <si>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</si>
  <si>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</si>
  <si>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</si>
  <si>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</si>
  <si>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</si>
  <si>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</si>
  <si>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</si>
  <si>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</si>
  <si>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</si>
  <si>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</si>
  <si>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</si>
  <si>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</si>
  <si>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</si>
  <si>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</si>
  <si>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</si>
  <si>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</si>
  <si>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</si>
  <si>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</si>
  <si>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</si>
  <si>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</si>
  <si>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</si>
  <si>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</si>
  <si>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</si>
  <si>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</si>
  <si>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</si>
  <si>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</si>
  <si>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</si>
  <si>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</si>
  <si>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</si>
  <si>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</si>
  <si>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</si>
  <si>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</si>
  <si>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</si>
  <si>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</si>
  <si>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</si>
  <si>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</si>
  <si>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</si>
  <si>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</si>
  <si>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</si>
  <si>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</si>
  <si>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</si>
  <si>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</si>
  <si>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</si>
  <si>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</si>
  <si>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</si>
  <si>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</si>
  <si>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</si>
  <si>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</si>
  <si>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</si>
  <si>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</si>
  <si>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</si>
  <si>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</si>
  <si>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</si>
  <si>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</si>
  <si>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</si>
  <si>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</si>
  <si>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</si>
  <si>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</si>
  <si>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</si>
  <si>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</si>
  <si>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</si>
  <si>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</si>
  <si>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</si>
  <si>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</si>
  <si>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</si>
  <si>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</si>
  <si>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</si>
  <si>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</si>
  <si>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</si>
  <si>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</si>
  <si>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</si>
  <si>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</si>
  <si>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</si>
  <si>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</si>
  <si>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</si>
  <si>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</si>
  <si>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</si>
  <si>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</si>
  <si>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</si>
  <si>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</si>
  <si>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</si>
  <si>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</si>
  <si>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</si>
  <si>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</si>
  <si>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</si>
  <si>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</si>
  <si>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</si>
  <si>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</si>
  <si>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</si>
  <si>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</si>
  <si>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</si>
  <si>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</si>
  <si>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</si>
  <si>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</si>
  <si>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</si>
  <si>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</si>
  <si>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</si>
  <si>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</si>
  <si>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</si>
  <si>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</si>
  <si>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</si>
  <si>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</si>
  <si>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</si>
  <si>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</si>
  <si>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</si>
  <si>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</si>
  <si>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</si>
  <si>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</si>
  <si>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</si>
  <si>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</si>
  <si>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</si>
  <si>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</si>
  <si>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</si>
  <si>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</si>
  <si>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</si>
  <si>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</si>
  <si>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</si>
  <si>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</si>
  <si>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</si>
  <si>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</si>
  <si>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</si>
  <si>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</si>
  <si>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</si>
  <si>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</si>
  <si>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</si>
  <si>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</si>
  <si>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</si>
  <si>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</si>
  <si>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</si>
  <si>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</si>
  <si>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</si>
  <si>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</si>
  <si>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</si>
  <si>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</si>
  <si>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</si>
  <si>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</si>
  <si>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</si>
  <si>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</si>
  <si>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</si>
  <si>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</si>
  <si>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</si>
  <si>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</si>
  <si>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</si>
  <si>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</si>
  <si>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</si>
  <si>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</si>
  <si>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</si>
  <si>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</si>
  <si>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</si>
  <si>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</si>
  <si>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</si>
  <si>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</si>
  <si>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</si>
  <si>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</si>
  <si>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</si>
  <si>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</si>
  <si>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</si>
  <si>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</si>
  <si>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</si>
  <si>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</si>
  <si>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</si>
  <si>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</si>
  <si>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</si>
  <si>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</si>
  <si>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</si>
  <si>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</si>
  <si>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</si>
  <si>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</si>
  <si>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</si>
  <si>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</si>
  <si>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</si>
  <si>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</si>
  <si>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</si>
  <si>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</si>
  <si>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</si>
  <si>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</si>
  <si>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</si>
  <si>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</si>
  <si>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</si>
  <si>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</si>
  <si>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</si>
  <si>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</si>
  <si>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</si>
  <si>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</si>
  <si>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</si>
  <si>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</si>
  <si>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</si>
  <si>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</si>
  <si>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</si>
  <si>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</si>
  <si>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</si>
  <si>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</si>
  <si>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</si>
  <si>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</si>
  <si>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</si>
  <si>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</si>
  <si>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</si>
  <si>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</si>
  <si>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</si>
  <si>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</si>
  <si>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</si>
  <si>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</si>
  <si>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</si>
  <si>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</si>
  <si>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</si>
  <si>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</si>
  <si>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</si>
  <si>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</si>
  <si>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</si>
  <si>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</si>
  <si>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</si>
  <si>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</si>
  <si>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</si>
  <si>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</si>
  <si>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</si>
  <si>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</si>
  <si>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</si>
  <si>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</si>
  <si>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</si>
  <si>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</si>
  <si>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</si>
  <si>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</si>
  <si>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</si>
  <si>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</si>
  <si>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</si>
  <si>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</si>
  <si>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</si>
  <si>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</si>
  <si>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</si>
  <si>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</si>
  <si>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</si>
  <si>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</si>
  <si>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</si>
  <si>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</si>
  <si>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</si>
  <si>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</si>
  <si>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</si>
  <si>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</si>
  <si>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</si>
  <si>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</si>
  <si>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</si>
  <si>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</si>
  <si>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</si>
  <si>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</si>
  <si>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</si>
  <si>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</si>
  <si>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</si>
  <si>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</si>
  <si>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</si>
  <si>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</si>
  <si>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</si>
  <si>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</si>
  <si>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</si>
  <si>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</si>
  <si>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</si>
  <si>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</si>
  <si>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</si>
  <si>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</si>
  <si>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</si>
  <si>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</si>
  <si>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</si>
  <si>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</si>
  <si>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</si>
  <si>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</si>
  <si>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</si>
  <si>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</si>
  <si>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</si>
  <si>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</si>
  <si>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</si>
  <si>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</si>
  <si>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</si>
  <si>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</si>
  <si>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</si>
  <si>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</si>
  <si>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</si>
  <si>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</si>
  <si>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</si>
  <si>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</si>
  <si>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</si>
  <si>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</si>
  <si>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</si>
  <si>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</si>
  <si>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</si>
  <si>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</si>
  <si>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</si>
  <si>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</si>
  <si>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</si>
  <si>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</si>
  <si>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</si>
  <si>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</si>
  <si>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</si>
  <si>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</si>
  <si>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</si>
  <si>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</si>
  <si>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</si>
  <si>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</si>
  <si>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</si>
  <si>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</si>
  <si>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</si>
  <si>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</si>
  <si>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</si>
  <si>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</si>
  <si>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</si>
  <si>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</si>
  <si>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</si>
  <si>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</si>
  <si>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</si>
  <si>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</si>
  <si>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</si>
  <si>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</si>
  <si>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</si>
  <si>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</si>
  <si>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</si>
  <si>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</si>
  <si>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</si>
  <si>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</si>
  <si>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</si>
  <si>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</si>
  <si>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</si>
  <si>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</si>
  <si>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</si>
  <si>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</si>
  <si>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</si>
  <si>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</si>
  <si>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</si>
  <si>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</si>
  <si>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</si>
  <si>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</si>
  <si>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</si>
  <si>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</si>
  <si>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</si>
  <si>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</si>
  <si>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</si>
  <si>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</si>
  <si>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</si>
  <si>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</si>
  <si>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</si>
  <si>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</si>
  <si>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</si>
  <si>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</si>
  <si>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</si>
  <si>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</si>
  <si>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</si>
  <si>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</si>
  <si>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</si>
  <si>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</si>
  <si>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</si>
  <si>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</si>
  <si>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</si>
  <si>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</si>
  <si>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</si>
  <si>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</si>
  <si>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</si>
  <si>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</si>
  <si>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</si>
  <si>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</si>
  <si>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</si>
  <si>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</si>
  <si>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</si>
  <si>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</si>
  <si>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</si>
  <si>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</si>
  <si>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</si>
  <si>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</si>
  <si>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</si>
  <si>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</si>
  <si>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</si>
  <si>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</si>
  <si>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</si>
  <si>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</si>
  <si>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</si>
  <si>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</si>
  <si>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</si>
  <si>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</si>
  <si>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</si>
  <si>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</si>
  <si>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</si>
  <si>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</si>
  <si>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</si>
  <si>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</si>
  <si>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</si>
  <si>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</si>
  <si>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</si>
  <si>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</si>
  <si>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</si>
  <si>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</si>
  <si>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</si>
  <si>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</si>
  <si>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</si>
  <si>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</si>
  <si>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</si>
  <si>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</si>
  <si>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</si>
  <si>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</si>
  <si>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</si>
  <si>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</si>
  <si>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</si>
  <si>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</si>
  <si>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</si>
  <si>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</si>
  <si>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</si>
  <si>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</si>
  <si>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</si>
  <si>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</si>
  <si>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</si>
  <si>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</si>
  <si>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</si>
  <si>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</si>
  <si>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</si>
  <si>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</si>
  <si>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</si>
  <si>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</si>
  <si>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</si>
  <si>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</si>
  <si>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</si>
  <si>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</si>
  <si>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</si>
  <si>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</si>
  <si>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</si>
  <si>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</si>
  <si>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</si>
  <si>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</si>
  <si>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</si>
  <si>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</si>
  <si>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</si>
  <si>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</si>
  <si>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</si>
  <si>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</si>
  <si>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</si>
  <si>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</si>
  <si>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</si>
  <si>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</si>
  <si>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</si>
  <si>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</si>
  <si>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</si>
  <si>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</si>
  <si>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</si>
  <si>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</si>
  <si>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</si>
  <si>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</si>
  <si>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</si>
  <si>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</si>
  <si>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</si>
  <si>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</si>
  <si>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</si>
  <si>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</si>
  <si>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</si>
  <si>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</si>
  <si>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</si>
  <si>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</si>
  <si>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</si>
  <si>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</si>
  <si>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</si>
  <si>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</si>
  <si>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</si>
  <si>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</si>
  <si>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</si>
  <si>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</si>
  <si>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</si>
  <si>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</si>
  <si>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</si>
  <si>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</si>
  <si>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</si>
  <si>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</si>
  <si>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</si>
  <si>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</si>
  <si>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</si>
  <si>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</si>
  <si>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</si>
  <si>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</si>
  <si>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</si>
  <si>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</si>
  <si>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</si>
  <si>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</si>
  <si>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</si>
  <si>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</si>
  <si>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</si>
  <si>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</si>
  <si>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</si>
  <si>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</si>
  <si>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</si>
  <si>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</si>
  <si>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</si>
  <si>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</si>
  <si>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</si>
  <si>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</si>
  <si>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</si>
  <si>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</si>
  <si>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</si>
  <si>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</si>
  <si>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</si>
  <si>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</si>
  <si>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</si>
  <si>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</si>
  <si>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</si>
  <si>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</si>
  <si>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</si>
  <si>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</si>
  <si>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</si>
  <si>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</si>
  <si>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</si>
  <si>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</si>
  <si>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</si>
  <si>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</si>
  <si>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</si>
  <si>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</si>
  <si>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</si>
  <si>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</si>
  <si>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</si>
  <si>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</si>
  <si>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</si>
  <si>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</si>
  <si>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</si>
  <si>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</si>
  <si>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</si>
  <si>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</si>
  <si>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</si>
  <si>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</si>
  <si>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</si>
  <si>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</si>
  <si>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</si>
  <si>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</si>
  <si>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</si>
  <si>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</si>
  <si>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</si>
  <si>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</si>
  <si>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</si>
  <si>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</si>
  <si>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</si>
  <si>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</si>
  <si>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</si>
  <si>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</si>
  <si>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</si>
  <si>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</si>
  <si>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</si>
  <si>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</si>
  <si>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</si>
  <si>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</si>
  <si>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</si>
  <si>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</si>
  <si>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</si>
  <si>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</si>
  <si>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</si>
  <si>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</si>
  <si>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</si>
  <si>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</si>
  <si>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</si>
  <si>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</si>
  <si>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</si>
  <si>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</si>
  <si>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</si>
  <si>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</si>
  <si>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</si>
  <si>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</si>
  <si>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</si>
  <si>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</si>
  <si>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</si>
  <si>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</si>
  <si>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</si>
  <si>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</si>
  <si>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</si>
  <si>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</si>
  <si>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</si>
  <si>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</si>
  <si>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</si>
  <si>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</si>
  <si>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</si>
  <si>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</si>
  <si>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</si>
  <si>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</si>
  <si>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</si>
  <si>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</si>
  <si>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</si>
  <si>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</si>
  <si>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</si>
  <si>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</si>
  <si>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</si>
  <si>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</si>
  <si>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</si>
  <si>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</si>
  <si>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</si>
  <si>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</si>
  <si>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</si>
  <si>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</si>
  <si>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</si>
  <si>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</si>
  <si>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</si>
  <si>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</si>
  <si>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</si>
  <si>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</si>
  <si>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</si>
  <si>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</si>
  <si>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</si>
  <si>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</si>
  <si>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</si>
  <si>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</si>
  <si>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</si>
  <si>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</si>
  <si>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</si>
  <si>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</si>
  <si>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</si>
  <si>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</si>
  <si>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</si>
  <si>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</si>
  <si>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</si>
  <si>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</si>
  <si>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</si>
  <si>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</si>
  <si>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</si>
  <si>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</si>
  <si>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</si>
  <si>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</si>
  <si>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</si>
  <si>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</si>
  <si>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</si>
  <si>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</si>
  <si>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</si>
  <si>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</si>
  <si>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</si>
  <si>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</si>
  <si>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</si>
  <si>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</si>
  <si>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</si>
  <si>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</si>
  <si>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</si>
  <si>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</si>
  <si>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</si>
  <si>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</si>
  <si>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</si>
  <si>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</si>
  <si>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</si>
  <si>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</si>
  <si>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</si>
  <si>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</si>
  <si>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</si>
  <si>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</si>
  <si>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</si>
  <si>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</si>
  <si>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</si>
  <si>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</si>
  <si>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</si>
  <si>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</si>
  <si>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</si>
  <si>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</si>
  <si>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</si>
  <si>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</si>
  <si>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</si>
  <si>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</si>
  <si>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</si>
  <si>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</si>
  <si>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</si>
  <si>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</si>
  <si>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</si>
  <si>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</si>
  <si>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</si>
  <si>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</si>
  <si>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</si>
  <si>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</si>
  <si>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</si>
  <si>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</si>
  <si>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</si>
  <si>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</si>
  <si>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</si>
  <si>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</si>
  <si>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</si>
  <si>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</si>
  <si>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</si>
  <si>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</si>
  <si>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</si>
  <si>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</si>
  <si>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</si>
  <si>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</si>
  <si>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</si>
  <si>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</si>
  <si>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</si>
  <si>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</si>
  <si>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</si>
  <si>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</si>
  <si>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</si>
  <si>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</si>
  <si>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</si>
  <si>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</si>
  <si>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</si>
  <si>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</si>
  <si>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</si>
  <si>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</si>
  <si>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</si>
  <si>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</si>
  <si>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</si>
  <si>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</si>
  <si>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</si>
  <si>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</si>
  <si>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</si>
  <si>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</si>
  <si>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</si>
  <si>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</si>
  <si>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</si>
  <si>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</si>
  <si>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</si>
  <si>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</si>
  <si>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</si>
  <si>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</si>
  <si>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</si>
  <si>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</si>
  <si>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</si>
  <si>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</si>
  <si>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</si>
  <si>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</si>
  <si>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</si>
  <si>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</si>
  <si>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</si>
  <si>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</si>
  <si>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</si>
  <si>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</si>
  <si>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</si>
  <si>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</si>
  <si>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</si>
  <si>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</si>
  <si>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</si>
  <si>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</si>
  <si>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</si>
  <si>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</si>
  <si>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</si>
  <si>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</si>
  <si>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</si>
  <si>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</si>
  <si>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</si>
  <si>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</si>
  <si>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</si>
  <si>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</si>
  <si>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</si>
  <si>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</si>
  <si>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</si>
  <si>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</si>
  <si>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</si>
  <si>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</si>
  <si>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</si>
  <si>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</si>
  <si>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</si>
  <si>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</si>
  <si>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</si>
  <si>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</si>
  <si>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</si>
  <si>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</si>
  <si>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</si>
  <si>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</si>
  <si>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</si>
  <si>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</si>
  <si>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</si>
  <si>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</si>
  <si>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</si>
  <si>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</si>
  <si>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</si>
  <si>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</si>
  <si>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</si>
  <si>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</si>
  <si>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</si>
  <si>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</si>
  <si>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</si>
  <si>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</si>
  <si>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</si>
  <si>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</si>
  <si>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</si>
  <si>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</si>
  <si>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</si>
  <si>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</si>
  <si>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</si>
  <si>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</si>
  <si>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</si>
  <si>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</si>
  <si>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</si>
  <si>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</si>
  <si>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</si>
  <si>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</si>
  <si>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</si>
  <si>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</si>
  <si>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</si>
  <si>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</si>
  <si>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</si>
  <si>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</si>
  <si>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</si>
  <si>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</si>
  <si>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</si>
  <si>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</si>
  <si>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</si>
  <si>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</si>
  <si>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</si>
  <si>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</si>
  <si>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</si>
  <si>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</si>
  <si>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</si>
  <si>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</si>
  <si>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</si>
  <si>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</si>
  <si>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</si>
  <si>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</si>
  <si>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</si>
  <si>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</si>
  <si>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</si>
  <si>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</si>
  <si>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</si>
  <si>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</si>
  <si>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</si>
  <si>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</si>
  <si>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</si>
  <si>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</si>
  <si>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</si>
  <si>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</si>
  <si>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</si>
  <si>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</si>
  <si>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</si>
  <si>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</si>
  <si>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</si>
  <si>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</si>
  <si>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</si>
  <si>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</si>
  <si>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</si>
  <si>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</si>
  <si>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</si>
  <si>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</si>
  <si>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</si>
  <si>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</si>
  <si>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</si>
  <si>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</si>
  <si>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</si>
  <si>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</si>
  <si>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</si>
  <si>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</si>
  <si>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</si>
  <si>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</si>
  <si>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</si>
  <si>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</si>
  <si>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</si>
  <si>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</si>
  <si>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</si>
  <si>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</si>
  <si>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</si>
  <si>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</si>
  <si>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</si>
  <si>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</si>
  <si>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</si>
  <si>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</si>
  <si>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</si>
  <si>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</si>
  <si>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</si>
  <si>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</si>
  <si>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</si>
  <si>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</si>
  <si>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</si>
  <si>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</si>
  <si>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</si>
  <si>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</si>
  <si>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</si>
  <si>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</si>
  <si>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</si>
  <si>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</si>
  <si>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</si>
  <si>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</si>
  <si>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</si>
  <si>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</si>
  <si>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</si>
  <si>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</si>
  <si>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</si>
  <si>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</si>
  <si>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</si>
  <si>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</si>
  <si>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</si>
  <si>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</si>
  <si>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</si>
  <si>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</si>
  <si>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</si>
  <si>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</si>
  <si>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</si>
  <si>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</si>
  <si>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</si>
  <si>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</si>
  <si>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</si>
  <si>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</si>
  <si>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</si>
  <si>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</si>
  <si>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</si>
  <si>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</si>
  <si>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</si>
  <si>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</si>
  <si>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</si>
  <si>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</si>
  <si>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</si>
  <si>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</si>
  <si>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</si>
  <si>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</si>
  <si>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</si>
  <si>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</si>
  <si>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</si>
  <si>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</si>
  <si>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</si>
  <si>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</si>
  <si>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</si>
  <si>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</si>
  <si>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</si>
  <si>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</si>
  <si>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</si>
  <si>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</si>
  <si>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</si>
  <si>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</si>
  <si>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</si>
  <si>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</si>
  <si>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</si>
  <si>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</si>
  <si>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</si>
  <si>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</si>
  <si>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</si>
  <si>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</si>
  <si>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</si>
  <si>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</si>
  <si>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</si>
  <si>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</si>
  <si>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</si>
  <si>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</si>
  <si>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</si>
  <si>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</si>
  <si>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</si>
  <si>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</si>
  <si>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</si>
  <si>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</si>
  <si>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</si>
  <si>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</si>
  <si>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</si>
  <si>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</si>
  <si>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</si>
  <si>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</si>
  <si>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</si>
  <si>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</si>
  <si>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</si>
  <si>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</si>
  <si>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</si>
  <si>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</si>
  <si>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</si>
  <si>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</si>
  <si>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</si>
  <si>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</si>
  <si>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</si>
  <si>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</si>
  <si>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</si>
  <si>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</si>
  <si>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</si>
  <si>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</si>
  <si>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</si>
  <si>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</si>
  <si>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</si>
  <si>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</si>
  <si>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</si>
  <si>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</si>
  <si>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</si>
  <si>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</si>
  <si>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</si>
  <si>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</si>
  <si>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</si>
  <si>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</si>
  <si>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</si>
  <si>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</si>
  <si>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</si>
  <si>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</si>
  <si>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</si>
  <si>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</si>
  <si>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</si>
  <si>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</si>
  <si>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</si>
  <si>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</si>
  <si>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</si>
  <si>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</si>
  <si>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</si>
  <si>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</si>
  <si>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</si>
  <si>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</si>
  <si>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</si>
  <si>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</si>
  <si>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</si>
  <si>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</si>
  <si>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</si>
  <si>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</si>
  <si>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</si>
  <si>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</si>
  <si>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</si>
  <si>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</si>
  <si>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</si>
  <si>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</si>
  <si>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</si>
  <si>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</si>
  <si>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</si>
  <si>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</si>
  <si>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</si>
  <si>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</si>
  <si>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</si>
  <si>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</si>
  <si>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</si>
  <si>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</si>
  <si>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</si>
  <si>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</si>
  <si>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</si>
  <si>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</si>
  <si>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</si>
  <si>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</si>
  <si>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</si>
  <si>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</si>
  <si>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</si>
  <si>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</si>
  <si>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</si>
  <si>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</si>
  <si>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</si>
  <si>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</si>
  <si>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</si>
  <si>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</si>
  <si>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</si>
  <si>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</si>
  <si>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</si>
  <si>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</si>
  <si>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</si>
  <si>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</si>
  <si>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</si>
  <si>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</si>
  <si>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</si>
  <si>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</si>
  <si>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</si>
  <si>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</si>
  <si>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</si>
  <si>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</si>
  <si>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</si>
  <si>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</si>
  <si>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</si>
  <si>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</si>
  <si>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</si>
  <si>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</si>
  <si>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</si>
  <si>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</si>
  <si>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</si>
  <si>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</si>
  <si>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</si>
  <si>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</si>
  <si>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</si>
  <si>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</si>
  <si>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</si>
  <si>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</si>
  <si>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</si>
  <si>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</si>
  <si>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</si>
  <si>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</si>
  <si>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</si>
  <si>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</si>
  <si>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</si>
  <si>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</si>
  <si>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</si>
  <si>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</si>
  <si>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</si>
  <si>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</si>
  <si>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</si>
  <si>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</si>
  <si>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</si>
  <si>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</si>
  <si>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</si>
  <si>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</si>
  <si>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</si>
  <si>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</si>
  <si>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</si>
  <si>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</si>
  <si>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</si>
  <si>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</si>
  <si>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</si>
  <si>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</si>
  <si>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</si>
  <si>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</si>
  <si>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</si>
  <si>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</si>
  <si>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</si>
  <si>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</si>
  <si>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</si>
  <si>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</si>
  <si>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</si>
  <si>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</si>
  <si>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</si>
  <si>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</si>
  <si>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</si>
  <si>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</si>
  <si>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</si>
  <si>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</si>
  <si>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</si>
  <si>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</si>
  <si>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</si>
  <si>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</si>
  <si>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</si>
  <si>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</si>
  <si>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</si>
  <si>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</si>
  <si>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</si>
  <si>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</si>
  <si>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</si>
  <si>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</si>
  <si>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</si>
  <si>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</si>
  <si>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</si>
  <si>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</si>
  <si>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</si>
  <si>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</si>
  <si>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</si>
  <si>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</si>
  <si>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</si>
  <si>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</si>
  <si>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</si>
  <si>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</si>
  <si>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</si>
  <si>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</si>
  <si>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</si>
  <si>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</si>
  <si>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</si>
  <si>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</si>
  <si>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</si>
  <si>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</si>
  <si>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</si>
  <si>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</si>
  <si>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</si>
  <si>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</si>
  <si>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</si>
  <si>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</si>
  <si>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</si>
  <si>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</si>
  <si>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</si>
  <si>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</si>
  <si>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</si>
  <si>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</si>
  <si>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</si>
  <si>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</si>
  <si>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</si>
  <si>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</si>
  <si>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</si>
  <si>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</si>
  <si>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</si>
  <si>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</si>
  <si>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</si>
  <si>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</si>
  <si>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</si>
  <si>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</si>
  <si>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</si>
  <si>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</si>
  <si>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</si>
  <si>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</si>
  <si>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</si>
  <si>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</si>
  <si>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</si>
  <si>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</si>
  <si>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</si>
  <si>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</si>
  <si>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</si>
  <si>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</si>
  <si>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</si>
  <si>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</si>
  <si>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</si>
  <si>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</si>
  <si>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</si>
  <si>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</si>
  <si>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</si>
  <si>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</si>
  <si>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</si>
  <si>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</si>
  <si>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</si>
  <si>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</si>
  <si>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</si>
  <si>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</si>
  <si>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</si>
  <si>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</si>
  <si>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</si>
  <si>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</si>
  <si>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</si>
  <si>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</si>
  <si>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</si>
  <si>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</si>
  <si>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</si>
  <si>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</si>
  <si>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</si>
  <si>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</si>
  <si>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</si>
  <si>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</si>
  <si>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</si>
  <si>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</si>
  <si>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</si>
  <si>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</si>
  <si>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</si>
  <si>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</si>
  <si>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</si>
  <si>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</si>
  <si>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</si>
  <si>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</si>
  <si>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</si>
  <si>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</si>
  <si>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</si>
  <si>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</si>
  <si>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</si>
  <si>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</si>
  <si>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</si>
  <si>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</si>
  <si>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</si>
  <si>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</si>
  <si>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</si>
  <si>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</si>
  <si>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</si>
  <si>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</si>
  <si>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</si>
  <si>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</si>
  <si>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</si>
  <si>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</si>
  <si>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</si>
  <si>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</si>
  <si>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</si>
  <si>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</si>
  <si>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</si>
  <si>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</si>
  <si>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</si>
  <si>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</si>
  <si>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</si>
  <si>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</si>
  <si>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</si>
  <si>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</si>
  <si>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</si>
  <si>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</si>
  <si>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</si>
  <si>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</si>
  <si>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</si>
  <si>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</si>
  <si>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</si>
  <si>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</si>
  <si>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</si>
  <si>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</si>
  <si>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</si>
  <si>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</si>
  <si>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</si>
  <si>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</si>
  <si>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</si>
  <si>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</si>
  <si>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</si>
  <si>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</si>
  <si>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</si>
  <si>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</si>
  <si>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</si>
  <si>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</si>
  <si>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</si>
  <si>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</si>
  <si>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</si>
  <si>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</si>
  <si>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</si>
  <si>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</si>
  <si>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</si>
  <si>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</si>
  <si>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</si>
  <si>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</si>
  <si>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</si>
  <si>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</si>
  <si>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</si>
  <si>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</si>
  <si>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</si>
  <si>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</si>
  <si>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</si>
  <si>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</si>
  <si>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</si>
  <si>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</si>
  <si>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</si>
  <si>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</si>
  <si>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</si>
  <si>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</si>
  <si>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</si>
  <si>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</si>
  <si>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</si>
  <si>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</si>
  <si>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</si>
  <si>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</si>
  <si>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</si>
  <si>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</si>
  <si>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</si>
  <si>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</si>
  <si>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</si>
  <si>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</si>
  <si>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</si>
  <si>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</si>
  <si>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</si>
  <si>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</si>
  <si>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</si>
  <si>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</si>
  <si>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</si>
  <si>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</si>
  <si>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</si>
  <si>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</si>
  <si>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</si>
  <si>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</si>
  <si>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</si>
  <si>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</si>
  <si>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</si>
  <si>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</si>
  <si>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</si>
  <si>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</si>
  <si>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</si>
  <si>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</si>
  <si>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</si>
  <si>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</si>
  <si>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</si>
  <si>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</si>
  <si>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</si>
  <si>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</si>
  <si>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</si>
  <si>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</si>
  <si>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</si>
  <si>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</si>
  <si>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</si>
  <si>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</si>
  <si>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</si>
  <si>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</si>
  <si>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</si>
  <si>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</si>
  <si>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</si>
  <si>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</si>
  <si>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</si>
  <si>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</si>
  <si>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</si>
  <si>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</si>
  <si>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</si>
  <si>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</si>
  <si>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</si>
  <si>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</si>
  <si>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</si>
  <si>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</si>
  <si>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</si>
  <si>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</si>
  <si>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</si>
  <si>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</si>
  <si>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</si>
  <si>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</si>
  <si>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</si>
  <si>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</si>
  <si>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</si>
  <si>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</si>
  <si>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</si>
  <si>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</si>
  <si>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</si>
  <si>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</si>
  <si>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</si>
  <si>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</si>
  <si>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</si>
  <si>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</si>
  <si>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</si>
  <si>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</si>
  <si>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</si>
  <si>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</si>
  <si>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</si>
  <si>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</si>
  <si>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</si>
  <si>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</si>
  <si>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</si>
  <si>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</si>
  <si>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</si>
  <si>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</si>
  <si>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</si>
  <si>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</si>
  <si>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</si>
  <si>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</si>
  <si>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</si>
  <si>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</si>
  <si>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</si>
  <si>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</si>
  <si>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</si>
  <si>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</si>
  <si>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</si>
  <si>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</si>
  <si>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</si>
  <si>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</si>
  <si>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</si>
  <si>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</si>
  <si>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</si>
  <si>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</si>
  <si>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</si>
  <si>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</si>
  <si>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</si>
  <si>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</si>
  <si>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</si>
  <si>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</si>
  <si>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</si>
  <si>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</si>
  <si>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</si>
  <si>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</si>
  <si>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</si>
  <si>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</si>
  <si>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</si>
  <si>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</si>
  <si>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</si>
  <si>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</si>
  <si>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</si>
  <si>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</si>
  <si>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</si>
  <si>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</si>
  <si>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</si>
  <si>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</si>
  <si>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</si>
  <si>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</si>
  <si>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</si>
  <si>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</si>
  <si>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</si>
  <si>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</si>
  <si>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</si>
  <si>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</si>
  <si>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</si>
  <si>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</si>
  <si>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</si>
  <si>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</si>
  <si>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</si>
  <si>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</si>
  <si>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</si>
  <si>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</si>
  <si>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</si>
  <si>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</si>
  <si>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</si>
  <si>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</si>
  <si>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</si>
  <si>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</si>
  <si>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</si>
  <si>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</si>
  <si>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</si>
  <si>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</si>
  <si>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</si>
  <si>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</si>
  <si>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</si>
  <si>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</si>
  <si>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</si>
  <si>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</si>
  <si>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</si>
  <si>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</si>
  <si>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</si>
  <si>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</si>
  <si>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</si>
  <si>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</si>
  <si>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</si>
  <si>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</si>
  <si>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</si>
  <si>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</si>
  <si>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</si>
  <si>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</si>
  <si>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</si>
  <si>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</si>
  <si>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</si>
  <si>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</si>
  <si>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</si>
  <si>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</si>
  <si>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</si>
  <si>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</si>
  <si>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</si>
  <si>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</si>
  <si>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</si>
  <si>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</si>
  <si>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</si>
  <si>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</si>
  <si>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</si>
  <si>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</si>
  <si>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</si>
  <si>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</si>
  <si>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</si>
  <si>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</si>
  <si>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</si>
  <si>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</si>
  <si>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</si>
  <si>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</si>
  <si>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</si>
  <si>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</si>
  <si>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</si>
  <si>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</si>
  <si>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</si>
  <si>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</si>
  <si>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</si>
  <si>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</si>
  <si>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</si>
  <si>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</si>
  <si>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</si>
  <si>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</si>
  <si>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</si>
  <si>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</si>
  <si>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</si>
  <si>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</si>
  <si>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</si>
  <si>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</si>
  <si>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</si>
  <si>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</si>
  <si>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</si>
  <si>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</si>
  <si>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</si>
  <si>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</si>
  <si>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</si>
  <si>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</si>
  <si>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</si>
  <si>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</si>
  <si>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</si>
  <si>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</si>
  <si>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</si>
  <si>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</si>
  <si>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</si>
  <si>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</si>
  <si>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</si>
  <si>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</si>
  <si>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</si>
  <si>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</si>
  <si>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</si>
  <si>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</si>
  <si>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</si>
  <si>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</si>
  <si>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</si>
  <si>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</si>
  <si>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</si>
  <si>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</si>
  <si>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</si>
  <si>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</si>
  <si>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</si>
  <si>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</si>
  <si>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</si>
  <si>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</si>
  <si>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</si>
  <si>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</si>
  <si>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</si>
  <si>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</si>
  <si>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</si>
  <si>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</si>
  <si>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</si>
  <si>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</si>
  <si>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</si>
  <si>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</si>
  <si>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</si>
  <si>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</si>
  <si>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</si>
  <si>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</si>
  <si>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</si>
  <si>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</si>
  <si>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</si>
  <si>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</si>
  <si>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</si>
  <si>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</si>
  <si>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</si>
  <si>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</si>
  <si>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</si>
  <si>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</si>
  <si>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</si>
  <si>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</si>
  <si>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</si>
  <si>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</si>
  <si>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</si>
  <si>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</si>
  <si>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</si>
  <si>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</si>
  <si>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</si>
  <si>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</si>
  <si>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</si>
  <si>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</si>
  <si>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</si>
  <si>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</si>
  <si>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</si>
  <si>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</si>
  <si>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</si>
  <si>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</si>
  <si>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</si>
  <si>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</si>
  <si>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</si>
  <si>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</si>
  <si>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</si>
  <si>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</si>
  <si>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</si>
  <si>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</si>
  <si>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</si>
  <si>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</si>
  <si>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</si>
  <si>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</si>
  <si>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</si>
  <si>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</si>
  <si>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</si>
  <si>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</si>
  <si>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</si>
  <si>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</si>
  <si>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</si>
  <si>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</si>
  <si>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</si>
  <si>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</si>
  <si>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</si>
  <si>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</si>
  <si>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</si>
  <si>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</si>
  <si>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</si>
  <si>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</si>
  <si>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</si>
  <si>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</si>
  <si>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</si>
  <si>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</si>
  <si>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</si>
  <si>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</si>
  <si>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</si>
  <si>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</si>
  <si>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</si>
  <si>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</si>
  <si>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</si>
  <si>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</si>
  <si>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</si>
  <si>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</si>
  <si>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</si>
  <si>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</si>
  <si>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</si>
  <si>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</si>
  <si>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</si>
  <si>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</si>
  <si>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</si>
  <si>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</si>
  <si>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</si>
  <si>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</si>
  <si>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</si>
  <si>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</si>
  <si>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</si>
  <si>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</si>
  <si>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</si>
  <si>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</si>
  <si>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</si>
  <si>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</si>
  <si>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</si>
  <si>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</si>
  <si>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</si>
  <si>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</si>
  <si>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</si>
  <si>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</si>
  <si>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</si>
  <si>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</si>
  <si>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</si>
  <si>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</si>
  <si>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</si>
  <si>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</si>
  <si>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</si>
  <si>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</si>
  <si>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</si>
  <si>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</si>
  <si>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</si>
  <si>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</si>
  <si>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</si>
  <si>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</si>
  <si>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</si>
  <si>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</si>
  <si>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</si>
  <si>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</si>
  <si>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</si>
  <si>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</si>
  <si>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</si>
  <si>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</si>
  <si>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</si>
  <si>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</si>
  <si>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</si>
  <si>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</si>
  <si>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</si>
  <si>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</si>
  <si>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</si>
  <si>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</si>
  <si>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</si>
  <si>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</si>
  <si>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</si>
  <si>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</si>
  <si>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</si>
  <si>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</si>
  <si>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</si>
  <si>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</si>
  <si>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</si>
  <si>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</si>
  <si>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</si>
  <si>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</si>
  <si>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</si>
  <si>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</si>
  <si>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</si>
  <si>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</si>
  <si>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</si>
  <si>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</si>
  <si>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</si>
  <si>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</si>
  <si>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</si>
  <si>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</si>
  <si>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</si>
  <si>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</si>
  <si>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</si>
  <si>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</si>
  <si>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</si>
  <si>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</si>
  <si>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</si>
  <si>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</si>
  <si>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</si>
  <si>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</si>
  <si>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</si>
  <si>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</si>
  <si>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</si>
  <si>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</si>
  <si>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</si>
  <si>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</si>
  <si>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</si>
  <si>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</si>
  <si>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</si>
  <si>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</si>
  <si>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</si>
  <si>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</si>
  <si>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</si>
  <si>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</si>
  <si>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</si>
  <si>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</si>
  <si>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</si>
  <si>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</si>
  <si>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</si>
  <si>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</si>
  <si>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</si>
  <si>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</si>
  <si>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</si>
  <si>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</si>
  <si>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</si>
  <si>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</si>
  <si>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</si>
  <si>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</si>
  <si>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</si>
  <si>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</si>
  <si>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</si>
  <si>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</si>
  <si>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</si>
  <si>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</si>
  <si>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</si>
  <si>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</si>
  <si>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</si>
  <si>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</si>
  <si>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</si>
  <si>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</si>
  <si>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</si>
  <si>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</si>
  <si>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</si>
  <si>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</si>
  <si>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</si>
  <si>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</si>
  <si>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</si>
  <si>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</si>
  <si>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</si>
  <si>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</si>
  <si>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</si>
  <si>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</si>
  <si>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</si>
  <si>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</si>
  <si>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</si>
  <si>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</si>
  <si>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</si>
  <si>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</si>
  <si>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</si>
  <si>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</si>
  <si>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</si>
  <si>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</si>
  <si>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</si>
  <si>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</si>
  <si>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</si>
  <si>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</si>
  <si>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</si>
  <si>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</si>
  <si>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</si>
  <si>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</si>
  <si>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</si>
  <si>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</si>
  <si>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</si>
  <si>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</si>
  <si>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</si>
  <si>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</si>
  <si>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</si>
  <si>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</si>
  <si>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</si>
  <si>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</si>
  <si>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</si>
  <si>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</si>
  <si>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</si>
  <si>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</si>
  <si>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</si>
  <si>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</si>
  <si>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</si>
  <si>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</si>
  <si>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</si>
  <si>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</si>
  <si>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</si>
  <si>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</si>
  <si>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</si>
  <si>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</si>
  <si>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</si>
  <si>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</si>
  <si>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</si>
  <si>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</si>
  <si>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</si>
  <si>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</si>
  <si>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</si>
  <si>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</si>
  <si>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</si>
  <si>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</si>
  <si>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</si>
  <si>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</si>
  <si>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</si>
  <si>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</si>
  <si>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</si>
  <si>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</si>
  <si>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</si>
  <si>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</si>
  <si>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</si>
  <si>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</si>
  <si>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</si>
  <si>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</si>
  <si>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</si>
  <si>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</si>
  <si>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</si>
  <si>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</si>
  <si>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</si>
  <si>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</si>
  <si>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</si>
  <si>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</si>
  <si>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</si>
  <si>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</si>
  <si>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</si>
  <si>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</si>
  <si>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</si>
  <si>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</si>
  <si>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</si>
  <si>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</si>
  <si>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</si>
  <si>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</si>
  <si>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</si>
  <si>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</si>
  <si>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</si>
  <si>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</si>
  <si>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</si>
  <si>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</si>
  <si>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</si>
  <si>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</si>
  <si>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</si>
  <si>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</si>
  <si>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</si>
  <si>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</si>
  <si>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</si>
  <si>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</si>
  <si>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</si>
  <si>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</si>
  <si>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</si>
  <si>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</si>
  <si>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</si>
  <si>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</si>
  <si>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</si>
  <si>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</si>
  <si>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</si>
  <si>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</si>
  <si>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</si>
  <si>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</si>
  <si>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</si>
  <si>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</si>
  <si>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</si>
  <si>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</si>
  <si>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</si>
  <si>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</si>
  <si>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</si>
  <si>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</si>
  <si>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</si>
  <si>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</si>
  <si>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</si>
  <si>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</si>
  <si>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</si>
  <si>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</si>
  <si>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</si>
  <si>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</si>
  <si>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</si>
  <si>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</si>
  <si>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</si>
  <si>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</si>
  <si>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</si>
  <si>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</si>
  <si>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</si>
  <si>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</si>
  <si>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</si>
  <si>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</si>
  <si>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</si>
  <si>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</si>
  <si>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</si>
  <si>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</si>
  <si>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</si>
  <si>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</si>
  <si>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</si>
  <si>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</si>
  <si>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</si>
  <si>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</si>
  <si>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</si>
  <si>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</si>
  <si>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</si>
  <si>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</si>
  <si>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</si>
  <si>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</si>
  <si>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</si>
  <si>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</si>
  <si>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</si>
  <si>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</si>
  <si>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</si>
  <si>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</si>
  <si>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</si>
  <si>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</si>
  <si>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</si>
  <si>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</si>
  <si>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</si>
  <si>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</si>
  <si>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</si>
  <si>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</si>
  <si>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</si>
  <si>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</si>
  <si>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</si>
  <si>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</si>
  <si>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</si>
  <si>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</si>
  <si>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</si>
  <si>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</si>
  <si>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</si>
  <si>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</si>
  <si>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</si>
  <si>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</si>
  <si>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</si>
  <si>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</si>
  <si>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</si>
  <si>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</si>
  <si>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</si>
  <si>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</si>
  <si>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</si>
  <si>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</si>
  <si>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</si>
  <si>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</si>
  <si>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</si>
  <si>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</si>
  <si>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</si>
  <si>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</si>
  <si>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</si>
  <si>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</si>
  <si>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</si>
  <si>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</si>
  <si>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</si>
  <si>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</si>
  <si>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</si>
  <si>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</si>
  <si>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</si>
  <si>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</si>
  <si>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</si>
  <si>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</si>
  <si>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</si>
  <si>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</si>
  <si>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</si>
  <si>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</si>
  <si>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</si>
  <si>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</si>
  <si>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</si>
  <si>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</si>
  <si>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</si>
  <si>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</si>
  <si>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</si>
  <si>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</si>
  <si>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</si>
  <si>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</si>
  <si>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</si>
  <si>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</si>
  <si>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</si>
  <si>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</si>
  <si>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</si>
  <si>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</si>
  <si>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</si>
  <si>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</si>
  <si>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</si>
  <si>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</si>
  <si>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</si>
  <si>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</si>
  <si>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</si>
  <si>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</si>
  <si>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</si>
  <si>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</si>
  <si>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</si>
  <si>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</si>
  <si>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</si>
  <si>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</si>
  <si>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</si>
  <si>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</si>
  <si>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</si>
  <si>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</si>
  <si>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</si>
  <si>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</si>
  <si>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</si>
  <si>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</si>
  <si>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</si>
  <si>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</si>
  <si>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</si>
  <si>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</si>
  <si>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</si>
  <si>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</si>
  <si>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</si>
  <si>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</si>
  <si>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</si>
  <si>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</si>
  <si>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</si>
  <si>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</si>
  <si>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</si>
  <si>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</si>
  <si>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</si>
  <si>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</si>
  <si>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</si>
  <si>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</si>
  <si>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</si>
  <si>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</si>
  <si>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</si>
  <si>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</si>
  <si>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</si>
  <si>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</si>
  <si>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</si>
  <si>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</si>
  <si>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</si>
  <si>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</si>
  <si>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</si>
  <si>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</si>
  <si>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</si>
  <si>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</si>
  <si>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</si>
  <si>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</si>
  <si>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</si>
  <si>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</si>
  <si>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</si>
  <si>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</si>
  <si>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</si>
  <si>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</si>
  <si>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</si>
  <si>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</si>
  <si>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</si>
  <si>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</si>
  <si>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</si>
  <si>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</si>
  <si>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</si>
  <si>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</si>
  <si>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</si>
  <si>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</si>
  <si>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</si>
  <si>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</si>
  <si>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</si>
  <si>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</si>
  <si>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</si>
  <si>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</si>
  <si>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</si>
  <si>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</si>
  <si>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</si>
  <si>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</si>
  <si>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</si>
  <si>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</si>
  <si>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</si>
  <si>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</si>
  <si>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</si>
  <si>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</si>
  <si>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</si>
  <si>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</si>
  <si>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</si>
  <si>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</si>
  <si>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</si>
  <si>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</si>
  <si>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</si>
  <si>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</si>
  <si>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</si>
  <si>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</si>
  <si>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</si>
  <si>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</si>
  <si>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</si>
  <si>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</si>
  <si>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</si>
  <si>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</si>
  <si>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</si>
  <si>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</si>
  <si>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</si>
  <si>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</si>
  <si>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</si>
  <si>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</si>
  <si>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</si>
  <si>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</si>
  <si>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</si>
  <si>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</si>
  <si>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</si>
  <si>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</si>
  <si>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</si>
  <si>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</si>
  <si>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</si>
  <si>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</si>
  <si>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</si>
  <si>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</si>
  <si>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</si>
  <si>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</si>
  <si>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</si>
  <si>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</si>
  <si>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</si>
  <si>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</si>
  <si>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</si>
  <si>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</si>
  <si>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</si>
  <si>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</si>
  <si>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</si>
  <si>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</si>
  <si>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</si>
  <si>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</si>
  <si>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</si>
  <si>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</si>
  <si>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</si>
  <si>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</si>
  <si>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</si>
  <si>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</si>
  <si>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</si>
  <si>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</si>
  <si>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</si>
  <si>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</si>
  <si>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</si>
  <si>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</si>
  <si>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</si>
  <si>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</si>
  <si>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</si>
  <si>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</si>
  <si>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</si>
  <si>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</si>
  <si>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</si>
  <si>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</si>
  <si>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</si>
  <si>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</si>
  <si>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</si>
  <si>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</si>
  <si>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</si>
  <si>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</si>
  <si>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</si>
  <si>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</si>
  <si>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</si>
  <si>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</si>
  <si>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</si>
  <si>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</si>
  <si>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</si>
  <si>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</si>
  <si>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</si>
  <si>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</si>
  <si>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</si>
  <si>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</si>
  <si>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</si>
  <si>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</si>
  <si>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</si>
  <si>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</si>
  <si>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</si>
  <si>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</si>
  <si>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</si>
  <si>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</si>
  <si>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</si>
  <si>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</si>
  <si>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</si>
  <si>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</si>
  <si>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</si>
  <si>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</si>
  <si>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</si>
  <si>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</si>
  <si>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</si>
  <si>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</si>
  <si>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</si>
  <si>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</si>
  <si>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</si>
  <si>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</si>
  <si>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</si>
  <si>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</si>
  <si>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</si>
  <si>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</si>
  <si>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</si>
  <si>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</si>
  <si>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</si>
  <si>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</si>
  <si>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</si>
  <si>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</si>
  <si>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</si>
  <si>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</si>
  <si>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</si>
  <si>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</si>
  <si>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</si>
  <si>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</si>
  <si>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</si>
  <si>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</si>
  <si>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</si>
  <si>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</si>
  <si>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</si>
  <si>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</si>
  <si>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</si>
  <si>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</si>
  <si>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</si>
  <si>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</si>
  <si>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</si>
  <si>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</si>
  <si>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</si>
  <si>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</si>
  <si>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</si>
  <si>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</si>
  <si>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</si>
  <si>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</si>
  <si>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</si>
  <si>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</si>
  <si>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</si>
  <si>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</si>
  <si>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</si>
  <si>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</si>
  <si>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</si>
  <si>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</si>
  <si>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</si>
  <si>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</si>
  <si>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</si>
  <si>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</si>
  <si>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</si>
  <si>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</si>
  <si>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</si>
  <si>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</si>
  <si>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</si>
  <si>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</si>
  <si>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</si>
  <si>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</si>
  <si>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</si>
  <si>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</si>
  <si>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</si>
  <si>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</si>
  <si>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</si>
  <si>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</si>
  <si>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</si>
  <si>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</si>
  <si>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</si>
  <si>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</si>
  <si>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</si>
  <si>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</si>
  <si>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</si>
  <si>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</si>
  <si>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</si>
  <si>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</si>
  <si>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</si>
  <si>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</si>
  <si>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</si>
  <si>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</si>
  <si>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</si>
  <si>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</si>
  <si>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</si>
  <si>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</si>
  <si>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</si>
  <si>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</si>
  <si>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</si>
  <si>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</si>
  <si>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</si>
  <si>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</si>
  <si>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</si>
  <si>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</si>
  <si>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</si>
  <si>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</si>
  <si>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</si>
  <si>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</si>
  <si>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</si>
  <si>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</si>
  <si>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</si>
  <si>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</si>
  <si>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</si>
  <si>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</si>
  <si>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</si>
  <si>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</si>
  <si>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</si>
  <si>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</si>
  <si>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</si>
  <si>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</si>
  <si>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</si>
  <si>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</si>
  <si>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</si>
  <si>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</si>
  <si>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</si>
  <si>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</si>
  <si>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</si>
  <si>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</si>
  <si>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</si>
  <si>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</si>
  <si>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</si>
  <si>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</si>
  <si>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</si>
  <si>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</si>
  <si>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</si>
  <si>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</si>
  <si>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</si>
  <si>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</si>
  <si>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</si>
  <si>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</si>
  <si>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</si>
  <si>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</si>
  <si>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</si>
  <si>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</si>
  <si>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</si>
  <si>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</si>
  <si>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</si>
  <si>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</si>
  <si>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</si>
  <si>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</si>
  <si>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</si>
  <si>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</si>
  <si>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</si>
  <si>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</si>
  <si>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</si>
  <si>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</si>
  <si>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</si>
  <si>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</si>
  <si>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</si>
  <si>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</si>
  <si>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</si>
  <si>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</si>
  <si>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</si>
  <si>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</si>
  <si>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</si>
  <si>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</si>
  <si>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</si>
  <si>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</si>
  <si>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</si>
  <si>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</si>
  <si>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</si>
  <si>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</si>
  <si>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</si>
  <si>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</si>
  <si>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</si>
  <si>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</si>
  <si>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</si>
  <si>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</si>
  <si>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</si>
  <si>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</si>
  <si>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</si>
  <si>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</si>
  <si>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</si>
  <si>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</si>
  <si>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</si>
  <si>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</si>
  <si>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</si>
  <si>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</si>
  <si>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</si>
  <si>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</si>
  <si>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</si>
  <si>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</si>
  <si>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</si>
  <si>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</si>
  <si>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</si>
  <si>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</si>
  <si>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</si>
  <si>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</si>
  <si>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</si>
  <si>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</si>
  <si>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</si>
  <si>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</si>
  <si>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</si>
  <si>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</si>
  <si>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</si>
  <si>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</si>
  <si>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</si>
  <si>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</si>
  <si>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</si>
  <si>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</si>
  <si>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</si>
  <si>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</si>
  <si>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</si>
  <si>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</si>
  <si>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</si>
  <si>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</si>
  <si>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</si>
  <si>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</si>
  <si>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</si>
  <si>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</si>
  <si>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</si>
  <si>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</si>
  <si>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</si>
  <si>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</si>
  <si>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</si>
  <si>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</si>
  <si>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</si>
  <si>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</si>
  <si>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</si>
  <si>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</si>
  <si>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</si>
  <si>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</si>
  <si>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</si>
  <si>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</si>
  <si>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</si>
  <si>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</si>
  <si>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</si>
  <si>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</si>
  <si>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</si>
  <si>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</si>
  <si>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</si>
  <si>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</si>
  <si>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</si>
  <si>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</si>
  <si>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</si>
  <si>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</si>
  <si>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</si>
  <si>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</si>
  <si>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</si>
  <si>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</si>
  <si>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</si>
  <si>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</si>
  <si>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</si>
  <si>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</si>
  <si>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</si>
  <si>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</si>
  <si>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</si>
  <si>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</si>
  <si>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</si>
  <si>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</si>
  <si>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</si>
  <si>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</si>
  <si>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</si>
  <si>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</si>
  <si>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</si>
  <si>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</si>
  <si>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</si>
  <si>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</si>
  <si>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</si>
  <si>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</si>
  <si>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</si>
  <si>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</si>
  <si>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</si>
  <si>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</si>
  <si>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</si>
  <si>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</si>
  <si>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</si>
  <si>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</si>
  <si>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</si>
  <si>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</si>
  <si>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</si>
  <si>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</si>
  <si>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</si>
  <si>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</si>
  <si>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</si>
  <si>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</si>
  <si>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</si>
  <si>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</si>
  <si>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</si>
  <si>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</si>
  <si>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</si>
  <si>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</si>
  <si>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</si>
  <si>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</si>
  <si>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</si>
  <si>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</si>
  <si>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</si>
  <si>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</si>
  <si>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</si>
  <si>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</si>
  <si>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</si>
  <si>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</si>
  <si>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</si>
  <si>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</si>
  <si>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</si>
  <si>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</si>
  <si>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</si>
  <si>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</si>
  <si>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</si>
  <si>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</si>
  <si>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</si>
  <si>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</si>
  <si>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</si>
  <si>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</si>
  <si>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</si>
  <si>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</si>
  <si>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</si>
  <si>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</si>
  <si>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</si>
  <si>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</si>
  <si>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</si>
  <si>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</si>
  <si>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</si>
  <si>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</si>
  <si>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</si>
  <si>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</si>
  <si>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</si>
  <si>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</si>
  <si>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</si>
  <si>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</si>
  <si>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</si>
  <si>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</si>
  <si>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</si>
  <si>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</si>
  <si>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</si>
  <si>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</si>
  <si>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</si>
  <si>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</si>
  <si>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</si>
  <si>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</si>
  <si>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</si>
  <si>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</si>
  <si>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</si>
  <si>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</si>
  <si>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</si>
  <si>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</si>
  <si>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</si>
  <si>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</si>
  <si>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</si>
  <si>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</si>
  <si>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</si>
  <si>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</si>
  <si>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</si>
  <si>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</si>
  <si>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</si>
  <si>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</si>
  <si>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</si>
  <si>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</si>
  <si>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</si>
  <si>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</si>
  <si>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</si>
  <si>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</si>
  <si>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</si>
  <si>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</si>
  <si>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</si>
  <si>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</si>
  <si>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</si>
  <si>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</si>
  <si>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</si>
  <si>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</si>
  <si>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</si>
  <si>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</si>
  <si>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</si>
  <si>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</si>
  <si>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</si>
  <si>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</si>
  <si>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</si>
  <si>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</si>
  <si>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</si>
  <si>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</si>
  <si>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</si>
  <si>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</si>
  <si>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</si>
  <si>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</si>
  <si>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</si>
  <si>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</si>
  <si>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</si>
  <si>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</si>
  <si>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</si>
  <si>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</si>
  <si>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</si>
  <si>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</si>
  <si>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</si>
  <si>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</si>
  <si>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</si>
  <si>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</si>
  <si>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</si>
  <si>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</si>
  <si>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</si>
  <si>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</si>
  <si>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</si>
  <si>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</si>
  <si>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</si>
  <si>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</si>
  <si>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</si>
  <si>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</si>
  <si>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</si>
  <si>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</si>
  <si>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</si>
  <si>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</si>
  <si>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</si>
  <si>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</si>
  <si>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</si>
  <si>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</si>
  <si>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</si>
  <si>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</si>
  <si>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</si>
  <si>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</si>
  <si>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</si>
  <si>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</si>
  <si>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</si>
  <si>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</si>
  <si>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</si>
  <si>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</si>
  <si>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</si>
  <si>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</si>
  <si>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</si>
  <si>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</si>
  <si>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</si>
  <si>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</si>
  <si>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</si>
  <si>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</si>
  <si>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</si>
  <si>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</si>
  <si>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</si>
  <si>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</si>
  <si>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</si>
  <si>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</si>
  <si>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</si>
  <si>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</si>
  <si>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</si>
  <si>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</si>
  <si>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</si>
  <si>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</si>
  <si>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</si>
  <si>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</si>
  <si>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</si>
  <si>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</si>
  <si>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</si>
  <si>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</si>
  <si>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</si>
  <si>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</si>
  <si>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</si>
  <si>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</si>
  <si>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</si>
  <si>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</si>
  <si>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</si>
  <si>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</si>
  <si>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</si>
  <si>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</si>
  <si>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</si>
  <si>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</si>
  <si>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</si>
  <si>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</si>
  <si>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</si>
  <si>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</si>
  <si>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</si>
  <si>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</si>
  <si>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</si>
  <si>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</si>
  <si>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</si>
  <si>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</si>
  <si>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</si>
  <si>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</si>
  <si>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</si>
  <si>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</si>
  <si>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</si>
  <si>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</si>
  <si>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</si>
  <si>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</si>
  <si>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</si>
  <si>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</si>
  <si>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</si>
  <si>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</si>
  <si>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</si>
  <si>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</si>
  <si>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</si>
  <si>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</si>
  <si>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</si>
  <si>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</si>
  <si>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</si>
  <si>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</si>
  <si>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</si>
  <si>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</si>
  <si>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</si>
  <si>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</si>
  <si>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</si>
  <si>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</si>
  <si>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</si>
  <si>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</si>
  <si>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</si>
  <si>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</si>
  <si>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</si>
  <si>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</si>
  <si>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</si>
  <si>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</si>
  <si>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</si>
  <si>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</si>
  <si>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</si>
  <si>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</si>
  <si>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</si>
  <si>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</si>
  <si>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</si>
  <si>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</si>
  <si>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</si>
  <si>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</si>
  <si>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</si>
  <si>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</si>
  <si>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</si>
  <si>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</si>
  <si>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</si>
  <si>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</si>
  <si>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</si>
  <si>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</si>
  <si>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</si>
  <si>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</si>
  <si>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</si>
  <si>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</si>
  <si>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</si>
  <si>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</si>
  <si>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</si>
  <si>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</si>
  <si>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</si>
  <si>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</si>
  <si>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</si>
  <si>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</si>
  <si>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</si>
  <si>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</si>
  <si>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</si>
  <si>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</si>
  <si>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</si>
  <si>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</si>
  <si>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</si>
  <si>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</si>
  <si>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</si>
  <si>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</si>
  <si>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</si>
  <si>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</si>
  <si>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</si>
  <si>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</si>
  <si>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</si>
  <si>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</si>
  <si>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</si>
  <si>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</si>
  <si>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</si>
  <si>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</si>
  <si>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</si>
  <si>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</si>
  <si>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</si>
  <si>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</si>
  <si>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</si>
  <si>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</si>
  <si>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</si>
  <si>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</si>
  <si>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</si>
  <si>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</si>
  <si>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</si>
  <si>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</si>
  <si>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</si>
  <si>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</si>
  <si>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</si>
  <si>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</si>
  <si>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</si>
  <si>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</si>
  <si>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</si>
  <si>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</si>
  <si>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</si>
  <si>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</si>
  <si>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</si>
  <si>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</si>
  <si>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</si>
  <si>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</si>
  <si>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</si>
  <si>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</si>
  <si>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</si>
  <si>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</si>
  <si>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</si>
  <si>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</si>
  <si>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</si>
  <si>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</si>
  <si>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</si>
  <si>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</si>
  <si>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</si>
  <si>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</si>
  <si>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</si>
  <si>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</si>
  <si>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</si>
  <si>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</si>
  <si>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</si>
  <si>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</si>
  <si>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</si>
  <si>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</si>
  <si>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</si>
  <si>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</si>
  <si>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</si>
  <si>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</si>
  <si>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</si>
  <si>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</si>
  <si>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</si>
  <si>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</si>
  <si>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</si>
  <si>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</si>
  <si>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</si>
  <si>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</si>
  <si>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</si>
  <si>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</si>
  <si>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</si>
  <si>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</si>
  <si>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</si>
  <si>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</si>
  <si>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</si>
  <si>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</si>
  <si>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</si>
  <si>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</si>
  <si>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</si>
  <si>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</si>
  <si>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</si>
  <si>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</si>
  <si>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</si>
  <si>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</si>
  <si>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</si>
  <si>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</si>
  <si>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</si>
  <si>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</si>
  <si>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</si>
  <si>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</si>
  <si>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</si>
  <si>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</si>
  <si>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</si>
  <si>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</si>
  <si>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</si>
  <si>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</si>
  <si>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</si>
  <si>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</si>
  <si>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</si>
  <si>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</si>
  <si>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</si>
  <si>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</si>
  <si>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</si>
  <si>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</si>
  <si>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</si>
  <si>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</si>
  <si>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</si>
  <si>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</si>
  <si>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</si>
  <si>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</si>
  <si>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</si>
  <si>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</si>
  <si>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</si>
  <si>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</si>
  <si>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</si>
  <si>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</si>
  <si>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</si>
  <si>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</si>
  <si>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</si>
  <si>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</si>
  <si>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</si>
  <si>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</si>
  <si>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</si>
  <si>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</si>
  <si>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</si>
  <si>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</si>
  <si>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</si>
  <si>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</si>
  <si>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</si>
  <si>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</si>
  <si>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</si>
  <si>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</si>
  <si>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</si>
  <si>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</si>
  <si>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</si>
  <si>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</si>
  <si>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</si>
  <si>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</si>
  <si>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</si>
  <si>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</si>
  <si>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</si>
  <si>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</si>
  <si>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</si>
  <si>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</si>
  <si>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</si>
  <si>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</si>
  <si>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</si>
  <si>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</si>
  <si>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</si>
  <si>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</si>
  <si>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</si>
  <si>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</si>
  <si>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</si>
  <si>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</si>
  <si>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</si>
  <si>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</si>
  <si>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</si>
  <si>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</si>
  <si>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</si>
  <si>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</si>
  <si>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</si>
  <si>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</si>
  <si>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</si>
  <si>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</si>
  <si>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</si>
  <si>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</si>
  <si>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</si>
  <si>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</si>
  <si>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</si>
  <si>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</si>
  <si>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</si>
  <si>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</si>
  <si>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</si>
  <si>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</si>
  <si>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</si>
  <si>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</si>
  <si>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</si>
  <si>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</si>
  <si>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</si>
  <si>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</si>
  <si>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</si>
  <si>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</si>
  <si>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</si>
  <si>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</si>
  <si>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</si>
  <si>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</si>
  <si>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</si>
  <si>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</si>
  <si>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</si>
  <si>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</si>
  <si>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</si>
  <si>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</si>
  <si>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</si>
  <si>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</si>
  <si>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</si>
  <si>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</si>
  <si>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</si>
  <si>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</si>
  <si>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</si>
  <si>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</si>
  <si>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</si>
  <si>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</si>
  <si>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</si>
  <si>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</si>
  <si>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</si>
  <si>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</si>
  <si>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</si>
  <si>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</si>
  <si>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</si>
  <si>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</si>
  <si>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</si>
  <si>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</si>
  <si>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</si>
  <si>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</si>
  <si>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</si>
  <si>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</si>
  <si>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</si>
  <si>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</si>
  <si>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</si>
  <si>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</si>
  <si>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</si>
  <si>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</si>
  <si>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</si>
  <si>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</si>
  <si>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</si>
  <si>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</si>
  <si>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</si>
  <si>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</si>
  <si>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</si>
  <si>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</si>
  <si>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</si>
  <si>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</si>
  <si>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</si>
  <si>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</si>
  <si>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</si>
  <si>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</si>
  <si>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</si>
  <si>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</si>
  <si>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</si>
  <si>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</si>
  <si>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</si>
  <si>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</si>
  <si>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</si>
  <si>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</si>
  <si>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</si>
  <si>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</si>
  <si>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</si>
  <si>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</si>
  <si>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</si>
  <si>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</si>
  <si>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</si>
  <si>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</si>
  <si>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</si>
  <si>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</si>
  <si>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</si>
  <si>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</si>
  <si>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</si>
  <si>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</si>
  <si>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</si>
  <si>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</si>
  <si>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</si>
  <si>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</si>
  <si>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</si>
  <si>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</si>
  <si>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</si>
  <si>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</si>
  <si>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</si>
  <si>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</si>
  <si>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</si>
  <si>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</si>
  <si>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</si>
  <si>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</si>
  <si>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</si>
  <si>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</si>
  <si>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</si>
  <si>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</si>
  <si>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</si>
  <si>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</si>
  <si>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</si>
  <si>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</si>
  <si>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</si>
  <si>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</si>
  <si>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</si>
  <si>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</si>
  <si>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</si>
  <si>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</si>
  <si>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</si>
  <si>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</si>
  <si>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</si>
  <si>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</si>
  <si>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</si>
  <si>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</si>
  <si>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</si>
  <si>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</si>
  <si>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</si>
  <si>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</si>
  <si>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</si>
  <si>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</si>
  <si>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</si>
  <si>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</si>
  <si>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</si>
  <si>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</si>
  <si>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</si>
  <si>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</si>
  <si>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</si>
  <si>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</si>
  <si>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</si>
  <si>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</si>
  <si>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</si>
  <si>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</si>
  <si>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</si>
  <si>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</si>
  <si>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</si>
  <si>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</si>
  <si>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</si>
  <si>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</si>
  <si>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</si>
  <si>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</si>
  <si>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</si>
  <si>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</si>
  <si>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</si>
  <si>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</si>
  <si>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</si>
  <si>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</si>
  <si>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</si>
  <si>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</si>
  <si>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</si>
  <si>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</si>
  <si>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</si>
  <si>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</si>
  <si>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</si>
  <si>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</si>
  <si>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</si>
  <si>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</si>
  <si>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</si>
  <si>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</si>
  <si>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</si>
  <si>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</si>
  <si>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</si>
  <si>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</si>
  <si>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</si>
  <si>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</si>
  <si>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</si>
  <si>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</si>
  <si>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</si>
  <si>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</si>
  <si>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</si>
  <si>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</si>
  <si>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</si>
  <si>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</si>
  <si>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</si>
  <si>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</si>
  <si>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</si>
  <si>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</si>
  <si>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</si>
  <si>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</si>
  <si>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</si>
  <si>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</si>
  <si>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</si>
  <si>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</si>
  <si>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</si>
  <si>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</si>
  <si>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</si>
  <si>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</si>
  <si>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</si>
  <si>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</si>
  <si>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</si>
  <si>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</si>
  <si>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</si>
  <si>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</si>
  <si>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</si>
  <si>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</si>
  <si>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</si>
  <si>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</si>
  <si>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</si>
  <si>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</si>
  <si>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</si>
  <si>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</si>
  <si>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</si>
  <si>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</si>
  <si>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</si>
  <si>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</si>
  <si>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</si>
  <si>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</si>
  <si>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</si>
  <si>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</si>
  <si>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</si>
  <si>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</si>
  <si>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</si>
  <si>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</si>
  <si>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</si>
  <si>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</si>
  <si>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</si>
  <si>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</si>
  <si>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</si>
  <si>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</si>
  <si>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</si>
  <si>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</si>
  <si>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</si>
  <si>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</si>
  <si>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</si>
  <si>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</si>
  <si>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</si>
  <si>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</si>
  <si>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</si>
  <si>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</si>
  <si>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</si>
  <si>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</si>
  <si>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</si>
  <si>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</si>
  <si>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</si>
  <si>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</si>
  <si>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</si>
  <si>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</si>
  <si>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</si>
  <si>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</si>
  <si>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</si>
  <si>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</si>
  <si>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</si>
  <si>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</si>
  <si>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</si>
  <si>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</si>
  <si>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</si>
  <si>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</si>
  <si>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</si>
  <si>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</si>
  <si>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</si>
  <si>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</si>
  <si>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</si>
  <si>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</si>
  <si>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</si>
  <si>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</si>
  <si>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Ended Conversion</t>
  </si>
  <si>
    <t>Date Created Conversion</t>
  </si>
  <si>
    <t>All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</si>
  <si>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</si>
  <si>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</si>
  <si>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</si>
  <si>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</si>
  <si>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</si>
  <si>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</si>
  <si>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</si>
  <si>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</si>
  <si>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</si>
  <si>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</si>
  <si>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</si>
  <si>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</si>
  <si>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</si>
  <si>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</si>
  <si>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</si>
  <si>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</si>
  <si>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</si>
  <si>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</si>
  <si>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</si>
  <si>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</si>
  <si>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Month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</si>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</sst>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" fontId="0" fillId="0" borderId="0" xfId="0" applyNumberFormat="1"/>
    <xf numFmtId="14" fontId="1" fillId="0" borderId="0" xfId="0" applyNumberFormat="1" applyFont="1" applyAlignment="1">
      <alignment horizontal="center" wrapText="1"/>
    </xf>
  </cellXfs>
  <cellStyles count="3">
    <cellStyle name="Currency" xfId="1" builtinId="4"/>
    <cellStyle name="Normal" xfId="0" builtinId="0"/>
    <cellStyle name="Percent" xfId="2" builtinId="5"/>
  </cellStyles>
  <dxfs count="15"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13" formatCode="0%"/>
    </dxf>
    <dxf>
      <numFmt numFmtId="19" formatCode="m/d/yyyy"/>
    </dxf>
    <dxf>
      <numFmt numFmtId="0" formatCode="General"/>
    </dxf>
    <dxf>
      <numFmt numFmtId="19" formatCode="m/d/yyyy"/>
    </dxf>
    <dxf>
      <numFmt numFmtId="19" formatCode="m/d/yyyy"/>
    </dxf>
    <dxf>
      <numFmt numFmtId="1" formatCode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MDJ edit.xlsx]Category and Subcategory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Performance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and Subcategory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and Subcategory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Subcategory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EC-4391-8378-AC8D2ADFA888}"/>
            </c:ext>
          </c:extLst>
        </c:ser>
        <c:ser>
          <c:idx val="1"/>
          <c:order val="1"/>
          <c:tx>
            <c:strRef>
              <c:f>'Category and Subcategory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and Subcategory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Subcategory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EC-4391-8378-AC8D2ADFA888}"/>
            </c:ext>
          </c:extLst>
        </c:ser>
        <c:ser>
          <c:idx val="2"/>
          <c:order val="2"/>
          <c:tx>
            <c:strRef>
              <c:f>'Category and Subcategory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and Subcategory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Subcategory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EC-4391-8378-AC8D2ADFA888}"/>
            </c:ext>
          </c:extLst>
        </c:ser>
        <c:ser>
          <c:idx val="3"/>
          <c:order val="3"/>
          <c:tx>
            <c:strRef>
              <c:f>'Category and Subcategory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and Subcategory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Subcategory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EC-4391-8378-AC8D2ADFA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7013936"/>
        <c:axId val="447015216"/>
      </c:barChart>
      <c:catAx>
        <c:axId val="447013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015216"/>
        <c:crosses val="autoZero"/>
        <c:auto val="1"/>
        <c:lblAlgn val="ctr"/>
        <c:lblOffset val="100"/>
        <c:noMultiLvlLbl val="0"/>
      </c:catAx>
      <c:valAx>
        <c:axId val="44701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01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MDJ edit.xlsx]Category and Subcategory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Performance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and Subcategory Pivot'!$B$23:$B$24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and Subcategory Pivot'!$A$25:$A$66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and Subcategory Pivot'!$B$25:$B$66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C6-45ED-AAE7-0868ECC7DAB2}"/>
            </c:ext>
          </c:extLst>
        </c:ser>
        <c:ser>
          <c:idx val="1"/>
          <c:order val="1"/>
          <c:tx>
            <c:strRef>
              <c:f>'Category and Subcategory Pivot'!$C$23:$C$24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and Subcategory Pivot'!$A$25:$A$66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and Subcategory Pivot'!$C$25:$C$66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C6-45ED-AAE7-0868ECC7DAB2}"/>
            </c:ext>
          </c:extLst>
        </c:ser>
        <c:ser>
          <c:idx val="2"/>
          <c:order val="2"/>
          <c:tx>
            <c:strRef>
              <c:f>'Category and Subcategory Pivot'!$D$23:$D$24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and Subcategory Pivot'!$A$25:$A$66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and Subcategory Pivot'!$D$25:$D$66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C6-45ED-AAE7-0868ECC7DAB2}"/>
            </c:ext>
          </c:extLst>
        </c:ser>
        <c:ser>
          <c:idx val="3"/>
          <c:order val="3"/>
          <c:tx>
            <c:strRef>
              <c:f>'Category and Subcategory Pivot'!$E$23:$E$24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and Subcategory Pivot'!$A$25:$A$66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and Subcategory Pivot'!$E$25:$E$66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C6-45ED-AAE7-0868ECC7D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1421176"/>
        <c:axId val="531424056"/>
      </c:barChart>
      <c:catAx>
        <c:axId val="531421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24056"/>
        <c:crosses val="autoZero"/>
        <c:auto val="1"/>
        <c:lblAlgn val="ctr"/>
        <c:lblOffset val="100"/>
        <c:noMultiLvlLbl val="0"/>
      </c:catAx>
      <c:valAx>
        <c:axId val="53142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21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MDJ edit.xlsx]Date Pivot!DatePivot Table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KickStarted</a:t>
            </a:r>
            <a:r>
              <a:rPr lang="en-US" baseline="0"/>
              <a:t> Project By Month Started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B3-4A77-9D32-8C0DB6FBA268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B3-4A77-9D32-8C0DB6FBA268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B3-4A77-9D32-8C0DB6FBA268}"/>
            </c:ext>
          </c:extLst>
        </c:ser>
        <c:ser>
          <c:idx val="3"/>
          <c:order val="3"/>
          <c:tx>
            <c:strRef>
              <c:f>'Date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'Date 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B3-4A77-9D32-8C0DB6FBA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1898040"/>
        <c:axId val="731899000"/>
      </c:lineChart>
      <c:catAx>
        <c:axId val="731898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Started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99000"/>
        <c:crosses val="autoZero"/>
        <c:auto val="1"/>
        <c:lblAlgn val="ctr"/>
        <c:lblOffset val="100"/>
        <c:noMultiLvlLbl val="0"/>
      </c:catAx>
      <c:valAx>
        <c:axId val="73189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98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Performance by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A1-4785-BE0F-85B52472848D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A1-4785-BE0F-85B52472848D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A1-4785-BE0F-85B524728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1895480"/>
        <c:axId val="731900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5A1-4785-BE0F-85B52472848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5A1-4785-BE0F-85B52472848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5A1-4785-BE0F-85B52472848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5A1-4785-BE0F-85B52472848D}"/>
                  </c:ext>
                </c:extLst>
              </c15:ser>
            </c15:filteredLineSeries>
          </c:ext>
        </c:extLst>
      </c:lineChart>
      <c:catAx>
        <c:axId val="731895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00600"/>
        <c:crosses val="autoZero"/>
        <c:auto val="1"/>
        <c:lblAlgn val="ctr"/>
        <c:lblOffset val="100"/>
        <c:noMultiLvlLbl val="0"/>
      </c:catAx>
      <c:valAx>
        <c:axId val="73190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95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0</xdr:row>
      <xdr:rowOff>0</xdr:rowOff>
    </xdr:from>
    <xdr:to>
      <xdr:col>17</xdr:col>
      <xdr:colOff>68580</xdr:colOff>
      <xdr:row>19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3C0951-89A8-4982-BBC3-9532DF6002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</xdr:colOff>
      <xdr:row>20</xdr:row>
      <xdr:rowOff>68580</xdr:rowOff>
    </xdr:from>
    <xdr:to>
      <xdr:col>18</xdr:col>
      <xdr:colOff>533400</xdr:colOff>
      <xdr:row>42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C80844-2760-40BA-BE47-604063CFE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15240</xdr:rowOff>
    </xdr:from>
    <xdr:to>
      <xdr:col>16</xdr:col>
      <xdr:colOff>297180</xdr:colOff>
      <xdr:row>20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EAC43D-6862-41A8-8B8C-8690B207A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144780</xdr:rowOff>
    </xdr:from>
    <xdr:to>
      <xdr:col>9</xdr:col>
      <xdr:colOff>220980</xdr:colOff>
      <xdr:row>31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E48B62-DAC9-4B3B-A290-7AF3A75B9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egan Jones" id="{48252566-5874-4F33-8CF7-153CC7FC9E54}" userId="a6c8dc3d867d216b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Jones" refreshedDate="43520.560760995373" createdVersion="6" refreshedVersion="6" minRefreshableVersion="3" recordCount="4114" xr:uid="{14327577-506B-4FD0-9E70-64CA822A1DAB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09" maxValue="201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egan Jones" refreshedDate="43520.561713541669" backgroundQuery="1" createdVersion="6" refreshedVersion="6" minRefreshableVersion="3" recordCount="0" supportSubquery="1" supportAdvancedDrill="1" xr:uid="{38CF7201-EB4E-4ED4-915B-68B4F8498D37}">
  <cacheSource type="external" connectionId="1"/>
  <cacheFields count="5">
    <cacheField name="[Table1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24" level="32767"/>
    <cacheField name="[Table1].[Category].[Category]" caption="Category" numFmtId="0" hierarchy="20" level="1">
      <sharedItems containsSemiMixedTypes="0" containsNonDate="0" containsString="0"/>
    </cacheField>
    <cacheField name="[Table1].[Month].[Month]" caption="Month" numFmtId="0" hierarchy="12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Table1].[Month].&amp;[1]"/>
            <x15:cachedUniqueName index="1" name="[Table1].[Month].&amp;[2]"/>
            <x15:cachedUniqueName index="2" name="[Table1].[Month].&amp;[3]"/>
            <x15:cachedUniqueName index="3" name="[Table1].[Month].&amp;[4]"/>
            <x15:cachedUniqueName index="4" name="[Table1].[Month].&amp;[5]"/>
            <x15:cachedUniqueName index="5" name="[Table1].[Month].&amp;[6]"/>
            <x15:cachedUniqueName index="6" name="[Table1].[Month].&amp;[7]"/>
            <x15:cachedUniqueName index="7" name="[Table1].[Month].&amp;[8]"/>
            <x15:cachedUniqueName index="8" name="[Table1].[Month].&amp;[9]"/>
            <x15:cachedUniqueName index="9" name="[Table1].[Month].&amp;[10]"/>
            <x15:cachedUniqueName index="10" name="[Table1].[Month].&amp;[11]"/>
            <x15:cachedUniqueName index="11" name="[Table1].[Month].&amp;[12]"/>
          </x15:cachedUniqueNames>
        </ext>
      </extLst>
    </cacheField>
    <cacheField name="[Table1].[Year].[Year]" caption="Year" numFmtId="0" hierarchy="13" level="1">
      <sharedItems containsSemiMixedTypes="0" containsNonDate="0" containsString="0"/>
    </cacheField>
  </cacheFields>
  <cacheHierarchies count="25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blurb]" caption="blurb" attribute="1" defaultMemberUniqueName="[Table1].[blurb].[All]" allUniqueName="[Table1].[blurb].[All]" dimensionUniqueName="[Table1]" displayFolder="" count="0" memberValueDatatype="130" unbalanced="0"/>
    <cacheHierarchy uniqueName="[Table1].[goal]" caption="goal" attribute="1" defaultMemberUniqueName="[Table1].[goal].[All]" allUniqueName="[Table1].[goal].[All]" dimensionUniqueName="[Table1]" displayFolder="" count="0" memberValueDatatype="5" unbalanced="0"/>
    <cacheHierarchy uniqueName="[Table1].[pledged]" caption="pledged" attribute="1" defaultMemberUniqueName="[Table1].[pledged].[All]" allUniqueName="[Table1].[pledged].[All]" dimensionUniqueName="[Table1]" displayFolder="" count="0" memberValueDatatype="5" unbalanced="0"/>
    <cacheHierarchy uniqueName="[Table1].[state]" caption="state" attribute="1" defaultMemberUniqueName="[Table1].[state].[All]" allUniqueName="[Table1].[stat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urrency]" caption="currency" attribute="1" defaultMemberUniqueName="[Table1].[currency].[All]" allUniqueName="[Table1].[currency].[All]" dimensionUniqueName="[Table1]" displayFolder="" count="0" memberValueDatatype="130" unbalanced="0"/>
    <cacheHierarchy uniqueName="[Table1].[deadline]" caption="deadline" attribute="1" defaultMemberUniqueName="[Table1].[deadline].[All]" allUniqueName="[Table1].[deadline].[All]" dimensionUniqueName="[Table1]" displayFolder="" count="0" memberValueDatatype="20" unbalanced="0"/>
    <cacheHierarchy uniqueName="[Table1].[Date Ended Conversion]" caption="Date Ended Conversion" attribute="1" time="1" defaultMemberUniqueName="[Table1].[Date Ended Conversion].[All]" allUniqueName="[Table1].[Date Ended Conversion].[All]" dimensionUniqueName="[Table1]" displayFolder="" count="0" memberValueDatatype="7" unbalanced="0"/>
    <cacheHierarchy uniqueName="[Table1].[launched_at]" caption="launched_at" attribute="1" defaultMemberUniqueName="[Table1].[launched_at].[All]" allUniqueName="[Table1].[launched_at].[All]" dimensionUniqueName="[Table1]" displayFolder="" count="0" memberValueDatatype="20" unbalanced="0"/>
    <cacheHierarchy uniqueName="[Table1].[Date Created Conversion]" caption="Date Created Conversion" attribute="1" time="1" defaultMemberUniqueName="[Table1].[Date Created Conversion].[All]" allUniqueName="[Table1].[Date Created Conversion].[All]" dimensionUniqueName="[Table1]" displayFolder="" count="0" memberValueDatatype="7" unbalanced="0"/>
    <cacheHierarchy uniqueName="[Table1].[Month]" caption="Month" attribute="1" defaultMemberUniqueName="[Table1].[Month].[All]" allUniqueName="[Table1].[Month].[All]" dimensionUniqueName="[Table1]" displayFolder="" count="2" memberValueDatatype="20" unbalanced="0">
      <fieldsUsage count="2">
        <fieldUsage x="-1"/>
        <fieldUsage x="3"/>
      </fieldsUsage>
    </cacheHierarchy>
    <cacheHierarchy uniqueName="[Table1].[Year]" caption="Year" attribute="1" defaultMemberUniqueName="[Table1].[Year].[All]" allUniqueName="[Table1].[Year].[All]" dimensionUniqueName="[Table1]" displayFolder="" count="2" memberValueDatatype="20" unbalanced="0">
      <fieldsUsage count="2">
        <fieldUsage x="-1"/>
        <fieldUsage x="4"/>
      </fieldsUsage>
    </cacheHierarchy>
    <cacheHierarchy uniqueName="[Table1].[staff_pick]" caption="staff_pick" attribute="1" defaultMemberUniqueName="[Table1].[staff_pick].[All]" allUniqueName="[Table1].[staff_pick].[All]" dimensionUniqueName="[Table1]" displayFolder="" count="0" memberValueDatatype="11" unbalanced="0"/>
    <cacheHierarchy uniqueName="[Table1].[backers_count]" caption="backers_count" attribute="1" defaultMemberUniqueName="[Table1].[backers_count].[All]" allUniqueName="[Table1].[backers_count].[All]" dimensionUniqueName="[Table1]" displayFolder="" count="0" memberValueDatatype="20" unbalanced="0"/>
    <cacheHierarchy uniqueName="[Table1].[spotlight]" caption="spotlight" attribute="1" defaultMemberUniqueName="[Table1].[spotlight].[All]" allUniqueName="[Table1].[spotlight].[All]" dimensionUniqueName="[Table1]" displayFolder="" count="0" memberValueDatatype="11" unbalanced="0"/>
    <cacheHierarchy uniqueName="[Table1].[Category and Sub-Category]" caption="Category and Sub-Category" attribute="1" defaultMemberUniqueName="[Table1].[Category and Sub-Category].[All]" allUniqueName="[Table1].[Category and Sub-Category].[All]" dimensionUniqueName="[Table1]" displayFolder="" count="0" memberValueDatatype="130" unbalanced="0"/>
    <cacheHierarchy uniqueName="[Table1].[Percent Funded]" caption="Percent Funded" attribute="1" defaultMemberUniqueName="[Table1].[Percent Funded].[All]" allUniqueName="[Table1].[Percent Funded].[All]" dimensionUniqueName="[Table1]" displayFolder="" count="0" memberValueDatatype="5" unbalanced="0"/>
    <cacheHierarchy uniqueName="[Table1].[Average Donation]" caption="Average Donation" attribute="1" defaultMemberUniqueName="[Table1].[Average Donation].[All]" allUniqueName="[Table1].[Average Donation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Subcategory]" caption="Subcategory" attribute="1" defaultMemberUniqueName="[Table1].[Subcategory].[All]" allUniqueName="[Table1].[Subcategory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n v="6"/>
    <n v="2015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n v="1"/>
    <n v="2017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n v="2"/>
    <n v="2016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n v="7"/>
    <n v="2014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n v="11"/>
    <n v="2015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n v="7"/>
    <n v="2016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n v="6"/>
    <n v="2014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n v="5"/>
    <n v="2016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n v="4"/>
    <n v="2016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n v="3"/>
    <n v="2016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n v="5"/>
    <n v="2014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n v="7"/>
    <n v="2016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n v="6"/>
    <n v="2014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n v="5"/>
    <n v="2016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n v="6"/>
    <n v="20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n v="9"/>
    <n v="20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n v="5"/>
    <n v="2014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n v="10"/>
    <n v="2014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n v="8"/>
    <n v="2014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n v="6"/>
    <n v="2015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n v="7"/>
    <n v="2015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n v="8"/>
    <n v="2014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n v="12"/>
    <n v="2014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n v="4"/>
    <n v="2015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n v="8"/>
    <n v="2015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n v="11"/>
    <n v="201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n v="7"/>
    <n v="201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n v="10"/>
    <n v="2014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n v="11"/>
    <n v="2015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n v="6"/>
    <n v="2014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n v="7"/>
    <n v="2014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n v="1"/>
    <n v="2016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n v="4"/>
    <n v="2016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n v="10"/>
    <n v="2015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n v="7"/>
    <n v="201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n v="4"/>
    <n v="201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n v="3"/>
    <n v="201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n v="1"/>
    <n v="2015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n v="4"/>
    <n v="2013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n v="4"/>
    <n v="2014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n v="5"/>
    <n v="2014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n v="9"/>
    <n v="20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n v="11"/>
    <n v="2014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n v="6"/>
    <n v="2014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n v="8"/>
    <n v="201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n v="3"/>
    <n v="2016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n v="11"/>
    <n v="2015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n v="10"/>
    <n v="2014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n v="1"/>
    <n v="2015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n v="9"/>
    <n v="201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n v="12"/>
    <n v="2014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n v="7"/>
    <n v="2015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n v="6"/>
    <n v="2014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n v="3"/>
    <n v="2014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n v="11"/>
    <n v="2015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n v="5"/>
    <n v="20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n v="5"/>
    <n v="2015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n v="3"/>
    <n v="2015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n v="10"/>
    <n v="2014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n v="8"/>
    <n v="2015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n v="3"/>
    <n v="2014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n v="5"/>
    <n v="2013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n v="2"/>
    <n v="2013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n v="12"/>
    <n v="2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n v="6"/>
    <n v="2013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n v="7"/>
    <n v="201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n v="6"/>
    <n v="201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n v="6"/>
    <n v="2012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n v="1"/>
    <n v="2014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n v="8"/>
    <n v="2011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n v="7"/>
    <n v="2011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n v="3"/>
    <n v="2012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n v="10"/>
    <n v="201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n v="2"/>
    <n v="2011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n v="12"/>
    <n v="201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n v="3"/>
    <n v="2013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n v="10"/>
    <n v="2011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n v="3"/>
    <n v="2012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n v="8"/>
    <n v="2016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n v="3"/>
    <n v="2014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n v="11"/>
    <n v="2013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n v="7"/>
    <n v="2012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n v="9"/>
    <n v="201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n v="2"/>
    <n v="2015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n v="4"/>
    <n v="2011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n v="8"/>
    <n v="2011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n v="10"/>
    <n v="201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n v="5"/>
    <n v="201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n v="5"/>
    <n v="2014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n v="5"/>
    <n v="2013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n v="6"/>
    <n v="2011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n v="3"/>
    <n v="201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n v="12"/>
    <n v="2016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n v="6"/>
    <n v="2012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n v="3"/>
    <n v="201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n v="1"/>
    <n v="2012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n v="5"/>
    <n v="201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n v="6"/>
    <n v="2011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n v="11"/>
    <n v="2012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n v="12"/>
    <n v="2013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n v="10"/>
    <n v="2012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n v="12"/>
    <n v="2012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n v="11"/>
    <n v="2010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n v="2"/>
    <n v="2014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n v="3"/>
    <n v="2011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n v="4"/>
    <n v="2016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n v="3"/>
    <n v="2012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n v="4"/>
    <n v="2011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n v="4"/>
    <n v="2013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n v="1"/>
    <n v="2011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n v="10"/>
    <n v="201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n v="5"/>
    <n v="2015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n v="3"/>
    <n v="2014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n v="7"/>
    <n v="2011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n v="11"/>
    <n v="2011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n v="1"/>
    <n v="2012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n v="2"/>
    <n v="2011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n v="3"/>
    <n v="201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n v="6"/>
    <n v="2011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n v="7"/>
    <n v="2011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n v="9"/>
    <n v="2016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n v="4"/>
    <n v="2015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n v="8"/>
    <n v="2016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n v="9"/>
    <n v="201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n v="4"/>
    <n v="2015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n v="12"/>
    <n v="2016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n v="5"/>
    <n v="2015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n v="3"/>
    <n v="2015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n v="9"/>
    <n v="2016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n v="8"/>
    <n v="2014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n v="5"/>
    <n v="2014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d v="2016-06-20T20:06:01"/>
    <n v="6"/>
    <n v="2016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n v="9"/>
    <n v="2014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n v="5"/>
    <n v="2016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n v="8"/>
    <n v="2015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n v="5"/>
    <n v="2014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n v="4"/>
    <n v="2015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n v="8"/>
    <n v="2015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n v="7"/>
    <n v="2015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n v="7"/>
    <n v="2015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n v="2"/>
    <n v="2015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n v="4"/>
    <n v="2015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n v="10"/>
    <n v="2014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n v="7"/>
    <n v="2016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n v="2"/>
    <n v="2015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n v="7"/>
    <n v="201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n v="11"/>
    <n v="201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n v="11"/>
    <n v="2014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n v="1"/>
    <n v="201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n v="11"/>
    <n v="2014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n v="3"/>
    <n v="2015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n v="4"/>
    <n v="2015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n v="8"/>
    <n v="2014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n v="10"/>
    <n v="201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n v="4"/>
    <n v="20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n v="6"/>
    <n v="201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n v="6"/>
    <n v="2014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n v="1"/>
    <n v="2016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n v="9"/>
    <n v="2014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n v="5"/>
    <n v="2016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n v="6"/>
    <n v="2015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n v="6"/>
    <n v="2014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n v="7"/>
    <n v="2014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n v="8"/>
    <n v="2015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n v="7"/>
    <n v="201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n v="12"/>
    <n v="201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n v="12"/>
    <n v="201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n v="6"/>
    <n v="201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n v="2"/>
    <n v="2015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n v="9"/>
    <n v="2014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n v="7"/>
    <n v="2015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n v="6"/>
    <n v="2016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n v="2"/>
    <n v="2015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n v="1"/>
    <n v="2015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n v="3"/>
    <n v="2015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n v="8"/>
    <n v="2014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n v="7"/>
    <n v="2015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n v="3"/>
    <n v="2015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n v="10"/>
    <n v="201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n v="2"/>
    <n v="2016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n v="3"/>
    <n v="2015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n v="5"/>
    <n v="20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n v="12"/>
    <n v="2016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n v="10"/>
    <n v="2014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n v="7"/>
    <n v="201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n v="7"/>
    <n v="2016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n v="2"/>
    <n v="2017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n v="6"/>
    <n v="2015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n v="8"/>
    <n v="2014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n v="7"/>
    <n v="2016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n v="6"/>
    <n v="201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n v="8"/>
    <n v="2015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n v="9"/>
    <n v="2014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n v="9"/>
    <n v="2014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n v="1"/>
    <n v="2016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n v="5"/>
    <n v="201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n v="9"/>
    <n v="2015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n v="1"/>
    <n v="201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n v="9"/>
    <n v="2014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n v="8"/>
    <n v="2016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n v="8"/>
    <n v="2014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n v="1"/>
    <n v="2015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n v="9"/>
    <n v="2015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n v="11"/>
    <n v="201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n v="7"/>
    <n v="2016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n v="9"/>
    <n v="201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n v="7"/>
    <n v="201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n v="12"/>
    <n v="2014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n v="11"/>
    <n v="2014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n v="6"/>
    <n v="201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n v="9"/>
    <n v="2015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n v="8"/>
    <n v="2015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n v="2"/>
    <n v="2016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n v="7"/>
    <n v="2015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n v="1"/>
    <n v="2015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n v="1"/>
    <n v="2016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n v="3"/>
    <n v="2015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n v="11"/>
    <n v="2014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n v="3"/>
    <n v="2015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n v="2"/>
    <n v="2016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n v="7"/>
    <n v="2015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n v="1"/>
    <n v="2015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n v="1"/>
    <n v="2015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n v="4"/>
    <n v="2016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n v="5"/>
    <n v="2015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n v="3"/>
    <n v="2016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n v="4"/>
    <n v="2015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n v="6"/>
    <n v="2015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n v="4"/>
    <n v="201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n v="1"/>
    <n v="2016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n v="5"/>
    <n v="2015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n v="12"/>
    <n v="2015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n v="1"/>
    <n v="2015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n v="8"/>
    <n v="2016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n v="5"/>
    <n v="2015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n v="6"/>
    <n v="201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n v="11"/>
    <n v="2015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n v="1"/>
    <n v="2016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n v="12"/>
    <n v="2016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n v="10"/>
    <n v="2015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n v="3"/>
    <n v="2013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n v="11"/>
    <n v="201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n v="11"/>
    <n v="2011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n v="1"/>
    <n v="201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n v="2"/>
    <n v="201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n v="7"/>
    <n v="2012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n v="10"/>
    <n v="2010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n v="9"/>
    <n v="201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n v="11"/>
    <n v="2011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n v="6"/>
    <n v="201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n v="5"/>
    <n v="2013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n v="4"/>
    <n v="2012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n v="3"/>
    <n v="201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n v="1"/>
    <n v="2012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n v="9"/>
    <n v="2015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n v="2"/>
    <n v="2011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n v="2"/>
    <n v="2013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n v="4"/>
    <n v="2016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n v="5"/>
    <n v="2011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n v="3"/>
    <n v="2015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n v="6"/>
    <n v="201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n v="4"/>
    <n v="2012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n v="1"/>
    <n v="2011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n v="8"/>
    <n v="2012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n v="4"/>
    <n v="2012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n v="3"/>
    <n v="201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n v="1"/>
    <n v="201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n v="5"/>
    <n v="2014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n v="9"/>
    <n v="2011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n v="1"/>
    <n v="2017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n v="4"/>
    <n v="2011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n v="12"/>
    <n v="2013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n v="2"/>
    <n v="201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n v="6"/>
    <n v="2011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n v="3"/>
    <n v="2012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n v="10"/>
    <n v="2012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n v="2"/>
    <n v="2012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n v="4"/>
    <n v="2015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n v="9"/>
    <n v="2012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n v="1"/>
    <n v="2017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n v="4"/>
    <n v="2014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n v="5"/>
    <n v="2009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n v="1"/>
    <n v="201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n v="5"/>
    <n v="2011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n v="12"/>
    <n v="2011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n v="8"/>
    <n v="2013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n v="2"/>
    <n v="2013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n v="10"/>
    <n v="2012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n v="5"/>
    <n v="2012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n v="10"/>
    <n v="2013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n v="12"/>
    <n v="201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n v="4"/>
    <n v="2013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n v="9"/>
    <n v="2011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n v="3"/>
    <n v="20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n v="6"/>
    <n v="201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n v="9"/>
    <n v="2013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n v="8"/>
    <n v="2012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n v="3"/>
    <n v="2015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n v="3"/>
    <n v="2014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n v="10"/>
    <n v="201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n v="3"/>
    <n v="2011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n v="2"/>
    <n v="2013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n v="1"/>
    <n v="201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n v="5"/>
    <n v="2012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n v="7"/>
    <n v="2012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n v="2"/>
    <n v="2012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n v="2"/>
    <n v="201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n v="1"/>
    <n v="2013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n v="1"/>
    <n v="2011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n v="8"/>
    <n v="2012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n v="10"/>
    <n v="2011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n v="11"/>
    <n v="20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n v="3"/>
    <n v="2013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n v="6"/>
    <n v="201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n v="1"/>
    <n v="2013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n v="7"/>
    <n v="2012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n v="11"/>
    <n v="2014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n v="11"/>
    <n v="201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n v="2"/>
    <n v="2013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n v="11"/>
    <n v="200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n v="11"/>
    <n v="2015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n v="10"/>
    <n v="201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n v="4"/>
    <n v="2016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n v="11"/>
    <n v="201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n v="6"/>
    <n v="2015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n v="11"/>
    <n v="2016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n v="2"/>
    <n v="2017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n v="2"/>
    <n v="2015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n v="10"/>
    <n v="2015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n v="10"/>
    <n v="2015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n v="4"/>
    <n v="201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n v="5"/>
    <n v="2016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n v="9"/>
    <n v="2015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n v="3"/>
    <n v="2016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n v="4"/>
    <n v="2015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n v="4"/>
    <n v="20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n v="10"/>
    <n v="2015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n v="2"/>
    <n v="2015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n v="7"/>
    <n v="2016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n v="3"/>
    <n v="2015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n v="2"/>
    <n v="201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n v="9"/>
    <n v="2014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n v="3"/>
    <n v="2016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n v="10"/>
    <n v="2014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n v="4"/>
    <n v="2015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n v="4"/>
    <n v="201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n v="9"/>
    <n v="2015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n v="10"/>
    <n v="2015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n v="7"/>
    <n v="2015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n v="1"/>
    <n v="2017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n v="8"/>
    <n v="2016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n v="2"/>
    <n v="2016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n v="9"/>
    <n v="2014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n v="10"/>
    <n v="2015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n v="3"/>
    <n v="2016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n v="10"/>
    <n v="20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n v="2"/>
    <n v="201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n v="3"/>
    <n v="2015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n v="5"/>
    <n v="2016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n v="10"/>
    <n v="2014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n v="6"/>
    <n v="2015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n v="10"/>
    <n v="2014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n v="7"/>
    <n v="2014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n v="3"/>
    <n v="201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n v="5"/>
    <n v="201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n v="1"/>
    <n v="2014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n v="4"/>
    <n v="2012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n v="3"/>
    <n v="2013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n v="2"/>
    <n v="2015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n v="12"/>
    <n v="2011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n v="12"/>
    <n v="2016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n v="12"/>
    <n v="2012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n v="2"/>
    <n v="2016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n v="6"/>
    <n v="2012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n v="8"/>
    <n v="201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n v="1"/>
    <n v="2014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n v="7"/>
    <n v="20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n v="10"/>
    <n v="2015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n v="1"/>
    <n v="2016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n v="3"/>
    <n v="20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n v="12"/>
    <n v="2015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n v="6"/>
    <n v="2012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n v="8"/>
    <n v="201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n v="4"/>
    <n v="2014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n v="12"/>
    <n v="201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n v="10"/>
    <n v="2014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n v="7"/>
    <n v="2015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n v="7"/>
    <n v="2015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n v="6"/>
    <n v="2016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n v="2"/>
    <n v="2014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n v="4"/>
    <n v="2015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n v="11"/>
    <n v="201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n v="8"/>
    <n v="201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n v="9"/>
    <n v="201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n v="2"/>
    <n v="2016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n v="3"/>
    <n v="2012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n v="6"/>
    <n v="2012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n v="7"/>
    <n v="201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n v="3"/>
    <n v="2015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n v="11"/>
    <n v="2016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n v="4"/>
    <n v="2014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n v="7"/>
    <n v="201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n v="10"/>
    <n v="2015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n v="6"/>
    <n v="201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n v="1"/>
    <n v="201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n v="2"/>
    <n v="2014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n v="4"/>
    <n v="2011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n v="9"/>
    <n v="2011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n v="9"/>
    <n v="2013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n v="6"/>
    <n v="2016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n v="4"/>
    <n v="2015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n v="11"/>
    <n v="2013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n v="7"/>
    <n v="20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n v="6"/>
    <n v="2012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n v="9"/>
    <n v="2013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n v="9"/>
    <n v="2014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n v="1"/>
    <n v="2014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n v="3"/>
    <n v="2013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n v="6"/>
    <n v="2015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n v="4"/>
    <n v="2013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n v="2"/>
    <n v="2014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n v="6"/>
    <n v="2015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n v="8"/>
    <n v="2014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n v="5"/>
    <n v="201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n v="1"/>
    <n v="2012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n v="9"/>
    <n v="201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n v="1"/>
    <n v="201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n v="10"/>
    <n v="2015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n v="5"/>
    <n v="2014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n v="9"/>
    <n v="200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n v="8"/>
    <n v="2013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n v="6"/>
    <n v="2016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n v="8"/>
    <n v="2015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n v="8"/>
    <n v="2015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n v="10"/>
    <n v="2013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n v="8"/>
    <n v="2013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n v="7"/>
    <n v="20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n v="8"/>
    <n v="201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n v="10"/>
    <n v="2015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n v="10"/>
    <n v="2014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n v="2"/>
    <n v="2016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n v="10"/>
    <n v="2013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n v="1"/>
    <n v="2015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n v="1"/>
    <n v="2014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n v="12"/>
    <n v="201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n v="5"/>
    <n v="201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n v="2"/>
    <n v="2015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n v="2"/>
    <n v="201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n v="4"/>
    <n v="2014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n v="9"/>
    <n v="2013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n v="1"/>
    <n v="2014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n v="12"/>
    <n v="2013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n v="4"/>
    <n v="2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n v="2"/>
    <n v="2015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n v="10"/>
    <n v="201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n v="3"/>
    <n v="201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n v="9"/>
    <n v="2013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n v="7"/>
    <n v="2014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n v="4"/>
    <n v="2013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n v="9"/>
    <n v="2011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n v="4"/>
    <n v="2014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n v="5"/>
    <n v="2013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n v="6"/>
    <n v="201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n v="7"/>
    <n v="2011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n v="4"/>
    <n v="2016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n v="6"/>
    <n v="201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n v="8"/>
    <n v="2012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n v="8"/>
    <n v="2012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n v="5"/>
    <n v="2012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n v="7"/>
    <n v="201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n v="11"/>
    <n v="2013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n v="3"/>
    <n v="2014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n v="7"/>
    <n v="2014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n v="8"/>
    <n v="2014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n v="1"/>
    <n v="2017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n v="4"/>
    <n v="201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n v="4"/>
    <n v="2014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n v="3"/>
    <n v="2012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n v="3"/>
    <n v="2015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n v="9"/>
    <n v="2014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n v="7"/>
    <n v="2013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n v="9"/>
    <n v="2012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n v="3"/>
    <n v="2016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n v="11"/>
    <n v="201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n v="9"/>
    <n v="2015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n v="4"/>
    <n v="2013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n v="5"/>
    <n v="2014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n v="10"/>
    <n v="2016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n v="12"/>
    <n v="2016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n v="12"/>
    <n v="2011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n v="7"/>
    <n v="2012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n v="12"/>
    <n v="2015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n v="8"/>
    <n v="2016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n v="4"/>
    <n v="2015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n v="6"/>
    <n v="201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n v="6"/>
    <n v="201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n v="12"/>
    <n v="2013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n v="11"/>
    <n v="2014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n v="11"/>
    <n v="2011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n v="8"/>
    <n v="200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n v="3"/>
    <n v="201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n v="6"/>
    <n v="201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n v="2"/>
    <n v="201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n v="12"/>
    <n v="2014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n v="2"/>
    <n v="2012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n v="11"/>
    <n v="201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n v="7"/>
    <n v="2013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n v="9"/>
    <n v="2012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n v="3"/>
    <n v="2012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n v="5"/>
    <n v="2015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n v="1"/>
    <n v="2016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n v="3"/>
    <n v="2013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n v="10"/>
    <n v="2016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n v="7"/>
    <n v="2016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n v="7"/>
    <n v="20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n v="11"/>
    <n v="20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n v="3"/>
    <n v="2015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n v="1"/>
    <n v="20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n v="8"/>
    <n v="2015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n v="11"/>
    <n v="2012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n v="11"/>
    <n v="2015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n v="10"/>
    <n v="2016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n v="3"/>
    <n v="2016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n v="8"/>
    <n v="2015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n v="5"/>
    <n v="2016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n v="7"/>
    <n v="2014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n v="7"/>
    <n v="2015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n v="1"/>
    <n v="201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n v="5"/>
    <n v="2015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n v="12"/>
    <n v="2016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n v="6"/>
    <n v="2015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n v="11"/>
    <n v="2016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n v="4"/>
    <n v="2016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n v="4"/>
    <n v="2016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n v="9"/>
    <n v="2015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n v="12"/>
    <n v="2016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n v="6"/>
    <n v="2015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n v="10"/>
    <n v="2015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n v="4"/>
    <n v="2016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n v="6"/>
    <n v="2016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n v="1"/>
    <n v="2015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n v="9"/>
    <n v="2015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n v="3"/>
    <n v="20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n v="10"/>
    <n v="2014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n v="6"/>
    <n v="2016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n v="10"/>
    <n v="201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n v="9"/>
    <n v="20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n v="1"/>
    <n v="2016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n v="9"/>
    <n v="2015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n v="6"/>
    <n v="2015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n v="1"/>
    <n v="2017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n v="6"/>
    <n v="2015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n v="11"/>
    <n v="2015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n v="10"/>
    <n v="2014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n v="9"/>
    <n v="201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n v="5"/>
    <n v="2016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n v="12"/>
    <n v="2015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n v="11"/>
    <n v="2016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n v="2"/>
    <n v="201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n v="11"/>
    <n v="2015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n v="11"/>
    <n v="2014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n v="9"/>
    <n v="2015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n v="11"/>
    <n v="2016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n v="1"/>
    <n v="2015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n v="2"/>
    <n v="2016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n v="6"/>
    <n v="201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n v="6"/>
    <n v="201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n v="12"/>
    <n v="20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n v="12"/>
    <n v="2015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n v="12"/>
    <n v="2015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n v="1"/>
    <n v="2016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n v="7"/>
    <n v="2015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n v="10"/>
    <n v="2015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n v="11"/>
    <n v="2014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n v="9"/>
    <n v="2016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n v="5"/>
    <n v="201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n v="1"/>
    <n v="2015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n v="3"/>
    <n v="2016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n v="8"/>
    <n v="2015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n v="11"/>
    <n v="2014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n v="8"/>
    <n v="2016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n v="7"/>
    <n v="2015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n v="2"/>
    <n v="2015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n v="2"/>
    <n v="2015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n v="2"/>
    <n v="2015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n v="10"/>
    <n v="201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n v="1"/>
    <n v="2015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n v="3"/>
    <n v="2015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n v="9"/>
    <n v="201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n v="6"/>
    <n v="2015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n v="1"/>
    <n v="2016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n v="6"/>
    <n v="2015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n v="11"/>
    <n v="2014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n v="3"/>
    <n v="201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n v="3"/>
    <n v="201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n v="3"/>
    <n v="201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n v="10"/>
    <n v="201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n v="6"/>
    <n v="2016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n v="11"/>
    <n v="2014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n v="2"/>
    <n v="2015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n v="3"/>
    <n v="2015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n v="11"/>
    <n v="2014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n v="5"/>
    <n v="20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n v="7"/>
    <n v="2014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n v="7"/>
    <n v="201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n v="7"/>
    <n v="201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n v="4"/>
    <n v="2015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n v="10"/>
    <n v="2015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n v="5"/>
    <n v="2015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n v="10"/>
    <n v="2015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n v="3"/>
    <n v="2015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n v="11"/>
    <n v="2015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n v="8"/>
    <n v="201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n v="8"/>
    <n v="2015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n v="5"/>
    <n v="2016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n v="8"/>
    <n v="20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n v="1"/>
    <n v="201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n v="3"/>
    <n v="2015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n v="11"/>
    <n v="2015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n v="9"/>
    <n v="2014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n v="7"/>
    <n v="2014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n v="6"/>
    <n v="2016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n v="6"/>
    <n v="2016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n v="4"/>
    <n v="2015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n v="4"/>
    <n v="2015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n v="2"/>
    <n v="201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n v="7"/>
    <n v="2015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n v="1"/>
    <n v="2016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n v="6"/>
    <n v="2014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n v="4"/>
    <n v="2016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n v="8"/>
    <n v="2015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n v="4"/>
    <n v="2016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n v="10"/>
    <n v="201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n v="5"/>
    <n v="2016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n v="1"/>
    <n v="2015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n v="3"/>
    <n v="201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n v="5"/>
    <n v="2015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n v="1"/>
    <n v="201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d v="2017-01-24T14:14:22"/>
    <n v="1"/>
    <n v="2017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n v="8"/>
    <n v="2014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n v="11"/>
    <n v="2016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n v="7"/>
    <n v="2015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n v="7"/>
    <n v="2015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n v="4"/>
    <n v="201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n v="9"/>
    <n v="201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n v="7"/>
    <n v="2016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n v="7"/>
    <n v="2014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n v="2"/>
    <n v="2016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n v="9"/>
    <n v="2014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n v="8"/>
    <n v="2014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n v="10"/>
    <n v="201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n v="11"/>
    <n v="2014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n v="11"/>
    <n v="2016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n v="7"/>
    <n v="2015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n v="6"/>
    <n v="2015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n v="2"/>
    <n v="201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n v="2"/>
    <n v="201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n v="11"/>
    <n v="2015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n v="6"/>
    <n v="2015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n v="7"/>
    <n v="201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n v="10"/>
    <n v="2014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n v="9"/>
    <n v="2016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n v="12"/>
    <n v="2014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n v="6"/>
    <n v="2015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n v="3"/>
    <n v="201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n v="11"/>
    <n v="2016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n v="7"/>
    <n v="2014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n v="9"/>
    <n v="2016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n v="3"/>
    <n v="2015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n v="6"/>
    <n v="2016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n v="5"/>
    <n v="2016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n v="12"/>
    <n v="2014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n v="12"/>
    <n v="201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n v="7"/>
    <n v="2014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n v="6"/>
    <n v="201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n v="12"/>
    <n v="201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n v="1"/>
    <n v="2015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n v="5"/>
    <n v="2016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n v="4"/>
    <n v="2016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n v="7"/>
    <n v="2016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n v="8"/>
    <n v="2014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n v="9"/>
    <n v="2016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n v="2"/>
    <n v="2017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n v="9"/>
    <n v="2016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n v="6"/>
    <n v="201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n v="11"/>
    <n v="2014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n v="7"/>
    <n v="2015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n v="12"/>
    <n v="2016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n v="9"/>
    <n v="2015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n v="11"/>
    <n v="2016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n v="7"/>
    <n v="2016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n v="6"/>
    <n v="2015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n v="11"/>
    <n v="2016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n v="3"/>
    <n v="2015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n v="1"/>
    <n v="2017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n v="10"/>
    <n v="2014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n v="6"/>
    <n v="2014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n v="1"/>
    <n v="2016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n v="8"/>
    <n v="2014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n v="10"/>
    <n v="2013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n v="12"/>
    <n v="2016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n v="6"/>
    <n v="2014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n v="10"/>
    <n v="2016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n v="12"/>
    <n v="2016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n v="12"/>
    <n v="2016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n v="12"/>
    <n v="2016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n v="11"/>
    <n v="201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n v="11"/>
    <n v="2016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n v="7"/>
    <n v="2014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n v="11"/>
    <n v="2014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n v="7"/>
    <n v="2014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n v="11"/>
    <n v="2016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n v="1"/>
    <n v="2016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n v="5"/>
    <n v="2016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n v="12"/>
    <n v="2016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n v="9"/>
    <n v="20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n v="10"/>
    <n v="2014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n v="8"/>
    <n v="2014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n v="1"/>
    <n v="201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n v="2"/>
    <n v="201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n v="1"/>
    <n v="2012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n v="6"/>
    <n v="2014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n v="3"/>
    <n v="201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n v="6"/>
    <n v="2015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n v="5"/>
    <n v="2011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n v="11"/>
    <n v="201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n v="3"/>
    <n v="2013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n v="12"/>
    <n v="2012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n v="7"/>
    <n v="2011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n v="7"/>
    <n v="2012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n v="11"/>
    <n v="20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n v="12"/>
    <n v="201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n v="7"/>
    <n v="2013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n v="11"/>
    <n v="201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n v="4"/>
    <n v="2015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n v="11"/>
    <n v="2014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n v="11"/>
    <n v="2013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n v="1"/>
    <n v="2014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n v="10"/>
    <n v="201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n v="7"/>
    <n v="2014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n v="6"/>
    <n v="2015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n v="5"/>
    <n v="2013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n v="2"/>
    <n v="2014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n v="3"/>
    <n v="2012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n v="11"/>
    <n v="2012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n v="4"/>
    <n v="2013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n v="9"/>
    <n v="2012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n v="12"/>
    <n v="2014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n v="7"/>
    <n v="2014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n v="12"/>
    <n v="2016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n v="1"/>
    <n v="2013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n v="6"/>
    <n v="201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n v="9"/>
    <n v="2016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n v="1"/>
    <n v="2015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n v="12"/>
    <n v="2012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n v="4"/>
    <n v="2013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n v="2"/>
    <n v="2011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n v="11"/>
    <n v="2012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n v="9"/>
    <n v="2010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n v="5"/>
    <n v="2014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n v="10"/>
    <n v="2016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n v="1"/>
    <n v="2014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n v="11"/>
    <n v="2016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n v="7"/>
    <n v="201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n v="8"/>
    <n v="2015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n v="9"/>
    <n v="201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n v="1"/>
    <n v="2015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n v="4"/>
    <n v="2015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n v="11"/>
    <n v="2013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n v="11"/>
    <n v="2013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n v="1"/>
    <n v="2013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n v="12"/>
    <n v="2015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n v="9"/>
    <n v="200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n v="4"/>
    <n v="201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n v="1"/>
    <n v="201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n v="11"/>
    <n v="2011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n v="9"/>
    <n v="201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n v="7"/>
    <n v="2013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n v="3"/>
    <n v="2014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n v="9"/>
    <n v="201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n v="4"/>
    <n v="2011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n v="5"/>
    <n v="2013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n v="7"/>
    <n v="201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n v="3"/>
    <n v="2012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n v="2"/>
    <n v="201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n v="1"/>
    <n v="2013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n v="3"/>
    <n v="2012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n v="10"/>
    <n v="2013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n v="5"/>
    <n v="2012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n v="1"/>
    <n v="2013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n v="1"/>
    <n v="2013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n v="10"/>
    <n v="2013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n v="10"/>
    <n v="201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n v="6"/>
    <n v="201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n v="7"/>
    <n v="2011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n v="2"/>
    <n v="2012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n v="8"/>
    <n v="2013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n v="3"/>
    <n v="2012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n v="8"/>
    <n v="2014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n v="3"/>
    <n v="2012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n v="8"/>
    <n v="20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n v="6"/>
    <n v="201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n v="8"/>
    <n v="201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n v="5"/>
    <n v="2011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n v="7"/>
    <n v="2011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n v="5"/>
    <n v="2011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n v="8"/>
    <n v="2011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n v="1"/>
    <n v="201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n v="11"/>
    <n v="2014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n v="12"/>
    <n v="2013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n v="8"/>
    <n v="201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n v="6"/>
    <n v="2013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n v="1"/>
    <n v="2013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n v="6"/>
    <n v="2012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n v="5"/>
    <n v="201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n v="10"/>
    <n v="2014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n v="3"/>
    <n v="201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n v="1"/>
    <n v="2012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n v="7"/>
    <n v="2012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n v="12"/>
    <n v="2013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n v="5"/>
    <n v="2014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n v="3"/>
    <n v="201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n v="9"/>
    <n v="201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n v="2"/>
    <n v="2015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n v="3"/>
    <n v="201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n v="10"/>
    <n v="2012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n v="3"/>
    <n v="2012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n v="1"/>
    <n v="2012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n v="6"/>
    <n v="201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n v="5"/>
    <n v="2016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n v="2"/>
    <n v="2013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n v="3"/>
    <n v="2012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n v="11"/>
    <n v="2011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n v="3"/>
    <n v="2014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n v="5"/>
    <n v="2013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n v="4"/>
    <n v="2012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n v="9"/>
    <n v="2013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n v="4"/>
    <n v="2014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n v="12"/>
    <n v="2011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n v="8"/>
    <n v="2012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n v="8"/>
    <n v="2016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n v="10"/>
    <n v="2014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n v="9"/>
    <n v="201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n v="11"/>
    <n v="2016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n v="9"/>
    <n v="201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n v="7"/>
    <n v="201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n v="2"/>
    <n v="2014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n v="6"/>
    <n v="2015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n v="3"/>
    <n v="2015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n v="2"/>
    <n v="2015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n v="3"/>
    <n v="2016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n v="6"/>
    <n v="2016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n v="10"/>
    <n v="2016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n v="1"/>
    <n v="2015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n v="11"/>
    <n v="201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n v="6"/>
    <n v="2016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n v="8"/>
    <n v="201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n v="10"/>
    <n v="2015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n v="3"/>
    <n v="2015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n v="5"/>
    <n v="2015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n v="10"/>
    <n v="20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n v="8"/>
    <n v="2016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n v="10"/>
    <n v="2013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n v="1"/>
    <n v="2012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n v="9"/>
    <n v="2013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n v="11"/>
    <n v="2012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n v="1"/>
    <n v="2015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n v="10"/>
    <n v="2009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n v="12"/>
    <n v="2013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n v="3"/>
    <n v="2013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n v="8"/>
    <n v="201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n v="10"/>
    <n v="2013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n v="1"/>
    <n v="2011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n v="10"/>
    <n v="2012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n v="4"/>
    <n v="2013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n v="9"/>
    <n v="201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n v="1"/>
    <n v="2013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n v="11"/>
    <n v="2013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n v="11"/>
    <n v="2010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n v="5"/>
    <n v="2012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n v="9"/>
    <n v="2012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n v="11"/>
    <n v="201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n v="8"/>
    <n v="2011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n v="1"/>
    <n v="2016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n v="3"/>
    <n v="2012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n v="12"/>
    <n v="2016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n v="8"/>
    <n v="201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n v="4"/>
    <n v="2012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n v="7"/>
    <n v="2011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n v="9"/>
    <n v="2014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n v="10"/>
    <n v="2013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n v="7"/>
    <n v="2014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n v="5"/>
    <n v="201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n v="3"/>
    <n v="2015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n v="5"/>
    <n v="2016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n v="9"/>
    <n v="2010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n v="8"/>
    <n v="2015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n v="10"/>
    <n v="2012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n v="12"/>
    <n v="2011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n v="4"/>
    <n v="2011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n v="2"/>
    <n v="2016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n v="4"/>
    <n v="201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n v="7"/>
    <n v="2014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n v="8"/>
    <n v="2012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n v="12"/>
    <n v="2015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n v="11"/>
    <n v="2010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n v="2"/>
    <n v="2014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n v="8"/>
    <n v="2011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n v="6"/>
    <n v="201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n v="6"/>
    <n v="2012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n v="1"/>
    <n v="2017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n v="1"/>
    <n v="2014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n v="10"/>
    <n v="20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n v="4"/>
    <n v="2012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n v="7"/>
    <n v="2012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n v="1"/>
    <n v="2012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n v="9"/>
    <n v="201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n v="6"/>
    <n v="2014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n v="11"/>
    <n v="2014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n v="11"/>
    <n v="2012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n v="10"/>
    <n v="2013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n v="10"/>
    <n v="201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n v="8"/>
    <n v="2014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n v="10"/>
    <n v="2014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n v="1"/>
    <n v="2013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n v="10"/>
    <n v="2013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n v="6"/>
    <n v="201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n v="4"/>
    <n v="2012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n v="9"/>
    <n v="2012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n v="3"/>
    <n v="2012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n v="5"/>
    <n v="201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n v="2"/>
    <n v="2014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n v="2"/>
    <n v="2013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n v="3"/>
    <n v="2014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n v="4"/>
    <n v="201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n v="12"/>
    <n v="201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n v="12"/>
    <n v="2011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n v="10"/>
    <n v="2013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n v="8"/>
    <n v="2012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n v="5"/>
    <n v="2013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n v="6"/>
    <n v="2015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n v="1"/>
    <n v="2017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n v="1"/>
    <n v="2016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n v="10"/>
    <n v="2016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n v="3"/>
    <n v="2016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n v="12"/>
    <n v="201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n v="8"/>
    <n v="201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n v="5"/>
    <n v="201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n v="2"/>
    <n v="2016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n v="12"/>
    <n v="2015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n v="12"/>
    <n v="2015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n v="4"/>
    <n v="2016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n v="10"/>
    <n v="2016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n v="12"/>
    <n v="2014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n v="7"/>
    <n v="2015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n v="8"/>
    <n v="2016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n v="2"/>
    <n v="2015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n v="10"/>
    <n v="2016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n v="3"/>
    <n v="2015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n v="12"/>
    <n v="2014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n v="1"/>
    <n v="2017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n v="1"/>
    <n v="2017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n v="1"/>
    <n v="2016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n v="9"/>
    <n v="2016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n v="7"/>
    <n v="2015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n v="9"/>
    <n v="201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n v="9"/>
    <n v="201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n v="2"/>
    <n v="2016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n v="7"/>
    <n v="201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n v="1"/>
    <n v="201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n v="12"/>
    <n v="2016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n v="4"/>
    <n v="2015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n v="8"/>
    <n v="2014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n v="9"/>
    <n v="2015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n v="2"/>
    <n v="20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n v="4"/>
    <n v="2016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n v="6"/>
    <n v="2015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n v="1"/>
    <n v="2016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n v="1"/>
    <n v="2016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n v="5"/>
    <n v="2016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n v="10"/>
    <n v="2014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n v="7"/>
    <n v="2014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n v="9"/>
    <n v="201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n v="7"/>
    <n v="2016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n v="2"/>
    <n v="2015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n v="12"/>
    <n v="201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n v="11"/>
    <n v="2015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n v="5"/>
    <n v="2014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n v="9"/>
    <n v="2016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n v="8"/>
    <n v="2016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n v="8"/>
    <n v="201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n v="6"/>
    <n v="2016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n v="3"/>
    <n v="2016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n v="10"/>
    <n v="2016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n v="10"/>
    <n v="201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n v="11"/>
    <n v="2014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n v="6"/>
    <n v="2014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n v="10"/>
    <n v="2014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n v="10"/>
    <n v="2015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n v="10"/>
    <n v="2014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n v="1"/>
    <n v="2017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n v="12"/>
    <n v="2016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n v="11"/>
    <n v="2015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n v="2"/>
    <n v="2017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n v="1"/>
    <n v="2016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n v="9"/>
    <n v="201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n v="12"/>
    <n v="2014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n v="11"/>
    <n v="2016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n v="11"/>
    <n v="2016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n v="5"/>
    <n v="201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n v="7"/>
    <n v="2016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n v="11"/>
    <n v="2014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n v="12"/>
    <n v="2016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n v="12"/>
    <n v="2015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n v="11"/>
    <n v="2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n v="10"/>
    <n v="2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n v="2"/>
    <n v="2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n v="10"/>
    <n v="20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n v="6"/>
    <n v="2016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n v="1"/>
    <n v="2015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n v="5"/>
    <n v="2015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n v="9"/>
    <n v="2015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n v="4"/>
    <n v="2015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n v="5"/>
    <n v="2015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n v="1"/>
    <n v="2016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n v="2"/>
    <n v="201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n v="2"/>
    <n v="2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n v="9"/>
    <n v="2014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n v="1"/>
    <n v="2017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n v="2"/>
    <n v="2015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n v="8"/>
    <n v="2016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n v="11"/>
    <n v="2015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n v="5"/>
    <n v="2016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n v="11"/>
    <n v="2016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n v="7"/>
    <n v="2016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n v="1"/>
    <n v="201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n v="12"/>
    <n v="2012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n v="4"/>
    <n v="2015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n v="2"/>
    <n v="2016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n v="11"/>
    <n v="201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n v="7"/>
    <n v="2016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n v="7"/>
    <n v="2014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n v="7"/>
    <n v="2014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n v="4"/>
    <n v="20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n v="1"/>
    <n v="2015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n v="7"/>
    <n v="2014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n v="11"/>
    <n v="2015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n v="10"/>
    <n v="2014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n v="8"/>
    <n v="2016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n v="1"/>
    <n v="2016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n v="8"/>
    <n v="2015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n v="7"/>
    <n v="2014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n v="4"/>
    <n v="2016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n v="2"/>
    <n v="2017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n v="7"/>
    <n v="201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n v="2"/>
    <n v="2016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n v="2"/>
    <n v="2015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n v="11"/>
    <n v="2016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n v="2"/>
    <n v="2015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n v="2"/>
    <n v="2015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n v="3"/>
    <n v="2015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n v="3"/>
    <n v="2016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n v="7"/>
    <n v="2016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n v="8"/>
    <n v="2016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n v="5"/>
    <n v="201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n v="1"/>
    <n v="2014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n v="6"/>
    <n v="2013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n v="11"/>
    <n v="2013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n v="3"/>
    <n v="2016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n v="10"/>
    <n v="2013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n v="9"/>
    <n v="201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n v="10"/>
    <n v="2015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n v="1"/>
    <n v="2014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n v="9"/>
    <n v="201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n v="12"/>
    <n v="2013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n v="4"/>
    <n v="2012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n v="7"/>
    <n v="2014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n v="12"/>
    <n v="2015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n v="6"/>
    <n v="201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n v="4"/>
    <n v="201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n v="4"/>
    <n v="2014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n v="12"/>
    <n v="2014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n v="7"/>
    <n v="201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n v="6"/>
    <n v="2014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n v="7"/>
    <n v="201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n v="2"/>
    <n v="2016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n v="7"/>
    <n v="2014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n v="5"/>
    <n v="2014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n v="3"/>
    <n v="2014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n v="5"/>
    <n v="201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n v="4"/>
    <n v="2015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n v="3"/>
    <n v="2016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n v="12"/>
    <n v="201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n v="1"/>
    <n v="2016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n v="9"/>
    <n v="2011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n v="7"/>
    <n v="2013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n v="9"/>
    <n v="201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n v="1"/>
    <n v="2014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n v="3"/>
    <n v="2014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n v="4"/>
    <n v="2015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n v="1"/>
    <n v="2016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n v="6"/>
    <n v="2016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n v="10"/>
    <n v="2013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n v="4"/>
    <n v="2016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n v="5"/>
    <n v="201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n v="2"/>
    <n v="2014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n v="3"/>
    <n v="2012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n v="6"/>
    <n v="201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n v="2"/>
    <n v="2012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n v="10"/>
    <n v="2016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n v="11"/>
    <n v="201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n v="12"/>
    <n v="2015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n v="11"/>
    <n v="2014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n v="7"/>
    <n v="2014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n v="9"/>
    <n v="2013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n v="2"/>
    <n v="2016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n v="4"/>
    <n v="2012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n v="11"/>
    <n v="2015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n v="3"/>
    <n v="2014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n v="3"/>
    <n v="201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n v="9"/>
    <n v="2011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n v="2"/>
    <n v="20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n v="5"/>
    <n v="2013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n v="3"/>
    <n v="2014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n v="3"/>
    <n v="2015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n v="7"/>
    <n v="201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n v="6"/>
    <n v="201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n v="10"/>
    <n v="2014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n v="7"/>
    <n v="2014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n v="5"/>
    <n v="2016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n v="9"/>
    <n v="2014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n v="11"/>
    <n v="2015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n v="12"/>
    <n v="2016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n v="7"/>
    <n v="2014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n v="11"/>
    <n v="201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n v="7"/>
    <n v="2016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n v="11"/>
    <n v="2015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n v="3"/>
    <n v="2016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n v="1"/>
    <n v="2017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n v="12"/>
    <n v="2014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n v="7"/>
    <n v="2015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n v="6"/>
    <n v="2015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n v="1"/>
    <n v="2015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n v="11"/>
    <n v="2015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n v="3"/>
    <n v="2015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n v="8"/>
    <n v="2014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n v="3"/>
    <n v="2014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n v="8"/>
    <n v="2014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n v="11"/>
    <n v="2016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n v="5"/>
    <n v="201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n v="11"/>
    <n v="201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n v="8"/>
    <n v="2015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n v="4"/>
    <n v="2015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n v="5"/>
    <n v="201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n v="8"/>
    <n v="2015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n v="7"/>
    <n v="2014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n v="1"/>
    <n v="2015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n v="10"/>
    <n v="2014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n v="11"/>
    <n v="2014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n v="5"/>
    <n v="201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n v="2"/>
    <n v="2015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n v="4"/>
    <n v="2015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n v="8"/>
    <n v="201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n v="7"/>
    <n v="2014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n v="5"/>
    <n v="2016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n v="6"/>
    <n v="2014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n v="5"/>
    <n v="2015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n v="8"/>
    <n v="2014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n v="8"/>
    <n v="2016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n v="1"/>
    <n v="2015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n v="4"/>
    <n v="2015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n v="10"/>
    <n v="2014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n v="7"/>
    <n v="2014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n v="6"/>
    <n v="2015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n v="4"/>
    <n v="2016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n v="6"/>
    <n v="201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n v="1"/>
    <n v="2017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n v="9"/>
    <n v="2014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n v="7"/>
    <n v="2014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n v="9"/>
    <n v="2015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n v="5"/>
    <n v="20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n v="1"/>
    <n v="2015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n v="12"/>
    <n v="2016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n v="10"/>
    <n v="2016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n v="1"/>
    <n v="2017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n v="5"/>
    <n v="201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n v="4"/>
    <n v="201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n v="4"/>
    <n v="2015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n v="12"/>
    <n v="2016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n v="6"/>
    <n v="2016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n v="8"/>
    <n v="2014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n v="2"/>
    <n v="2016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n v="1"/>
    <n v="2017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n v="2"/>
    <n v="2016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n v="3"/>
    <n v="2015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n v="10"/>
    <n v="201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n v="11"/>
    <n v="2015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n v="5"/>
    <n v="2016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n v="11"/>
    <n v="2015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n v="6"/>
    <n v="2015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n v="3"/>
    <n v="2015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n v="6"/>
    <n v="201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n v="5"/>
    <n v="2015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n v="5"/>
    <n v="2015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n v="10"/>
    <n v="2015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n v="5"/>
    <n v="201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n v="2"/>
    <n v="2017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n v="3"/>
    <n v="2016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n v="2"/>
    <n v="2016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n v="1"/>
    <n v="2017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n v="5"/>
    <n v="2015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n v="5"/>
    <n v="2016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n v="11"/>
    <n v="201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n v="12"/>
    <n v="2016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n v="4"/>
    <n v="201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n v="4"/>
    <n v="2014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n v="8"/>
    <n v="2015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n v="6"/>
    <n v="2016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n v="10"/>
    <n v="2015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n v="9"/>
    <n v="2016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n v="7"/>
    <n v="2015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n v="11"/>
    <n v="2016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n v="3"/>
    <n v="2016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n v="10"/>
    <n v="2016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n v="4"/>
    <n v="201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n v="8"/>
    <n v="2013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n v="3"/>
    <n v="2014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n v="7"/>
    <n v="2014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n v="7"/>
    <n v="2011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n v="3"/>
    <n v="2012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n v="1"/>
    <n v="2011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n v="7"/>
    <n v="2015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n v="8"/>
    <n v="2013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n v="1"/>
    <n v="2012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n v="1"/>
    <n v="2015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n v="11"/>
    <n v="2013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n v="7"/>
    <n v="2012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n v="8"/>
    <n v="2012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n v="7"/>
    <n v="2011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n v="12"/>
    <n v="2011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n v="5"/>
    <n v="2013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n v="10"/>
    <n v="2014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n v="8"/>
    <n v="2011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n v="5"/>
    <n v="201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n v="3"/>
    <n v="201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n v="5"/>
    <n v="201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n v="10"/>
    <n v="2011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n v="4"/>
    <n v="2013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n v="5"/>
    <n v="2014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n v="6"/>
    <n v="2012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n v="7"/>
    <n v="2014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n v="7"/>
    <n v="201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n v="9"/>
    <n v="2013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n v="8"/>
    <n v="2014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n v="11"/>
    <n v="201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n v="11"/>
    <n v="2013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n v="1"/>
    <n v="2012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n v="2"/>
    <n v="2011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n v="8"/>
    <n v="2013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n v="5"/>
    <n v="201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n v="1"/>
    <n v="2014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n v="12"/>
    <n v="2013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n v="1"/>
    <n v="2014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n v="2"/>
    <n v="2014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n v="9"/>
    <n v="201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n v="10"/>
    <n v="2010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n v="12"/>
    <n v="2013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n v="6"/>
    <n v="2013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n v="8"/>
    <n v="2013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n v="3"/>
    <n v="2016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n v="1"/>
    <n v="201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n v="10"/>
    <n v="2013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n v="4"/>
    <n v="201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n v="8"/>
    <n v="2014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n v="7"/>
    <n v="2012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n v="7"/>
    <n v="2013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n v="7"/>
    <n v="2009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n v="7"/>
    <n v="2012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n v="5"/>
    <n v="2014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n v="2"/>
    <n v="2014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n v="12"/>
    <n v="201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n v="7"/>
    <n v="2013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n v="11"/>
    <n v="2013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n v="2"/>
    <n v="201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n v="12"/>
    <n v="2016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n v="6"/>
    <n v="201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n v="2"/>
    <n v="2015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n v="4"/>
    <n v="2015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n v="7"/>
    <n v="2016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n v="12"/>
    <n v="2016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n v="3"/>
    <n v="2015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n v="3"/>
    <n v="2015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n v="9"/>
    <n v="2015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n v="10"/>
    <n v="2015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n v="10"/>
    <n v="2015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n v="6"/>
    <n v="201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n v="2"/>
    <n v="201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n v="4"/>
    <n v="2016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n v="3"/>
    <n v="2016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n v="6"/>
    <n v="2015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n v="4"/>
    <n v="2016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n v="7"/>
    <n v="2015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n v="11"/>
    <n v="2016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n v="7"/>
    <n v="2016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n v="1"/>
    <n v="2017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n v="6"/>
    <n v="2016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n v="11"/>
    <n v="201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n v="1"/>
    <n v="2016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n v="8"/>
    <n v="2016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n v="9"/>
    <n v="2015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n v="7"/>
    <n v="2016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n v="10"/>
    <n v="2016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n v="3"/>
    <n v="2015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n v="2"/>
    <n v="2016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n v="8"/>
    <n v="2016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n v="10"/>
    <n v="20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n v="1"/>
    <n v="20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n v="5"/>
    <n v="201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n v="12"/>
    <n v="2014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n v="6"/>
    <n v="2014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n v="12"/>
    <n v="201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n v="11"/>
    <n v="2016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n v="4"/>
    <n v="201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n v="3"/>
    <n v="201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n v="9"/>
    <n v="2016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n v="11"/>
    <n v="2016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n v="12"/>
    <n v="2014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n v="4"/>
    <n v="20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n v="8"/>
    <n v="2016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n v="10"/>
    <n v="2014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n v="6"/>
    <n v="2016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n v="7"/>
    <n v="2016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n v="12"/>
    <n v="2016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n v="6"/>
    <n v="2014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n v="2"/>
    <n v="2016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n v="11"/>
    <n v="201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n v="11"/>
    <n v="2014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n v="2"/>
    <n v="201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n v="7"/>
    <n v="2015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n v="10"/>
    <n v="2014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n v="7"/>
    <n v="2014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n v="8"/>
    <n v="2016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n v="6"/>
    <n v="2015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n v="6"/>
    <n v="2016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n v="6"/>
    <n v="2016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n v="6"/>
    <n v="2014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n v="5"/>
    <n v="2013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n v="2"/>
    <n v="201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n v="11"/>
    <n v="2014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n v="11"/>
    <n v="201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n v="11"/>
    <n v="2015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n v="1"/>
    <n v="2016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n v="7"/>
    <n v="2015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n v="2"/>
    <n v="201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n v="5"/>
    <n v="2016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n v="10"/>
    <n v="2012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n v="6"/>
    <n v="2013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n v="1"/>
    <n v="2013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n v="5"/>
    <n v="2011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n v="5"/>
    <n v="2011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n v="7"/>
    <n v="2012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n v="5"/>
    <n v="2014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n v="7"/>
    <n v="2013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n v="1"/>
    <n v="2016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n v="11"/>
    <n v="201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n v="2"/>
    <n v="201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n v="10"/>
    <n v="2014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n v="10"/>
    <n v="2015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n v="5"/>
    <n v="2015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n v="3"/>
    <n v="2014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n v="10"/>
    <n v="2013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n v="4"/>
    <n v="2015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n v="6"/>
    <n v="201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n v="11"/>
    <n v="2016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n v="2"/>
    <n v="2016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n v="12"/>
    <n v="2016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n v="11"/>
    <n v="201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n v="1"/>
    <n v="201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n v="7"/>
    <n v="2016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n v="5"/>
    <n v="2015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n v="5"/>
    <n v="2015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n v="11"/>
    <n v="2016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n v="4"/>
    <n v="2013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n v="12"/>
    <n v="2016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n v="6"/>
    <n v="2015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n v="3"/>
    <n v="2016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n v="6"/>
    <n v="2015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n v="5"/>
    <n v="201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n v="9"/>
    <n v="2016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n v="7"/>
    <n v="2016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n v="3"/>
    <n v="2015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n v="7"/>
    <n v="2015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n v="2"/>
    <n v="201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n v="7"/>
    <n v="2016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n v="1"/>
    <n v="2017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n v="12"/>
    <n v="2016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n v="1"/>
    <n v="2015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n v="9"/>
    <n v="2016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n v="6"/>
    <n v="2016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n v="9"/>
    <n v="2014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n v="5"/>
    <n v="2016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n v="5"/>
    <n v="2013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n v="3"/>
    <n v="2015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n v="6"/>
    <n v="201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n v="1"/>
    <n v="201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n v="10"/>
    <n v="2014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n v="10"/>
    <n v="2015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n v="7"/>
    <n v="2014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n v="10"/>
    <n v="2015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n v="11"/>
    <n v="2014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n v="4"/>
    <n v="2016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n v="1"/>
    <n v="2015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n v="11"/>
    <n v="2014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n v="12"/>
    <n v="2015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n v="12"/>
    <n v="2016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n v="7"/>
    <n v="20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n v="10"/>
    <n v="2015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n v="8"/>
    <n v="2015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n v="1"/>
    <n v="2016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n v="9"/>
    <n v="2016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n v="6"/>
    <n v="201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n v="1"/>
    <n v="2015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n v="8"/>
    <n v="2016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n v="12"/>
    <n v="2015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n v="11"/>
    <n v="2016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n v="3"/>
    <n v="201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n v="6"/>
    <n v="2015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n v="8"/>
    <n v="2016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n v="3"/>
    <n v="2016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n v="3"/>
    <n v="2015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n v="11"/>
    <n v="2014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n v="10"/>
    <n v="2015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n v="6"/>
    <n v="2015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n v="10"/>
    <n v="2016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n v="5"/>
    <n v="2015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n v="9"/>
    <n v="201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n v="1"/>
    <n v="201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n v="6"/>
    <n v="2014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n v="3"/>
    <n v="2016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n v="2"/>
    <n v="2015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n v="4"/>
    <n v="2016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n v="7"/>
    <n v="2015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n v="4"/>
    <n v="2016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n v="12"/>
    <n v="2016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n v="7"/>
    <n v="2015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n v="5"/>
    <n v="201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n v="4"/>
    <n v="201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n v="6"/>
    <n v="2016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n v="4"/>
    <n v="2015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n v="3"/>
    <n v="201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n v="1"/>
    <n v="2016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n v="10"/>
    <n v="2014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n v="6"/>
    <n v="2014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n v="3"/>
    <n v="201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n v="4"/>
    <n v="2016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n v="7"/>
    <n v="2014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n v="12"/>
    <n v="201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n v="10"/>
    <n v="2015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n v="7"/>
    <n v="2014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n v="11"/>
    <n v="2015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n v="10"/>
    <n v="2014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n v="9"/>
    <n v="201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n v="3"/>
    <n v="2013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n v="2"/>
    <n v="201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n v="1"/>
    <n v="2013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n v="2"/>
    <n v="201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n v="12"/>
    <n v="2015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n v="1"/>
    <n v="2012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n v="4"/>
    <n v="2011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n v="1"/>
    <n v="2013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n v="12"/>
    <n v="2012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n v="3"/>
    <n v="2015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n v="9"/>
    <n v="201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n v="1"/>
    <n v="2012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n v="8"/>
    <n v="2013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n v="11"/>
    <n v="2014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n v="8"/>
    <n v="2011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n v="10"/>
    <n v="2011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n v="4"/>
    <n v="20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n v="4"/>
    <n v="2014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n v="7"/>
    <n v="2013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n v="10"/>
    <n v="2013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n v="8"/>
    <n v="201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n v="6"/>
    <n v="2016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n v="5"/>
    <n v="2012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n v="5"/>
    <n v="201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n v="1"/>
    <n v="2015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n v="7"/>
    <n v="2016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n v="12"/>
    <n v="2013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n v="10"/>
    <n v="201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n v="9"/>
    <n v="2013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n v="12"/>
    <n v="2014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n v="5"/>
    <n v="2011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n v="5"/>
    <n v="201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n v="3"/>
    <n v="2015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n v="7"/>
    <n v="20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n v="7"/>
    <n v="2014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n v="6"/>
    <n v="2013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n v="7"/>
    <n v="2014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n v="6"/>
    <n v="2016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n v="4"/>
    <n v="2013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n v="6"/>
    <n v="2015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n v="2"/>
    <n v="2016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n v="8"/>
    <n v="2016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n v="5"/>
    <n v="201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n v="2"/>
    <n v="2016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n v="6"/>
    <n v="201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n v="3"/>
    <n v="201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n v="5"/>
    <n v="2014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n v="1"/>
    <n v="2017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n v="6"/>
    <n v="2014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n v="10"/>
    <n v="2015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n v="1"/>
    <n v="2017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n v="6"/>
    <n v="2014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n v="8"/>
    <n v="2015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n v="2"/>
    <n v="2016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n v="9"/>
    <n v="20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n v="11"/>
    <n v="2014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n v="5"/>
    <n v="2014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n v="5"/>
    <n v="2014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n v="11"/>
    <n v="2014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n v="5"/>
    <n v="2016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n v="9"/>
    <n v="2014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n v="11"/>
    <n v="2014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n v="1"/>
    <n v="2017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n v="7"/>
    <n v="2016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n v="12"/>
    <n v="2015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n v="2"/>
    <n v="201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n v="1"/>
    <n v="2017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n v="2"/>
    <n v="2015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n v="9"/>
    <n v="201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n v="10"/>
    <n v="2014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n v="1"/>
    <n v="2016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n v="3"/>
    <n v="2016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n v="8"/>
    <n v="2015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n v="4"/>
    <n v="2016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n v="7"/>
    <n v="2015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n v="7"/>
    <n v="2016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n v="12"/>
    <n v="2014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n v="12"/>
    <n v="2016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n v="10"/>
    <n v="2014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n v="12"/>
    <n v="2014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n v="6"/>
    <n v="2015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n v="10"/>
    <n v="201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n v="2"/>
    <n v="2015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n v="1"/>
    <n v="201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n v="7"/>
    <n v="2014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n v="2"/>
    <n v="201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n v="10"/>
    <n v="2015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n v="10"/>
    <n v="2015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n v="4"/>
    <n v="2016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n v="4"/>
    <n v="2015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n v="9"/>
    <n v="2014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n v="8"/>
    <n v="2015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n v="7"/>
    <n v="2015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n v="8"/>
    <n v="201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n v="6"/>
    <n v="201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n v="8"/>
    <n v="2014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n v="6"/>
    <n v="2015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n v="4"/>
    <n v="2015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n v="10"/>
    <n v="2014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n v="10"/>
    <n v="201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n v="9"/>
    <n v="2009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n v="1"/>
    <n v="2014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n v="4"/>
    <n v="2015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n v="5"/>
    <n v="201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n v="6"/>
    <n v="201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n v="2"/>
    <n v="2014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n v="11"/>
    <n v="2014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n v="4"/>
    <n v="2013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n v="3"/>
    <n v="2016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n v="5"/>
    <n v="2015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n v="2"/>
    <n v="2016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n v="2"/>
    <n v="2017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n v="1"/>
    <n v="2015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n v="6"/>
    <n v="2014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n v="5"/>
    <n v="2015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n v="5"/>
    <n v="2012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n v="8"/>
    <n v="201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n v="7"/>
    <n v="2013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n v="3"/>
    <n v="2012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n v="11"/>
    <n v="2015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n v="8"/>
    <n v="2015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n v="8"/>
    <n v="2014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n v="5"/>
    <n v="201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n v="12"/>
    <n v="2016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n v="3"/>
    <n v="2015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n v="11"/>
    <n v="2014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n v="1"/>
    <n v="2015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n v="9"/>
    <n v="2015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n v="8"/>
    <n v="2015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n v="3"/>
    <n v="2016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n v="2"/>
    <n v="201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n v="1"/>
    <n v="201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n v="3"/>
    <n v="2016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n v="5"/>
    <n v="2014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n v="10"/>
    <n v="2014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n v="8"/>
    <n v="2016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n v="5"/>
    <n v="2015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n v="3"/>
    <n v="20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n v="6"/>
    <n v="2014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n v="4"/>
    <n v="201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n v="9"/>
    <n v="2011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n v="11"/>
    <n v="2011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n v="2"/>
    <n v="2012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n v="7"/>
    <n v="2011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n v="12"/>
    <n v="2010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n v="5"/>
    <n v="2012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n v="11"/>
    <n v="2013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n v="9"/>
    <n v="2011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n v="11"/>
    <n v="2012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n v="5"/>
    <n v="2013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n v="12"/>
    <n v="20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n v="6"/>
    <n v="201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n v="6"/>
    <n v="20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n v="10"/>
    <n v="2011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n v="10"/>
    <n v="2012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n v="9"/>
    <n v="2013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n v="1"/>
    <n v="2013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n v="8"/>
    <n v="2014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n v="2"/>
    <n v="2013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n v="4"/>
    <n v="2012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n v="11"/>
    <n v="201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n v="6"/>
    <n v="201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n v="11"/>
    <n v="2012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n v="8"/>
    <n v="2012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n v="11"/>
    <n v="2013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n v="10"/>
    <n v="2012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n v="5"/>
    <n v="2014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n v="1"/>
    <n v="2014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n v="1"/>
    <n v="2012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n v="9"/>
    <n v="2012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n v="7"/>
    <n v="2011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n v="12"/>
    <n v="2011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n v="4"/>
    <n v="201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n v="5"/>
    <n v="2016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n v="4"/>
    <n v="2011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n v="11"/>
    <n v="2009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n v="1"/>
    <n v="2013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n v="2"/>
    <n v="2012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n v="7"/>
    <n v="201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n v="11"/>
    <n v="201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n v="5"/>
    <n v="2011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n v="8"/>
    <n v="2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n v="9"/>
    <n v="2012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n v="9"/>
    <n v="2013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n v="7"/>
    <n v="2014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n v="5"/>
    <n v="2012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n v="2"/>
    <n v="2011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n v="4"/>
    <n v="2014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n v="9"/>
    <n v="2013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n v="3"/>
    <n v="201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n v="10"/>
    <n v="201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n v="3"/>
    <n v="2011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n v="3"/>
    <n v="2012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n v="3"/>
    <n v="2012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n v="11"/>
    <n v="201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n v="4"/>
    <n v="2012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n v="11"/>
    <n v="2012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n v="11"/>
    <n v="2013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n v="3"/>
    <n v="2016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n v="12"/>
    <n v="2015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n v="11"/>
    <n v="2011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n v="1"/>
    <n v="2015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n v="1"/>
    <n v="2012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n v="1"/>
    <n v="2011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n v="2"/>
    <n v="201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n v="2"/>
    <n v="2014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n v="10"/>
    <n v="2011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n v="4"/>
    <n v="201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n v="5"/>
    <n v="201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n v="7"/>
    <n v="2016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n v="5"/>
    <n v="201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n v="2"/>
    <n v="2015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n v="7"/>
    <n v="201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n v="9"/>
    <n v="2011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n v="3"/>
    <n v="2012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n v="2"/>
    <n v="201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n v="1"/>
    <n v="2014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n v="6"/>
    <n v="2011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n v="6"/>
    <n v="2014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n v="2"/>
    <n v="2017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n v="2"/>
    <n v="2017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n v="3"/>
    <n v="2017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n v="2"/>
    <n v="2017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n v="2"/>
    <n v="2017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n v="2"/>
    <n v="2017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n v="3"/>
    <n v="201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n v="3"/>
    <n v="2017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n v="2"/>
    <n v="2017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n v="3"/>
    <n v="2017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n v="3"/>
    <n v="2017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n v="2"/>
    <n v="201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n v="3"/>
    <n v="2017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n v="2"/>
    <n v="2017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n v="3"/>
    <n v="2017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n v="3"/>
    <n v="2017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n v="3"/>
    <n v="201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n v="3"/>
    <n v="2017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n v="3"/>
    <n v="2017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n v="3"/>
    <n v="2017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n v="12"/>
    <n v="2014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n v="2"/>
    <n v="2015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n v="7"/>
    <n v="2015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n v="1"/>
    <n v="2015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n v="8"/>
    <n v="201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n v="6"/>
    <n v="2015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n v="2"/>
    <n v="2016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n v="3"/>
    <n v="201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n v="7"/>
    <n v="20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n v="12"/>
    <n v="2015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n v="8"/>
    <n v="201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n v="5"/>
    <n v="2015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n v="9"/>
    <n v="2014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n v="4"/>
    <n v="2015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n v="3"/>
    <n v="20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n v="10"/>
    <n v="20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n v="3"/>
    <n v="2016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n v="3"/>
    <n v="2016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n v="8"/>
    <n v="2014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n v="10"/>
    <n v="2014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n v="11"/>
    <n v="2015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n v="2"/>
    <n v="2016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n v="5"/>
    <n v="20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n v="9"/>
    <n v="201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n v="7"/>
    <n v="2014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n v="5"/>
    <n v="201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n v="2"/>
    <n v="2015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n v="9"/>
    <n v="2015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n v="4"/>
    <n v="201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n v="9"/>
    <n v="2015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n v="5"/>
    <n v="2015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n v="11"/>
    <n v="2015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n v="9"/>
    <n v="2016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n v="4"/>
    <n v="2015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n v="7"/>
    <n v="2016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n v="10"/>
    <n v="2015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n v="6"/>
    <n v="2015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n v="9"/>
    <n v="2014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n v="3"/>
    <n v="2016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n v="6"/>
    <n v="2015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n v="4"/>
    <n v="2015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n v="12"/>
    <n v="2016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n v="8"/>
    <n v="2016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n v="1"/>
    <n v="2015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n v="11"/>
    <n v="2016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n v="10"/>
    <n v="201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n v="10"/>
    <n v="2015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n v="8"/>
    <n v="2015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n v="1"/>
    <n v="2017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n v="3"/>
    <n v="2016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n v="2"/>
    <n v="2015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n v="9"/>
    <n v="2016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n v="2"/>
    <n v="2016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n v="3"/>
    <n v="2015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n v="9"/>
    <n v="201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n v="7"/>
    <n v="201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n v="12"/>
    <n v="2016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n v="5"/>
    <n v="2016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n v="3"/>
    <n v="2015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n v="2"/>
    <n v="2016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n v="7"/>
    <n v="2015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n v="2"/>
    <n v="2016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n v="9"/>
    <n v="2016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n v="7"/>
    <n v="201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n v="7"/>
    <n v="2014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n v="8"/>
    <n v="2014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n v="7"/>
    <n v="201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n v="7"/>
    <n v="201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n v="12"/>
    <n v="2014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n v="9"/>
    <n v="20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n v="9"/>
    <n v="2014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n v="5"/>
    <n v="2014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n v="12"/>
    <n v="2014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n v="10"/>
    <n v="201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n v="9"/>
    <n v="2014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n v="9"/>
    <n v="2014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n v="1"/>
    <n v="2015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n v="2"/>
    <n v="20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n v="8"/>
    <n v="2016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n v="5"/>
    <n v="2016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n v="8"/>
    <n v="2016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n v="1"/>
    <n v="2016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n v="4"/>
    <n v="2015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n v="12"/>
    <n v="201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n v="9"/>
    <n v="2014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n v="11"/>
    <n v="2014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n v="3"/>
    <n v="2015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n v="10"/>
    <n v="2014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n v="11"/>
    <n v="2014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n v="1"/>
    <n v="2015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n v="11"/>
    <n v="2014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n v="7"/>
    <n v="2015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n v="10"/>
    <n v="2014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n v="1"/>
    <n v="2015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n v="9"/>
    <n v="2016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n v="5"/>
    <n v="201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n v="11"/>
    <n v="2016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n v="12"/>
    <n v="2015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n v="10"/>
    <n v="2014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n v="9"/>
    <n v="2016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n v="11"/>
    <n v="2015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n v="6"/>
    <n v="2015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n v="1"/>
    <n v="2015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n v="10"/>
    <n v="2015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n v="8"/>
    <n v="201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n v="8"/>
    <n v="2014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n v="8"/>
    <n v="2014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n v="1"/>
    <n v="2017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n v="1"/>
    <n v="2015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n v="8"/>
    <n v="2014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n v="8"/>
    <n v="2014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n v="6"/>
    <n v="201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n v="7"/>
    <n v="2014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n v="1"/>
    <n v="2015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n v="6"/>
    <n v="20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n v="6"/>
    <n v="20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n v="12"/>
    <n v="2016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n v="3"/>
    <n v="2015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n v="6"/>
    <n v="2014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n v="3"/>
    <n v="2015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n v="1"/>
    <n v="2012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n v="12"/>
    <n v="2013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n v="9"/>
    <n v="2012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n v="12"/>
    <n v="2013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n v="6"/>
    <n v="201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n v="1"/>
    <n v="2014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n v="1"/>
    <n v="201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n v="4"/>
    <n v="2014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n v="12"/>
    <n v="201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n v="1"/>
    <n v="2014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n v="4"/>
    <n v="2012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n v="2"/>
    <n v="2011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n v="1"/>
    <n v="201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n v="12"/>
    <n v="201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n v="3"/>
    <n v="2016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n v="1"/>
    <n v="2013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n v="1"/>
    <n v="2012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n v="9"/>
    <n v="2011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n v="9"/>
    <n v="2016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n v="4"/>
    <n v="2013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n v="4"/>
    <n v="2014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n v="1"/>
    <n v="2015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n v="1"/>
    <n v="2011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n v="5"/>
    <n v="2011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n v="6"/>
    <n v="2016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n v="11"/>
    <n v="2012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n v="3"/>
    <n v="2015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n v="5"/>
    <n v="2011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n v="9"/>
    <n v="2012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n v="6"/>
    <n v="2014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n v="7"/>
    <n v="2014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n v="3"/>
    <n v="2015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n v="9"/>
    <n v="2012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n v="4"/>
    <n v="2013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n v="11"/>
    <n v="2013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n v="6"/>
    <n v="2014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n v="8"/>
    <n v="2014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n v="10"/>
    <n v="201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n v="8"/>
    <n v="2011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n v="1"/>
    <n v="201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n v="12"/>
    <n v="2014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n v="1"/>
    <n v="2017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n v="5"/>
    <n v="2014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n v="4"/>
    <n v="201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n v="10"/>
    <n v="2016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n v="1"/>
    <n v="201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n v="10"/>
    <n v="2016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n v="11"/>
    <n v="201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n v="12"/>
    <n v="2016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n v="1"/>
    <n v="2016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n v="10"/>
    <n v="2014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n v="5"/>
    <n v="2015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n v="6"/>
    <n v="2015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n v="6"/>
    <n v="2016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n v="6"/>
    <n v="2016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n v="5"/>
    <n v="2014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n v="1"/>
    <n v="201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n v="5"/>
    <n v="2014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n v="2"/>
    <n v="2016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n v="3"/>
    <n v="2016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n v="2"/>
    <n v="2015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n v="6"/>
    <n v="20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n v="3"/>
    <n v="2012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n v="10"/>
    <n v="2012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n v="7"/>
    <n v="2012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n v="10"/>
    <n v="2014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n v="11"/>
    <n v="2015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n v="5"/>
    <n v="201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n v="1"/>
    <n v="2013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n v="11"/>
    <n v="2012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n v="6"/>
    <n v="201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n v="5"/>
    <n v="201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n v="3"/>
    <n v="2011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n v="1"/>
    <n v="2012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n v="9"/>
    <n v="201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n v="3"/>
    <n v="2012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n v="2"/>
    <n v="2014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n v="12"/>
    <n v="2015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n v="2"/>
    <n v="2015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n v="9"/>
    <n v="2012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n v="4"/>
    <n v="2015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n v="2"/>
    <n v="2015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n v="11"/>
    <n v="2016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n v="11"/>
    <n v="2015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n v="8"/>
    <n v="20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n v="5"/>
    <n v="201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n v="5"/>
    <n v="2014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n v="11"/>
    <n v="2016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n v="9"/>
    <n v="2014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n v="9"/>
    <n v="2015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n v="7"/>
    <n v="201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n v="5"/>
    <n v="2015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n v="9"/>
    <n v="2014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n v="10"/>
    <n v="20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n v="8"/>
    <n v="2014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n v="10"/>
    <n v="20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n v="1"/>
    <n v="20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n v="7"/>
    <n v="2014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n v="4"/>
    <n v="2015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n v="9"/>
    <n v="2015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n v="6"/>
    <n v="2012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n v="11"/>
    <n v="2013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n v="8"/>
    <n v="2011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n v="12"/>
    <n v="2013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n v="9"/>
    <n v="2013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n v="10"/>
    <n v="201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n v="2"/>
    <n v="2012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n v="4"/>
    <n v="2013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n v="5"/>
    <n v="2011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n v="5"/>
    <n v="2013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n v="5"/>
    <n v="2012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n v="1"/>
    <n v="201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n v="8"/>
    <n v="2014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n v="11"/>
    <n v="201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n v="5"/>
    <n v="2014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n v="11"/>
    <n v="2011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n v="5"/>
    <n v="2012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n v="6"/>
    <n v="2013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n v="2"/>
    <n v="2013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n v="5"/>
    <n v="2011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n v="4"/>
    <n v="2014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n v="4"/>
    <n v="2011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n v="6"/>
    <n v="20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n v="4"/>
    <n v="201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n v="6"/>
    <n v="201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n v="2"/>
    <n v="2014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n v="10"/>
    <n v="2009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n v="4"/>
    <n v="2016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n v="6"/>
    <n v="2014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n v="3"/>
    <n v="2011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n v="10"/>
    <n v="2016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n v="9"/>
    <n v="2013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n v="2"/>
    <n v="2012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n v="1"/>
    <n v="201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n v="4"/>
    <n v="2012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n v="3"/>
    <n v="201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n v="9"/>
    <n v="2012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n v="2"/>
    <n v="2013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n v="8"/>
    <n v="2014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n v="11"/>
    <n v="2014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n v="8"/>
    <n v="2012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n v="4"/>
    <n v="2014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n v="8"/>
    <n v="201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n v="3"/>
    <n v="2016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n v="12"/>
    <n v="2011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n v="7"/>
    <n v="2014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n v="4"/>
    <n v="2014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n v="11"/>
    <n v="2016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n v="7"/>
    <n v="2016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n v="2"/>
    <n v="2013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n v="10"/>
    <n v="2013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n v="10"/>
    <n v="201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n v="6"/>
    <n v="2016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n v="6"/>
    <n v="2013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n v="2"/>
    <n v="2013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n v="6"/>
    <n v="2013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n v="11"/>
    <n v="2015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n v="5"/>
    <n v="201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n v="10"/>
    <n v="2015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n v="2"/>
    <n v="2016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n v="6"/>
    <n v="2014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n v="11"/>
    <n v="2016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n v="8"/>
    <n v="2016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n v="10"/>
    <n v="201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n v="7"/>
    <n v="2016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n v="2"/>
    <n v="201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n v="1"/>
    <n v="2015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n v="7"/>
    <n v="2015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n v="11"/>
    <n v="2016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n v="1"/>
    <n v="2016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n v="6"/>
    <n v="2015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n v="1"/>
    <n v="2015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n v="11"/>
    <n v="2015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n v="10"/>
    <n v="2016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n v="6"/>
    <n v="201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n v="6"/>
    <n v="2014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n v="7"/>
    <n v="2014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n v="6"/>
    <n v="2014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n v="10"/>
    <n v="2014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n v="12"/>
    <n v="2015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n v="5"/>
    <n v="2015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n v="12"/>
    <n v="2016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n v="6"/>
    <n v="201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n v="6"/>
    <n v="201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n v="9"/>
    <n v="2013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n v="10"/>
    <n v="2014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n v="6"/>
    <n v="201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n v="8"/>
    <n v="2011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n v="10"/>
    <n v="2016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n v="7"/>
    <n v="2016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n v="12"/>
    <n v="2015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n v="1"/>
    <n v="2015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n v="5"/>
    <n v="2016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n v="2"/>
    <n v="2013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n v="8"/>
    <n v="2011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n v="2"/>
    <n v="2013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n v="2"/>
    <n v="2012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n v="7"/>
    <n v="2015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n v="8"/>
    <n v="2016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n v="4"/>
    <n v="201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n v="8"/>
    <n v="2014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n v="5"/>
    <n v="2016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n v="5"/>
    <n v="2015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n v="7"/>
    <n v="2012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n v="5"/>
    <n v="201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n v="3"/>
    <n v="2014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n v="2"/>
    <n v="2015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n v="2"/>
    <n v="201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n v="7"/>
    <n v="2014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n v="10"/>
    <n v="2012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n v="12"/>
    <n v="2014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n v="11"/>
    <n v="2016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n v="3"/>
    <n v="2014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n v="3"/>
    <n v="2015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n v="11"/>
    <n v="201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n v="4"/>
    <n v="2014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n v="10"/>
    <n v="201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n v="5"/>
    <n v="2013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n v="11"/>
    <n v="2016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n v="10"/>
    <n v="201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n v="10"/>
    <n v="2016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n v="11"/>
    <n v="2015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n v="10"/>
    <n v="2016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n v="5"/>
    <n v="2015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n v="6"/>
    <n v="2012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n v="4"/>
    <n v="2013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n v="3"/>
    <n v="2015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n v="4"/>
    <n v="2013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n v="10"/>
    <n v="201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n v="4"/>
    <n v="2015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n v="11"/>
    <n v="2013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n v="1"/>
    <n v="2016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n v="10"/>
    <n v="2015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n v="4"/>
    <n v="201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n v="11"/>
    <n v="2014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n v="3"/>
    <n v="2013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n v="1"/>
    <n v="2016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n v="1"/>
    <n v="2015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n v="12"/>
    <n v="2015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n v="5"/>
    <n v="2014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n v="12"/>
    <n v="2016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n v="2"/>
    <n v="2016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n v="4"/>
    <n v="2016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n v="4"/>
    <n v="201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n v="11"/>
    <n v="2013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n v="7"/>
    <n v="2014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n v="4"/>
    <n v="2015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n v="9"/>
    <n v="2016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n v="12"/>
    <n v="2015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n v="5"/>
    <n v="2016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n v="8"/>
    <n v="2016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n v="4"/>
    <n v="2016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n v="3"/>
    <n v="2015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n v="4"/>
    <n v="2016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n v="6"/>
    <n v="2013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n v="6"/>
    <n v="2014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n v="4"/>
    <n v="2015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n v="11"/>
    <n v="2016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n v="5"/>
    <n v="2015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n v="10"/>
    <n v="2015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n v="4"/>
    <n v="2012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n v="9"/>
    <n v="2011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n v="5"/>
    <n v="2012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n v="4"/>
    <n v="201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n v="6"/>
    <n v="2012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n v="11"/>
    <n v="2011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n v="8"/>
    <n v="2011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n v="8"/>
    <n v="201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n v="6"/>
    <n v="2013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n v="1"/>
    <n v="2013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n v="1"/>
    <n v="201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n v="8"/>
    <n v="2011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n v="10"/>
    <n v="201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n v="1"/>
    <n v="2012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n v="8"/>
    <n v="2011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n v="10"/>
    <n v="2012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n v="10"/>
    <n v="2011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n v="2"/>
    <n v="2012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n v="6"/>
    <n v="2015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n v="6"/>
    <n v="2012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n v="12"/>
    <n v="201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n v="4"/>
    <n v="2011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n v="10"/>
    <n v="2012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n v="4"/>
    <n v="2013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n v="11"/>
    <n v="2014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n v="12"/>
    <n v="2012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n v="10"/>
    <n v="2014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n v="8"/>
    <n v="2012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n v="6"/>
    <n v="2015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n v="4"/>
    <n v="2014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n v="6"/>
    <n v="20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n v="4"/>
    <n v="201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n v="8"/>
    <n v="2014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n v="10"/>
    <n v="201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n v="1"/>
    <n v="201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n v="8"/>
    <n v="2012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n v="10"/>
    <n v="2015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n v="6"/>
    <n v="2011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n v="7"/>
    <n v="2012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n v="11"/>
    <n v="2013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n v="12"/>
    <n v="2016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n v="12"/>
    <n v="2016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n v="1"/>
    <n v="201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n v="10"/>
    <n v="201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n v="7"/>
    <n v="201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n v="11"/>
    <n v="2014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n v="2"/>
    <n v="2015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n v="7"/>
    <n v="2014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n v="2"/>
    <n v="2016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n v="7"/>
    <n v="2014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n v="6"/>
    <n v="2015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n v="1"/>
    <n v="2014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n v="3"/>
    <n v="2011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n v="3"/>
    <n v="2013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n v="9"/>
    <n v="2012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n v="9"/>
    <n v="2013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n v="11"/>
    <n v="2014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n v="10"/>
    <n v="2013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n v="10"/>
    <n v="2016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n v="12"/>
    <n v="2012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n v="10"/>
    <n v="2014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n v="12"/>
    <n v="2015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n v="6"/>
    <n v="201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n v="8"/>
    <n v="2013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n v="10"/>
    <n v="2013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n v="1"/>
    <n v="201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n v="10"/>
    <n v="2014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n v="3"/>
    <n v="2015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n v="6"/>
    <n v="201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n v="6"/>
    <n v="2016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n v="5"/>
    <n v="2016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n v="2"/>
    <n v="2014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n v="12"/>
    <n v="2014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n v="1"/>
    <n v="201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n v="3"/>
    <n v="2016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n v="8"/>
    <n v="2013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n v="11"/>
    <n v="2016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n v="12"/>
    <n v="2012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n v="6"/>
    <n v="2011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n v="4"/>
    <n v="2012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n v="8"/>
    <n v="2015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n v="6"/>
    <n v="2014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n v="4"/>
    <n v="2015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n v="5"/>
    <n v="2016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n v="3"/>
    <n v="2016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n v="10"/>
    <n v="2014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n v="9"/>
    <n v="2012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n v="1"/>
    <n v="2017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n v="2"/>
    <n v="2017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n v="7"/>
    <n v="2015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n v="5"/>
    <n v="201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n v="3"/>
    <n v="2015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n v="8"/>
    <n v="201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n v="4"/>
    <n v="2016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n v="7"/>
    <n v="201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n v="4"/>
    <n v="2015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n v="5"/>
    <n v="2016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n v="12"/>
    <n v="2016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n v="3"/>
    <n v="2015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n v="10"/>
    <n v="2015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n v="2"/>
    <n v="2017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n v="8"/>
    <n v="2014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n v="1"/>
    <n v="201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n v="1"/>
    <n v="2016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n v="2"/>
    <n v="2013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n v="8"/>
    <n v="201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n v="3"/>
    <n v="2015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n v="9"/>
    <n v="2016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n v="4"/>
    <n v="2016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n v="2"/>
    <n v="2016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n v="2"/>
    <n v="201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n v="11"/>
    <n v="2016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n v="10"/>
    <n v="2016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n v="2"/>
    <n v="2016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n v="7"/>
    <n v="201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n v="11"/>
    <n v="201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n v="1"/>
    <n v="2015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n v="10"/>
    <n v="2015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n v="9"/>
    <n v="2015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n v="6"/>
    <n v="2015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n v="1"/>
    <n v="2013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n v="10"/>
    <n v="201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n v="8"/>
    <n v="2015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n v="2"/>
    <n v="2013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n v="5"/>
    <n v="2012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n v="3"/>
    <n v="2012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n v="10"/>
    <n v="201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n v="2"/>
    <n v="2012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n v="4"/>
    <n v="201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n v="2"/>
    <n v="2012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n v="3"/>
    <n v="2014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n v="10"/>
    <n v="2013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n v="4"/>
    <n v="2015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n v="1"/>
    <n v="20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n v="2"/>
    <n v="201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n v="7"/>
    <n v="201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n v="10"/>
    <n v="2015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n v="8"/>
    <n v="2012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n v="7"/>
    <n v="2015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n v="6"/>
    <n v="2013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n v="3"/>
    <n v="2016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n v="12"/>
    <n v="2011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n v="5"/>
    <n v="2015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n v="10"/>
    <n v="2016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n v="8"/>
    <n v="2014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n v="1"/>
    <n v="201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n v="10"/>
    <n v="2013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n v="7"/>
    <n v="2015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n v="7"/>
    <n v="2013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n v="3"/>
    <n v="2014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n v="5"/>
    <n v="2013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n v="6"/>
    <n v="2014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n v="11"/>
    <n v="2015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n v="12"/>
    <n v="2016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n v="2"/>
    <n v="201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n v="1"/>
    <n v="201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n v="10"/>
    <n v="2014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n v="2"/>
    <n v="2017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n v="10"/>
    <n v="2013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n v="3"/>
    <n v="2016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n v="1"/>
    <n v="2017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n v="10"/>
    <n v="201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n v="3"/>
    <n v="2017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n v="10"/>
    <n v="201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n v="1"/>
    <n v="2014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n v="8"/>
    <n v="2015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n v="7"/>
    <n v="201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n v="11"/>
    <n v="2016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n v="3"/>
    <n v="2013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n v="11"/>
    <n v="2016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n v="7"/>
    <n v="2014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n v="7"/>
    <n v="2016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n v="10"/>
    <n v="2015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n v="1"/>
    <n v="2017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n v="4"/>
    <n v="2016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n v="11"/>
    <n v="201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n v="5"/>
    <n v="2016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n v="5"/>
    <n v="2015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n v="11"/>
    <n v="201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n v="2"/>
    <n v="2014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n v="1"/>
    <n v="2017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n v="10"/>
    <n v="2014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n v="1"/>
    <n v="2015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n v="5"/>
    <n v="2016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n v="11"/>
    <n v="2016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n v="4"/>
    <n v="201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n v="11"/>
    <n v="2014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n v="2"/>
    <n v="2017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n v="2"/>
    <n v="2017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n v="12"/>
    <n v="2016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n v="11"/>
    <n v="2016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n v="11"/>
    <n v="2015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n v="2"/>
    <n v="2017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n v="1"/>
    <n v="201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n v="11"/>
    <n v="2014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n v="12"/>
    <n v="2013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n v="1"/>
    <n v="2012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n v="11"/>
    <n v="2015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n v="1"/>
    <n v="2015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n v="8"/>
    <n v="2015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n v="5"/>
    <n v="201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n v="11"/>
    <n v="2015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n v="3"/>
    <n v="2012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n v="2"/>
    <n v="2011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n v="5"/>
    <n v="2012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n v="8"/>
    <n v="2013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n v="6"/>
    <n v="2014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n v="6"/>
    <n v="2012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n v="10"/>
    <n v="2013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n v="9"/>
    <n v="2009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n v="3"/>
    <n v="2012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n v="3"/>
    <n v="201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n v="8"/>
    <n v="2012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n v="12"/>
    <n v="2012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n v="12"/>
    <n v="2012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n v="1"/>
    <n v="2012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n v="2"/>
    <n v="2012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n v="2"/>
    <n v="2014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n v="1"/>
    <n v="2011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n v="6"/>
    <n v="2012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n v="5"/>
    <n v="2013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n v="11"/>
    <n v="2013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n v="11"/>
    <n v="2011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n v="11"/>
    <n v="201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n v="7"/>
    <n v="2014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n v="2"/>
    <n v="2012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n v="4"/>
    <n v="2012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n v="7"/>
    <n v="2014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n v="2"/>
    <n v="2013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n v="2"/>
    <n v="2013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n v="4"/>
    <n v="2014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n v="3"/>
    <n v="2014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n v="4"/>
    <n v="2012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n v="5"/>
    <n v="2012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n v="4"/>
    <n v="2012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n v="9"/>
    <n v="2009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n v="1"/>
    <n v="201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n v="8"/>
    <n v="2009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n v="11"/>
    <n v="2013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n v="2"/>
    <n v="2014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n v="3"/>
    <n v="2017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n v="3"/>
    <n v="2017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n v="3"/>
    <n v="201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n v="2"/>
    <n v="2017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n v="2"/>
    <n v="2017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n v="3"/>
    <n v="2017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n v="7"/>
    <n v="2014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n v="5"/>
    <n v="2015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n v="6"/>
    <n v="2014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n v="11"/>
    <n v="2015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n v="7"/>
    <n v="2014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n v="1"/>
    <n v="2015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n v="5"/>
    <n v="2014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n v="10"/>
    <n v="201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n v="5"/>
    <n v="2014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n v="1"/>
    <n v="2014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n v="5"/>
    <n v="2014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n v="5"/>
    <n v="201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n v="11"/>
    <n v="2016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n v="9"/>
    <n v="2016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n v="6"/>
    <n v="2015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n v="9"/>
    <n v="2014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n v="11"/>
    <n v="201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n v="5"/>
    <n v="2016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n v="2"/>
    <n v="201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n v="9"/>
    <n v="201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n v="7"/>
    <n v="201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n v="12"/>
    <n v="2015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n v="7"/>
    <n v="2015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n v="12"/>
    <n v="2016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n v="3"/>
    <n v="2015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n v="4"/>
    <n v="2015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n v="4"/>
    <n v="2015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n v="11"/>
    <n v="201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n v="4"/>
    <n v="201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n v="5"/>
    <n v="2015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n v="9"/>
    <n v="2015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n v="12"/>
    <n v="2014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n v="6"/>
    <n v="2015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n v="1"/>
    <n v="2016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n v="4"/>
    <n v="2016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n v="11"/>
    <n v="2014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n v="11"/>
    <n v="2015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n v="9"/>
    <n v="2015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n v="12"/>
    <n v="201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n v="9"/>
    <n v="2015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n v="2"/>
    <n v="20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n v="2"/>
    <n v="201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n v="1"/>
    <n v="2016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n v="11"/>
    <n v="2014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n v="5"/>
    <n v="2015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n v="3"/>
    <n v="2015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n v="7"/>
    <n v="2015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n v="1"/>
    <n v="2015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n v="8"/>
    <n v="2016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n v="11"/>
    <n v="2015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n v="10"/>
    <n v="2016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n v="7"/>
    <n v="2015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n v="8"/>
    <n v="2015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n v="9"/>
    <n v="2015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n v="3"/>
    <n v="2015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n v="7"/>
    <n v="2015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n v="1"/>
    <n v="2015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n v="10"/>
    <n v="201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n v="7"/>
    <n v="201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n v="11"/>
    <n v="201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n v="6"/>
    <n v="2016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n v="12"/>
    <n v="2014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n v="6"/>
    <n v="2015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n v="11"/>
    <n v="201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n v="3"/>
    <n v="2015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n v="9"/>
    <n v="2015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n v="7"/>
    <n v="2015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n v="1"/>
    <n v="2015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n v="12"/>
    <n v="2016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n v="9"/>
    <n v="2015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n v="12"/>
    <n v="2014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n v="6"/>
    <n v="2015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n v="11"/>
    <n v="2014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n v="3"/>
    <n v="2016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n v="1"/>
    <n v="201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n v="4"/>
    <n v="2015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n v="1"/>
    <n v="2016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n v="12"/>
    <n v="2015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n v="8"/>
    <n v="2016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n v="12"/>
    <n v="2014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n v="3"/>
    <n v="2015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n v="10"/>
    <n v="2014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n v="7"/>
    <n v="20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n v="8"/>
    <n v="201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n v="7"/>
    <n v="2015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n v="10"/>
    <n v="2016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n v="5"/>
    <n v="2014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n v="7"/>
    <n v="2015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n v="6"/>
    <n v="201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n v="1"/>
    <n v="2015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n v="7"/>
    <n v="2014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n v="1"/>
    <n v="2015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n v="12"/>
    <n v="2014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n v="9"/>
    <n v="2014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n v="1"/>
    <n v="2015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n v="2"/>
    <n v="2015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n v="12"/>
    <n v="2014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n v="9"/>
    <n v="201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n v="5"/>
    <n v="2016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n v="6"/>
    <n v="2015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n v="2"/>
    <n v="2016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n v="2"/>
    <n v="2015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n v="12"/>
    <n v="201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n v="1"/>
    <n v="2016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n v="4"/>
    <n v="2016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n v="2"/>
    <n v="2015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n v="1"/>
    <n v="2016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n v="6"/>
    <n v="2015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n v="9"/>
    <n v="201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n v="11"/>
    <n v="2015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n v="1"/>
    <n v="2015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n v="10"/>
    <n v="2015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n v="9"/>
    <n v="2015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n v="1"/>
    <n v="2016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n v="7"/>
    <n v="2015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n v="2"/>
    <n v="2015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n v="7"/>
    <n v="2014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n v="4"/>
    <n v="2016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n v="8"/>
    <n v="201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n v="10"/>
    <n v="201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n v="10"/>
    <n v="2016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n v="8"/>
    <n v="2016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n v="10"/>
    <n v="2014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n v="9"/>
    <n v="2014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n v="2"/>
    <n v="2017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n v="11"/>
    <n v="2015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n v="1"/>
    <n v="2017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n v="2"/>
    <n v="2017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n v="3"/>
    <n v="2016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n v="1"/>
    <n v="2017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n v="2"/>
    <n v="201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n v="5"/>
    <n v="2016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n v="2"/>
    <n v="2016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n v="11"/>
    <n v="2016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n v="8"/>
    <n v="201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n v="6"/>
    <n v="201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n v="3"/>
    <n v="201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n v="9"/>
    <n v="2015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n v="8"/>
    <n v="2012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n v="4"/>
    <n v="201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n v="4"/>
    <n v="2012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n v="9"/>
    <n v="2012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n v="1"/>
    <n v="2011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n v="4"/>
    <n v="2012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n v="12"/>
    <n v="201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n v="6"/>
    <n v="201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n v="10"/>
    <n v="2012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n v="8"/>
    <n v="2010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n v="5"/>
    <n v="201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n v="10"/>
    <n v="2014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n v="6"/>
    <n v="2012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n v="12"/>
    <n v="2012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n v="7"/>
    <n v="2012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n v="8"/>
    <n v="2015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n v="3"/>
    <n v="2012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n v="6"/>
    <n v="2011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n v="3"/>
    <n v="2012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n v="8"/>
    <n v="2011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n v="9"/>
    <n v="2011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n v="3"/>
    <n v="2012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n v="4"/>
    <n v="2012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n v="10"/>
    <n v="2011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n v="4"/>
    <n v="2013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n v="4"/>
    <n v="2012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n v="12"/>
    <n v="201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n v="4"/>
    <n v="201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n v="3"/>
    <n v="201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n v="4"/>
    <n v="2012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n v="5"/>
    <n v="2012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n v="2"/>
    <n v="2013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n v="7"/>
    <n v="2011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n v="1"/>
    <n v="2015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n v="11"/>
    <n v="2012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n v="5"/>
    <n v="2012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n v="8"/>
    <n v="2015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n v="8"/>
    <n v="2014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n v="5"/>
    <n v="2016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n v="10"/>
    <n v="20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n v="2"/>
    <n v="201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n v="9"/>
    <n v="2015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n v="4"/>
    <n v="2015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n v="7"/>
    <n v="201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n v="2"/>
    <n v="2015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n v="3"/>
    <n v="2015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n v="1"/>
    <n v="2016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n v="11"/>
    <n v="2014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n v="12"/>
    <n v="2016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n v="8"/>
    <n v="20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n v="1"/>
    <n v="20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n v="10"/>
    <n v="2014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n v="2"/>
    <n v="2015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n v="10"/>
    <n v="2014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n v="6"/>
    <n v="201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n v="8"/>
    <n v="2016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n v="9"/>
    <n v="2015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n v="3"/>
    <n v="2016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n v="10"/>
    <n v="2014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n v="11"/>
    <n v="201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n v="5"/>
    <n v="2012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n v="11"/>
    <n v="201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n v="9"/>
    <n v="2013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n v="8"/>
    <n v="2015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n v="2"/>
    <n v="2012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n v="3"/>
    <n v="201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n v="7"/>
    <n v="2015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n v="7"/>
    <n v="201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n v="1"/>
    <n v="201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n v="11"/>
    <n v="2009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n v="10"/>
    <n v="2014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n v="7"/>
    <n v="2013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n v="6"/>
    <n v="2011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n v="1"/>
    <n v="2013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n v="12"/>
    <n v="2014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n v="8"/>
    <n v="201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n v="7"/>
    <n v="2013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n v="8"/>
    <n v="2013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n v="12"/>
    <n v="201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n v="6"/>
    <n v="2012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n v="1"/>
    <n v="201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n v="9"/>
    <n v="2013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n v="3"/>
    <n v="2012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n v="9"/>
    <n v="2016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n v="4"/>
    <n v="2013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n v="8"/>
    <n v="2015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n v="2"/>
    <n v="2012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n v="2"/>
    <n v="2017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n v="7"/>
    <n v="2012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n v="5"/>
    <n v="2015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n v="4"/>
    <n v="2012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n v="11"/>
    <n v="2012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n v="4"/>
    <n v="2014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n v="3"/>
    <n v="2015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n v="10"/>
    <n v="2011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n v="2"/>
    <n v="2015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n v="9"/>
    <n v="2015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n v="8"/>
    <n v="2016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n v="5"/>
    <n v="2015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n v="7"/>
    <n v="201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n v="3"/>
    <n v="2016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n v="7"/>
    <n v="2014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n v="3"/>
    <n v="2015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n v="8"/>
    <n v="2016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n v="8"/>
    <n v="2015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n v="1"/>
    <n v="2017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n v="3"/>
    <n v="2016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n v="3"/>
    <n v="2015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n v="7"/>
    <n v="2014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n v="4"/>
    <n v="2016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n v="12"/>
    <n v="201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n v="2"/>
    <n v="2015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n v="7"/>
    <n v="2014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n v="8"/>
    <n v="2015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n v="7"/>
    <n v="2014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n v="4"/>
    <n v="2015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n v="10"/>
    <n v="2015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n v="9"/>
    <n v="2016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n v="1"/>
    <n v="2015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n v="5"/>
    <n v="2015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n v="6"/>
    <n v="2014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n v="11"/>
    <n v="2015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n v="11"/>
    <n v="2015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n v="2"/>
    <n v="2015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n v="2"/>
    <n v="2016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n v="1"/>
    <n v="2016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n v="1"/>
    <n v="2016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n v="9"/>
    <n v="2014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n v="3"/>
    <n v="2015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n v="7"/>
    <n v="201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n v="1"/>
    <n v="2017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n v="7"/>
    <n v="2014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n v="5"/>
    <n v="2016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n v="8"/>
    <n v="2015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n v="6"/>
    <n v="2014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n v="1"/>
    <n v="2016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n v="8"/>
    <n v="2012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n v="10"/>
    <n v="2014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n v="12"/>
    <n v="201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n v="3"/>
    <n v="2012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n v="5"/>
    <n v="2016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n v="3"/>
    <n v="2014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n v="6"/>
    <n v="2015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n v="2"/>
    <n v="2017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n v="6"/>
    <n v="2012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n v="7"/>
    <n v="2016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n v="11"/>
    <n v="2016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n v="12"/>
    <n v="2014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n v="8"/>
    <n v="2012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n v="4"/>
    <n v="20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n v="3"/>
    <n v="2016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n v="7"/>
    <n v="2015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n v="9"/>
    <n v="2014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n v="10"/>
    <n v="2015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n v="9"/>
    <n v="2015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n v="9"/>
    <n v="2015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n v="4"/>
    <n v="2015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n v="11"/>
    <n v="20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n v="11"/>
    <n v="201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n v="8"/>
    <n v="201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n v="10"/>
    <n v="2016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n v="5"/>
    <n v="2015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n v="10"/>
    <n v="2015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n v="11"/>
    <n v="2014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n v="4"/>
    <n v="2015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n v="6"/>
    <n v="2016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n v="8"/>
    <n v="2015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n v="5"/>
    <n v="2016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n v="1"/>
    <n v="2014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n v="8"/>
    <n v="2016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n v="2"/>
    <n v="201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n v="9"/>
    <n v="201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n v="9"/>
    <n v="2016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n v="12"/>
    <n v="2014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n v="1"/>
    <n v="2015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n v="4"/>
    <n v="2015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n v="8"/>
    <n v="2014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n v="6"/>
    <n v="2016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n v="11"/>
    <n v="2016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n v="2"/>
    <n v="2017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n v="10"/>
    <n v="2014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n v="8"/>
    <n v="2015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n v="7"/>
    <n v="2015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n v="2"/>
    <n v="2016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n v="12"/>
    <n v="2015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n v="11"/>
    <n v="2016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n v="11"/>
    <n v="2015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n v="11"/>
    <n v="2014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n v="5"/>
    <n v="2014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n v="2"/>
    <n v="2015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n v="1"/>
    <n v="2016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n v="2"/>
    <n v="2017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n v="6"/>
    <n v="2016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n v="6"/>
    <n v="2016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n v="3"/>
    <n v="2015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n v="9"/>
    <n v="2015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n v="9"/>
    <n v="2013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n v="7"/>
    <n v="2015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n v="8"/>
    <n v="2015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n v="11"/>
    <n v="2015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n v="3"/>
    <n v="201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n v="8"/>
    <n v="2015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n v="1"/>
    <n v="20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n v="9"/>
    <n v="201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n v="11"/>
    <n v="2015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n v="7"/>
    <n v="2014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n v="11"/>
    <n v="2014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n v="12"/>
    <n v="2015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n v="9"/>
    <n v="2014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n v="6"/>
    <n v="2016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n v="10"/>
    <n v="2014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n v="4"/>
    <n v="201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n v="6"/>
    <n v="2014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n v="8"/>
    <n v="201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n v="1"/>
    <n v="2015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n v="3"/>
    <n v="2016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n v="6"/>
    <n v="2014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n v="10"/>
    <n v="2014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n v="1"/>
    <n v="2015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n v="6"/>
    <n v="201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n v="2"/>
    <n v="201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n v="9"/>
    <n v="2014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n v="5"/>
    <n v="2015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n v="1"/>
    <n v="2015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n v="6"/>
    <n v="2016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n v="4"/>
    <n v="2015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n v="3"/>
    <n v="2015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n v="2"/>
    <n v="2015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n v="7"/>
    <n v="2014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n v="8"/>
    <n v="201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n v="2"/>
    <n v="201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n v="11"/>
    <n v="2014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n v="7"/>
    <n v="2015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n v="5"/>
    <n v="2014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n v="7"/>
    <n v="2014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n v="8"/>
    <n v="2014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n v="3"/>
    <n v="2017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n v="3"/>
    <n v="201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n v="1"/>
    <n v="2017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n v="2"/>
    <n v="2017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n v="2"/>
    <n v="2017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n v="9"/>
    <n v="2014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n v="4"/>
    <n v="201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n v="5"/>
    <n v="201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n v="8"/>
    <n v="2016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n v="7"/>
    <n v="2014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n v="5"/>
    <n v="2014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n v="6"/>
    <n v="2013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n v="11"/>
    <n v="2015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n v="9"/>
    <n v="201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n v="1"/>
    <n v="2016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n v="9"/>
    <n v="2015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n v="10"/>
    <n v="2014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n v="4"/>
    <n v="2016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n v="2"/>
    <n v="2016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n v="10"/>
    <n v="2016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n v="8"/>
    <n v="2013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n v="11"/>
    <n v="2016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n v="11"/>
    <n v="2014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n v="7"/>
    <n v="2015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n v="1"/>
    <n v="2017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n v="3"/>
    <n v="201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n v="7"/>
    <n v="2015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n v="11"/>
    <n v="2015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n v="4"/>
    <n v="2015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n v="3"/>
    <n v="2013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n v="8"/>
    <n v="2014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n v="4"/>
    <n v="2013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n v="2"/>
    <n v="2015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n v="9"/>
    <n v="2016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n v="2"/>
    <n v="2013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n v="3"/>
    <n v="2014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n v="12"/>
    <n v="2013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n v="9"/>
    <n v="2016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n v="3"/>
    <n v="2014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n v="2"/>
    <n v="2015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n v="9"/>
    <n v="2014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n v="5"/>
    <n v="201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n v="9"/>
    <n v="2016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n v="1"/>
    <n v="2012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n v="5"/>
    <n v="2012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n v="7"/>
    <n v="2014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n v="5"/>
    <n v="2012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n v="8"/>
    <n v="2016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n v="3"/>
    <n v="2015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n v="6"/>
    <n v="2012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n v="4"/>
    <n v="2014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n v="11"/>
    <n v="2011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n v="7"/>
    <n v="2012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n v="8"/>
    <n v="201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n v="3"/>
    <n v="201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n v="12"/>
    <n v="2013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n v="7"/>
    <n v="2016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n v="9"/>
    <n v="2016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n v="6"/>
    <n v="201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n v="5"/>
    <n v="2013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n v="12"/>
    <n v="2012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n v="1"/>
    <n v="201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n v="4"/>
    <n v="201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n v="5"/>
    <n v="2012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n v="10"/>
    <n v="2012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n v="7"/>
    <n v="2011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n v="6"/>
    <n v="2015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n v="2"/>
    <n v="2012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n v="4"/>
    <n v="2014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n v="2"/>
    <n v="2014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n v="12"/>
    <n v="2012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n v="9"/>
    <n v="2013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n v="4"/>
    <n v="2016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n v="2"/>
    <n v="2013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n v="11"/>
    <n v="2011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n v="5"/>
    <n v="2015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n v="6"/>
    <n v="2015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n v="7"/>
    <n v="2014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n v="10"/>
    <n v="2015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n v="2"/>
    <n v="2017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n v="1"/>
    <n v="2015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n v="1"/>
    <n v="2015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n v="4"/>
    <n v="2015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n v="10"/>
    <n v="201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n v="7"/>
    <n v="2016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n v="6"/>
    <n v="2014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n v="6"/>
    <n v="2014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n v="6"/>
    <n v="2016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n v="2"/>
    <n v="2015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n v="1"/>
    <n v="2015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n v="8"/>
    <n v="2016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n v="6"/>
    <n v="2015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n v="6"/>
    <n v="201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n v="2"/>
    <n v="2016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n v="5"/>
    <n v="2014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n v="6"/>
    <n v="2014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n v="6"/>
    <n v="2014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n v="7"/>
    <n v="2015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n v="5"/>
    <n v="2016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n v="11"/>
    <n v="2014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n v="9"/>
    <n v="2014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n v="7"/>
    <n v="2015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n v="6"/>
    <n v="2015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n v="8"/>
    <n v="201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n v="7"/>
    <n v="201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n v="6"/>
    <n v="2015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n v="5"/>
    <n v="2015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n v="7"/>
    <n v="201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n v="3"/>
    <n v="2016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n v="4"/>
    <n v="201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n v="1"/>
    <n v="2015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n v="2"/>
    <n v="2015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n v="11"/>
    <n v="2016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n v="4"/>
    <n v="20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n v="7"/>
    <n v="2016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n v="7"/>
    <n v="2015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n v="1"/>
    <n v="2015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n v="9"/>
    <n v="2015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n v="5"/>
    <n v="2015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n v="2"/>
    <n v="2016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n v="8"/>
    <n v="2014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n v="2"/>
    <n v="2015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n v="3"/>
    <n v="2015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n v="5"/>
    <n v="2015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n v="11"/>
    <n v="201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n v="6"/>
    <n v="2015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n v="5"/>
    <n v="201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n v="9"/>
    <n v="2015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n v="5"/>
    <n v="2016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n v="4"/>
    <n v="2014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n v="6"/>
    <n v="2015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n v="10"/>
    <n v="201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n v="9"/>
    <n v="2015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n v="1"/>
    <n v="2015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n v="11"/>
    <n v="201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n v="1"/>
    <n v="2017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n v="10"/>
    <n v="2015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n v="7"/>
    <n v="2014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n v="8"/>
    <n v="201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n v="2"/>
    <n v="2015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n v="10"/>
    <n v="2015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n v="5"/>
    <n v="2014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n v="5"/>
    <n v="2016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n v="12"/>
    <n v="2016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n v="4"/>
    <n v="201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n v="4"/>
    <n v="2015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n v="3"/>
    <n v="2016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n v="4"/>
    <n v="2015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n v="3"/>
    <n v="2016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n v="8"/>
    <n v="2014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n v="1"/>
    <n v="2016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n v="5"/>
    <n v="2014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n v="7"/>
    <n v="2014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n v="4"/>
    <n v="2015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n v="1"/>
    <n v="2016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n v="6"/>
    <n v="2015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n v="12"/>
    <n v="2016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n v="11"/>
    <n v="2014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n v="8"/>
    <n v="2015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n v="4"/>
    <n v="201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n v="9"/>
    <n v="2015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n v="5"/>
    <n v="2014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n v="7"/>
    <n v="2014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n v="6"/>
    <n v="2015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n v="11"/>
    <n v="2014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n v="9"/>
    <n v="201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n v="6"/>
    <n v="2016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n v="9"/>
    <n v="2016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n v="6"/>
    <n v="2016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n v="4"/>
    <n v="2014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n v="12"/>
    <n v="2014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n v="4"/>
    <n v="2015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n v="12"/>
    <n v="2014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n v="12"/>
    <n v="201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n v="4"/>
    <n v="2016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n v="6"/>
    <n v="2015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n v="10"/>
    <n v="2016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n v="5"/>
    <n v="201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n v="12"/>
    <n v="2015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n v="7"/>
    <n v="2015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n v="10"/>
    <n v="2014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n v="4"/>
    <n v="2016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n v="1"/>
    <n v="2016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n v="11"/>
    <n v="201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n v="2"/>
    <n v="201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n v="9"/>
    <n v="2015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n v="12"/>
    <n v="201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n v="10"/>
    <n v="2014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n v="7"/>
    <n v="2014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n v="7"/>
    <n v="2014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n v="2"/>
    <n v="2016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n v="8"/>
    <n v="201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n v="11"/>
    <n v="2014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n v="2"/>
    <n v="20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n v="6"/>
    <n v="2014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n v="11"/>
    <n v="201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n v="9"/>
    <n v="201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n v="10"/>
    <n v="2015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n v="5"/>
    <n v="2016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n v="7"/>
    <n v="2014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n v="12"/>
    <n v="2014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n v="7"/>
    <n v="2015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n v="7"/>
    <n v="2015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n v="10"/>
    <n v="201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n v="8"/>
    <n v="2016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n v="7"/>
    <n v="2015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n v="3"/>
    <n v="2016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n v="5"/>
    <n v="2016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n v="10"/>
    <n v="2014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n v="4"/>
    <n v="2015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n v="5"/>
    <n v="2015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n v="12"/>
    <n v="2015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n v="7"/>
    <n v="2014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n v="1"/>
    <n v="2015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n v="2"/>
    <n v="2016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n v="4"/>
    <n v="2014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n v="8"/>
    <n v="2015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n v="10"/>
    <n v="2015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n v="7"/>
    <n v="2014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n v="2"/>
    <n v="2015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n v="8"/>
    <n v="201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n v="4"/>
    <n v="2015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n v="1"/>
    <n v="2015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n v="4"/>
    <n v="2015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n v="8"/>
    <n v="2014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n v="2"/>
    <n v="2015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n v="6"/>
    <n v="2014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n v="2"/>
    <n v="201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n v="4"/>
    <n v="2014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n v="4"/>
    <n v="2015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n v="8"/>
    <n v="2014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n v="1"/>
    <n v="2015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n v="5"/>
    <n v="2016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n v="5"/>
    <n v="201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n v="7"/>
    <n v="2016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n v="9"/>
    <n v="2014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n v="6"/>
    <n v="2014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n v="12"/>
    <n v="20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n v="7"/>
    <n v="2014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n v="12"/>
    <n v="2014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n v="1"/>
    <n v="201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n v="11"/>
    <n v="2015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n v="3"/>
    <n v="2015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n v="5"/>
    <n v="2015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n v="4"/>
    <n v="201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n v="7"/>
    <n v="201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n v="10"/>
    <n v="2016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n v="4"/>
    <n v="2015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n v="10"/>
    <n v="2015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n v="12"/>
    <n v="2015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n v="8"/>
    <n v="2014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n v="9"/>
    <n v="2016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n v="9"/>
    <n v="2015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n v="2"/>
    <n v="2017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n v="5"/>
    <n v="201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n v="4"/>
    <n v="201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n v="1"/>
    <n v="2015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n v="3"/>
    <n v="2016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n v="5"/>
    <n v="2016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n v="8"/>
    <n v="2014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n v="2"/>
    <n v="2015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n v="2"/>
    <n v="2015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n v="6"/>
    <n v="2015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n v="7"/>
    <n v="201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n v="6"/>
    <n v="201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n v="8"/>
    <n v="2015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n v="2"/>
    <n v="2015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n v="8"/>
    <n v="2016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n v="4"/>
    <n v="2015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n v="6"/>
    <n v="2014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n v="8"/>
    <n v="2014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n v="11"/>
    <n v="2016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n v="12"/>
    <n v="2015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n v="8"/>
    <n v="201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n v="10"/>
    <n v="2014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n v="2"/>
    <n v="201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n v="1"/>
    <n v="2015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n v="10"/>
    <n v="2014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n v="12"/>
    <n v="2014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n v="8"/>
    <n v="2015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n v="8"/>
    <n v="2015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n v="1"/>
    <n v="2016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n v="9"/>
    <n v="2014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n v="7"/>
    <n v="2016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n v="10"/>
    <n v="2016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n v="3"/>
    <n v="201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n v="9"/>
    <n v="2016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n v="5"/>
    <n v="2016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n v="11"/>
    <n v="2015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n v="12"/>
    <n v="2015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n v="1"/>
    <n v="2017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n v="9"/>
    <n v="2016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n v="1"/>
    <n v="2016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n v="9"/>
    <n v="201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n v="12"/>
    <n v="2016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n v="3"/>
    <n v="2015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n v="2"/>
    <n v="201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n v="5"/>
    <n v="2014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n v="2"/>
    <n v="2017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n v="1"/>
    <n v="2017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n v="6"/>
    <n v="2016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n v="11"/>
    <n v="20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n v="1"/>
    <n v="201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n v="10"/>
    <n v="201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n v="9"/>
    <n v="2014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n v="11"/>
    <n v="2014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n v="4"/>
    <n v="2015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n v="12"/>
    <n v="2015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n v="10"/>
    <n v="2014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n v="12"/>
    <n v="2014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n v="11"/>
    <n v="2015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n v="1"/>
    <n v="2015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n v="5"/>
    <n v="2015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n v="10"/>
    <n v="2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n v="5"/>
    <n v="2014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n v="5"/>
    <n v="2014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n v="7"/>
    <n v="2014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n v="6"/>
    <n v="2015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n v="4"/>
    <n v="2014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n v="6"/>
    <n v="2015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n v="10"/>
    <n v="2016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n v="7"/>
    <n v="2016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n v="4"/>
    <n v="2015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n v="9"/>
    <n v="2012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n v="5"/>
    <n v="2014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n v="2"/>
    <n v="2017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n v="2"/>
    <n v="2015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n v="7"/>
    <n v="2016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n v="10"/>
    <n v="2014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n v="8"/>
    <n v="2015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n v="8"/>
    <n v="2016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n v="8"/>
    <n v="2015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n v="7"/>
    <n v="2016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n v="10"/>
    <n v="2016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n v="4"/>
    <n v="2013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n v="7"/>
    <n v="2013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n v="7"/>
    <n v="201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n v="1"/>
    <n v="2016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n v="12"/>
    <n v="2013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n v="6"/>
    <n v="2015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n v="12"/>
    <n v="2015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n v="9"/>
    <n v="2015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n v="3"/>
    <n v="2015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n v="1"/>
    <n v="2016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n v="7"/>
    <n v="2014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n v="8"/>
    <n v="2014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n v="3"/>
    <n v="2016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n v="12"/>
    <n v="2014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n v="5"/>
    <n v="201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n v="4"/>
    <n v="2016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n v="1"/>
    <n v="2017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n v="4"/>
    <n v="2015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n v="8"/>
    <n v="2014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n v="1"/>
    <n v="2015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n v="11"/>
    <n v="2014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n v="7"/>
    <n v="201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n v="3"/>
    <n v="2016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n v="3"/>
    <n v="2016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n v="7"/>
    <n v="2014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n v="8"/>
    <n v="2015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n v="7"/>
    <n v="2014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n v="9"/>
    <n v="2015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n v="9"/>
    <n v="2016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n v="10"/>
    <n v="2015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n v="7"/>
    <n v="2014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n v="6"/>
    <n v="201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n v="8"/>
    <n v="2015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n v="9"/>
    <n v="2015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n v="11"/>
    <n v="201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n v="11"/>
    <n v="2016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n v="4"/>
    <n v="2015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n v="10"/>
    <n v="2016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n v="4"/>
    <n v="2015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n v="2"/>
    <n v="2016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n v="6"/>
    <n v="2016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n v="8"/>
    <n v="2015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n v="1"/>
    <n v="201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n v="1"/>
    <n v="201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n v="2"/>
    <n v="20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n v="10"/>
    <n v="201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n v="8"/>
    <n v="2015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n v="10"/>
    <n v="2015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n v="8"/>
    <n v="2014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n v="4"/>
    <n v="2015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n v="8"/>
    <n v="201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n v="6"/>
    <n v="2015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n v="10"/>
    <n v="2016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n v="12"/>
    <n v="2014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n v="6"/>
    <n v="2016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n v="3"/>
    <n v="201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n v="7"/>
    <n v="2016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n v="9"/>
    <n v="2015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n v="5"/>
    <n v="2014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n v="7"/>
    <n v="2015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n v="6"/>
    <n v="2016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n v="4"/>
    <n v="2015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n v="9"/>
    <n v="2016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n v="12"/>
    <n v="2015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n v="1"/>
    <n v="2016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n v="9"/>
    <n v="2014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n v="6"/>
    <n v="2015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n v="7"/>
    <n v="2016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n v="4"/>
    <n v="2015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n v="1"/>
    <n v="2015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n v="8"/>
    <n v="2014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n v="8"/>
    <n v="2015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n v="5"/>
    <n v="2015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n v="2"/>
    <n v="2015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n v="7"/>
    <n v="2014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n v="1"/>
    <n v="2017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n v="9"/>
    <n v="2014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n v="9"/>
    <n v="2016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n v="3"/>
    <n v="2015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n v="7"/>
    <n v="20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n v="5"/>
    <n v="2016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n v="3"/>
    <n v="201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n v="5"/>
    <n v="2016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n v="6"/>
    <n v="2016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n v="2"/>
    <n v="2015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n v="3"/>
    <n v="201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n v="7"/>
    <n v="2014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n v="11"/>
    <n v="2016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n v="6"/>
    <n v="2016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n v="12"/>
    <n v="201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n v="12"/>
    <n v="201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n v="2"/>
    <n v="201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n v="1"/>
    <n v="2015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n v="2"/>
    <n v="2017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n v="3"/>
    <n v="2017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n v="3"/>
    <n v="2017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n v="3"/>
    <n v="2017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n v="2"/>
    <n v="2017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n v="2"/>
    <n v="2017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n v="3"/>
    <n v="2017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n v="3"/>
    <n v="2017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n v="2"/>
    <n v="2017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n v="3"/>
    <n v="201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n v="3"/>
    <n v="201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n v="2"/>
    <n v="2017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n v="3"/>
    <n v="2017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n v="3"/>
    <n v="2017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n v="2"/>
    <n v="2017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n v="3"/>
    <n v="2017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n v="3"/>
    <n v="201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n v="1"/>
    <n v="2017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n v="3"/>
    <n v="2017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n v="9"/>
    <n v="2014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n v="9"/>
    <n v="201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n v="11"/>
    <n v="2012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n v="10"/>
    <n v="201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n v="8"/>
    <n v="201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n v="10"/>
    <n v="2013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n v="3"/>
    <n v="2011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n v="3"/>
    <n v="2012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n v="11"/>
    <n v="2012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n v="4"/>
    <n v="2012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n v="7"/>
    <n v="2014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n v="6"/>
    <n v="2013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n v="12"/>
    <n v="201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n v="7"/>
    <n v="2014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n v="9"/>
    <n v="2014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n v="6"/>
    <n v="2014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n v="5"/>
    <n v="2014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n v="5"/>
    <n v="201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n v="4"/>
    <n v="2011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n v="10"/>
    <n v="2014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n v="7"/>
    <n v="2014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n v="5"/>
    <n v="2014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n v="11"/>
    <n v="2013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n v="5"/>
    <n v="201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n v="4"/>
    <n v="2016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n v="1"/>
    <n v="201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n v="8"/>
    <n v="2014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n v="8"/>
    <n v="201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n v="12"/>
    <n v="2010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n v="7"/>
    <n v="2013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n v="5"/>
    <n v="2014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n v="6"/>
    <n v="2014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n v="4"/>
    <n v="2013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n v="5"/>
    <n v="2014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n v="5"/>
    <n v="2014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n v="12"/>
    <n v="201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n v="8"/>
    <n v="201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n v="6"/>
    <n v="201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n v="7"/>
    <n v="2014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n v="8"/>
    <n v="2014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n v="7"/>
    <n v="2014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n v="5"/>
    <n v="2015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n v="4"/>
    <n v="2015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n v="11"/>
    <n v="2016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n v="6"/>
    <n v="2016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n v="1"/>
    <n v="2015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n v="1"/>
    <n v="2015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n v="6"/>
    <n v="2015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n v="1"/>
    <n v="201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n v="6"/>
    <n v="201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n v="1"/>
    <n v="2015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n v="1"/>
    <n v="2015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n v="8"/>
    <n v="2014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n v="3"/>
    <n v="2016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n v="8"/>
    <n v="2014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n v="10"/>
    <n v="2015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n v="8"/>
    <n v="2015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n v="6"/>
    <n v="2015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n v="4"/>
    <n v="201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n v="8"/>
    <n v="2015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n v="2"/>
    <n v="2015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n v="7"/>
    <n v="2014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n v="5"/>
    <n v="2014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n v="4"/>
    <n v="2012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n v="7"/>
    <n v="2014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n v="7"/>
    <n v="2014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n v="6"/>
    <n v="2015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n v="11"/>
    <n v="2015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n v="8"/>
    <n v="20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n v="6"/>
    <n v="2015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n v="10"/>
    <n v="2016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n v="11"/>
    <n v="2014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n v="2"/>
    <n v="2015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n v="2"/>
    <n v="2017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n v="5"/>
    <n v="2015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n v="9"/>
    <n v="2015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n v="7"/>
    <n v="2015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n v="11"/>
    <n v="2016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n v="5"/>
    <n v="2016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n v="9"/>
    <n v="2015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n v="12"/>
    <n v="201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n v="11"/>
    <n v="2015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n v="10"/>
    <n v="2014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n v="9"/>
    <n v="2014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n v="3"/>
    <n v="2016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n v="4"/>
    <n v="2016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n v="1"/>
    <n v="2017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n v="12"/>
    <n v="2016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n v="6"/>
    <n v="2016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n v="11"/>
    <n v="201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n v="9"/>
    <n v="2015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n v="6"/>
    <n v="2015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n v="10"/>
    <n v="2015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n v="1"/>
    <n v="2017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n v="9"/>
    <n v="2014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n v="8"/>
    <n v="2014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n v="9"/>
    <n v="2015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n v="11"/>
    <n v="2016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n v="5"/>
    <n v="201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n v="8"/>
    <n v="2015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n v="6"/>
    <n v="2015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n v="3"/>
    <n v="2015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n v="5"/>
    <n v="2015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n v="10"/>
    <n v="201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n v="5"/>
    <n v="2015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n v="8"/>
    <n v="2016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n v="8"/>
    <n v="2016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n v="2"/>
    <n v="2015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n v="9"/>
    <n v="2014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n v="5"/>
    <n v="2015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n v="1"/>
    <n v="201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n v="12"/>
    <n v="2014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n v="9"/>
    <n v="2016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n v="10"/>
    <n v="2015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n v="6"/>
    <n v="2015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n v="11"/>
    <n v="2014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n v="10"/>
    <n v="2015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n v="1"/>
    <n v="2015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n v="11"/>
    <n v="20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n v="5"/>
    <n v="2015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n v="6"/>
    <n v="2015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n v="8"/>
    <n v="2016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n v="5"/>
    <n v="2015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n v="6"/>
    <n v="201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n v="10"/>
    <n v="2014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n v="10"/>
    <n v="2015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n v="8"/>
    <n v="2016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n v="1"/>
    <n v="2016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n v="1"/>
    <n v="201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n v="2"/>
    <n v="201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n v="10"/>
    <n v="2014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n v="4"/>
    <n v="2015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n v="3"/>
    <n v="2016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n v="4"/>
    <n v="2015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n v="8"/>
    <n v="201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n v="3"/>
    <n v="2016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n v="1"/>
    <n v="2016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n v="1"/>
    <n v="2016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n v="1"/>
    <n v="2017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n v="7"/>
    <n v="201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n v="11"/>
    <n v="2015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n v="5"/>
    <n v="2016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n v="1"/>
    <n v="2017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n v="2"/>
    <n v="2017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n v="8"/>
    <n v="2015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n v="10"/>
    <n v="2015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n v="2"/>
    <n v="2017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n v="5"/>
    <n v="2015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n v="8"/>
    <n v="2016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n v="11"/>
    <n v="2015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n v="7"/>
    <n v="2015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n v="8"/>
    <n v="2015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n v="9"/>
    <n v="2015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n v="4"/>
    <n v="2015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n v="6"/>
    <n v="201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n v="11"/>
    <n v="20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n v="2"/>
    <n v="2015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n v="11"/>
    <n v="2016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n v="7"/>
    <n v="201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n v="5"/>
    <n v="201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n v="4"/>
    <n v="2016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n v="3"/>
    <n v="2016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n v="9"/>
    <n v="2016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n v="9"/>
    <n v="201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n v="9"/>
    <n v="2015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n v="10"/>
    <n v="201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n v="1"/>
    <n v="2016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n v="4"/>
    <n v="2015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n v="4"/>
    <n v="2016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n v="7"/>
    <n v="2014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n v="5"/>
    <n v="2016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n v="3"/>
    <n v="2016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n v="12"/>
    <n v="2014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n v="5"/>
    <n v="2016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n v="10"/>
    <n v="2014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n v="5"/>
    <n v="201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n v="8"/>
    <n v="2016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n v="5"/>
    <n v="2016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n v="3"/>
    <n v="201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n v="2"/>
    <n v="201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n v="4"/>
    <n v="201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n v="7"/>
    <n v="2014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n v="7"/>
    <n v="2014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n v="3"/>
    <n v="2015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n v="9"/>
    <n v="2015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n v="6"/>
    <n v="2014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n v="5"/>
    <n v="2015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n v="6"/>
    <n v="2015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n v="7"/>
    <n v="2014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n v="3"/>
    <n v="201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n v="9"/>
    <n v="2014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n v="2"/>
    <n v="2017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n v="6"/>
    <n v="2016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n v="11"/>
    <n v="2016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n v="5"/>
    <n v="2016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n v="2"/>
    <n v="2015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n v="3"/>
    <n v="2016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n v="7"/>
    <n v="201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n v="2"/>
    <n v="201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n v="2"/>
    <n v="2015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n v="4"/>
    <n v="2016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n v="4"/>
    <n v="2016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n v="5"/>
    <n v="2016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n v="10"/>
    <n v="2015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n v="6"/>
    <n v="2014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n v="5"/>
    <n v="2016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n v="4"/>
    <n v="2016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n v="9"/>
    <n v="2015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n v="4"/>
    <n v="2016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n v="6"/>
    <n v="201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n v="7"/>
    <n v="2014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n v="10"/>
    <n v="2014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n v="1"/>
    <n v="2017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n v="11"/>
    <n v="2016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n v="8"/>
    <n v="2014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n v="2"/>
    <n v="2015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n v="7"/>
    <n v="2014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n v="2"/>
    <n v="2016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n v="11"/>
    <n v="201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n v="4"/>
    <n v="2015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n v="7"/>
    <n v="2015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n v="11"/>
    <n v="2014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n v="11"/>
    <n v="2016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n v="11"/>
    <n v="2016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n v="11"/>
    <n v="201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n v="8"/>
    <n v="2014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n v="6"/>
    <n v="2015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n v="9"/>
    <n v="2015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n v="5"/>
    <n v="2014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n v="2"/>
    <n v="2015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n v="2"/>
    <n v="2015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n v="8"/>
    <n v="2014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n v="8"/>
    <n v="2015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n v="10"/>
    <n v="2014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n v="2"/>
    <n v="2015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n v="7"/>
    <n v="201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n v="6"/>
    <n v="2016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n v="10"/>
    <n v="2015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n v="11"/>
    <n v="2014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n v="11"/>
    <n v="2014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n v="11"/>
    <n v="2014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n v="5"/>
    <n v="2015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n v="5"/>
    <n v="2016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n v="6"/>
    <n v="2014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n v="7"/>
    <n v="2014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n v="3"/>
    <n v="2016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n v="10"/>
    <n v="2014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n v="6"/>
    <n v="201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n v="5"/>
    <n v="201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n v="5"/>
    <n v="2014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n v="1"/>
    <n v="2016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n v="10"/>
    <n v="2014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n v="1"/>
    <n v="201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n v="7"/>
    <n v="20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n v="7"/>
    <n v="2015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n v="10"/>
    <n v="2015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n v="5"/>
    <n v="2015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n v="5"/>
    <n v="2015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n v="2"/>
    <n v="201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n v="6"/>
    <n v="2014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n v="6"/>
    <n v="2014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n v="6"/>
    <n v="201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n v="6"/>
    <n v="2016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n v="5"/>
    <n v="2016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n v="9"/>
    <n v="2015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n v="8"/>
    <n v="2014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n v="2"/>
    <n v="2015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n v="11"/>
    <n v="2016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n v="4"/>
    <n v="201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n v="3"/>
    <n v="201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n v="9"/>
    <n v="2014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n v="4"/>
    <n v="2014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n v="3"/>
    <n v="2016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n v="2"/>
    <n v="2016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n v="2"/>
    <n v="2015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n v="11"/>
    <n v="2015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n v="3"/>
    <n v="2015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n v="1"/>
    <n v="2015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n v="9"/>
    <n v="2014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n v="9"/>
    <n v="2014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n v="6"/>
    <n v="2014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n v="2"/>
    <n v="2015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n v="10"/>
    <n v="2016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n v="6"/>
    <n v="2014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n v="7"/>
    <n v="2014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n v="1"/>
    <n v="2016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n v="5"/>
    <n v="2014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n v="6"/>
    <n v="201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n v="7"/>
    <n v="2016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n v="7"/>
    <n v="2014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n v="7"/>
    <n v="2015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n v="4"/>
    <n v="2015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n v="1"/>
    <n v="2016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n v="6"/>
    <n v="2014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n v="10"/>
    <n v="2015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n v="4"/>
    <n v="2015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n v="8"/>
    <n v="2014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n v="5"/>
    <n v="201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n v="9"/>
    <n v="201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n v="1"/>
    <n v="201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n v="2"/>
    <n v="2016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n v="11"/>
    <n v="2014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n v="6"/>
    <n v="2016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n v="2"/>
    <n v="2015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n v="3"/>
    <n v="2015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n v="6"/>
    <n v="2014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n v="6"/>
    <n v="20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n v="7"/>
    <n v="201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n v="9"/>
    <n v="2016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n v="7"/>
    <n v="2014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n v="1"/>
    <n v="2015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n v="1"/>
    <n v="2015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n v="4"/>
    <n v="2016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n v="8"/>
    <n v="2014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n v="9"/>
    <n v="2016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n v="6"/>
    <n v="2015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n v="8"/>
    <n v="2016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n v="7"/>
    <n v="2016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n v="7"/>
    <n v="201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n v="2"/>
    <n v="201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n v="2"/>
    <n v="2015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n v="8"/>
    <n v="2016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n v="3"/>
    <n v="2016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n v="6"/>
    <n v="2016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n v="7"/>
    <n v="2014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n v="10"/>
    <n v="2014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n v="2"/>
    <n v="2015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n v="6"/>
    <n v="2016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n v="10"/>
    <n v="201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n v="10"/>
    <n v="2014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n v="5"/>
    <n v="2015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n v="2"/>
    <n v="2015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n v="5"/>
    <n v="2014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n v="6"/>
    <n v="2015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n v="12"/>
    <n v="2014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n v="6"/>
    <n v="2014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n v="6"/>
    <n v="2014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n v="5"/>
    <n v="2016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n v="1"/>
    <n v="2016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n v="5"/>
    <n v="2015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n v="5"/>
    <n v="2015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n v="3"/>
    <n v="2015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n v="4"/>
    <n v="2014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n v="3"/>
    <n v="2016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n v="4"/>
    <n v="2015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n v="9"/>
    <n v="2015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n v="7"/>
    <n v="2014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n v="11"/>
    <n v="2016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n v="10"/>
    <n v="2014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n v="8"/>
    <n v="201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n v="5"/>
    <n v="2016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n v="3"/>
    <n v="2016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n v="5"/>
    <n v="201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n v="2"/>
    <n v="2016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n v="8"/>
    <n v="201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n v="3"/>
    <n v="2016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n v="6"/>
    <n v="2016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n v="10"/>
    <n v="2015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n v="5"/>
    <n v="2014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n v="7"/>
    <n v="2014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n v="5"/>
    <n v="2016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n v="4"/>
    <n v="2016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n v="11"/>
    <n v="2014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n v="6"/>
    <n v="2014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n v="10"/>
    <n v="2014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n v="2"/>
    <n v="2015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n v="5"/>
    <n v="2014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n v="1"/>
    <n v="2015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n v="5"/>
    <n v="20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n v="8"/>
    <n v="2014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n v="6"/>
    <n v="201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n v="9"/>
    <n v="2014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n v="2"/>
    <n v="2015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n v="8"/>
    <n v="2015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n v="8"/>
    <n v="2014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n v="8"/>
    <n v="2015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n v="7"/>
    <n v="2016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n v="8"/>
    <n v="201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n v="7"/>
    <n v="201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n v="3"/>
    <n v="201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n v="6"/>
    <n v="201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n v="12"/>
    <n v="2016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n v="6"/>
    <n v="2015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n v="3"/>
    <n v="2016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n v="5"/>
    <n v="2016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n v="9"/>
    <n v="2014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n v="10"/>
    <n v="2015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n v="8"/>
    <n v="2015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n v="9"/>
    <n v="201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n v="11"/>
    <n v="201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n v="10"/>
    <n v="2014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n v="7"/>
    <n v="2016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n v="8"/>
    <n v="2016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n v="5"/>
    <n v="2016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n v="8"/>
    <n v="20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n v="7"/>
    <n v="2014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n v="5"/>
    <n v="2015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n v="2"/>
    <n v="2015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n v="3"/>
    <n v="201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n v="3"/>
    <n v="2015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n v="4"/>
    <n v="2016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n v="2"/>
    <n v="2016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n v="8"/>
    <n v="2015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n v="4"/>
    <n v="2016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n v="4"/>
    <n v="2014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n v="5"/>
    <n v="201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n v="7"/>
    <n v="2015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n v="1"/>
    <n v="2015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n v="10"/>
    <n v="2016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n v="6"/>
    <n v="201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n v="4"/>
    <n v="2014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n v="5"/>
    <n v="201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n v="7"/>
    <n v="2015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n v="4"/>
    <n v="2015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n v="7"/>
    <n v="2015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n v="3"/>
    <n v="2016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n v="7"/>
    <n v="201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n v="8"/>
    <n v="2015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n v="12"/>
    <n v="2014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n v="12"/>
    <n v="2014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n v="5"/>
    <n v="2015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n v="8"/>
    <n v="201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n v="12"/>
    <n v="2014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n v="12"/>
    <n v="2014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n v="9"/>
    <n v="2014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n v="5"/>
    <n v="2015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n v="10"/>
    <n v="2014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n v="10"/>
    <n v="201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n v="7"/>
    <n v="2016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n v="10"/>
    <n v="201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n v="3"/>
    <n v="2015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n v="3"/>
    <n v="2016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n v="3"/>
    <n v="201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n v="1"/>
    <n v="2015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n v="7"/>
    <n v="2014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n v="3"/>
    <n v="2016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n v="2"/>
    <n v="2016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n v="6"/>
    <n v="2015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n v="11"/>
    <n v="2014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n v="7"/>
    <n v="201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n v="5"/>
    <n v="2016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n v="4"/>
    <n v="2015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n v="5"/>
    <n v="2015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n v="9"/>
    <n v="201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n v="12"/>
    <n v="201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n v="12"/>
    <n v="2014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n v="12"/>
    <n v="2014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n v="8"/>
    <n v="2016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n v="2"/>
    <n v="201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n v="8"/>
    <n v="2014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n v="2"/>
    <n v="2016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n v="8"/>
    <n v="2014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n v="8"/>
    <n v="2015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n v="9"/>
    <n v="2016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n v="12"/>
    <n v="2014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n v="3"/>
    <n v="2016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n v="10"/>
    <n v="2015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n v="4"/>
    <n v="201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n v="1"/>
    <n v="201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n v="7"/>
    <n v="201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n v="11"/>
    <n v="2015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n v="5"/>
    <n v="2016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n v="2"/>
    <n v="2016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n v="7"/>
    <n v="2015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n v="3"/>
    <n v="2015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n v="5"/>
    <n v="2014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n v="5"/>
    <n v="201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n v="5"/>
    <n v="2015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n v="11"/>
    <n v="20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n v="2"/>
    <n v="2015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n v="2"/>
    <n v="20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n v="5"/>
    <n v="2015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n v="10"/>
    <n v="201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n v="2"/>
    <n v="2015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n v="9"/>
    <n v="2016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n v="8"/>
    <n v="2014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n v="7"/>
    <n v="2014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n v="6"/>
    <n v="2016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n v="6"/>
    <n v="201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n v="7"/>
    <n v="2014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n v="3"/>
    <n v="2016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n v="10"/>
    <n v="2015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n v="3"/>
    <n v="2016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n v="10"/>
    <n v="2014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n v="8"/>
    <n v="2014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n v="11"/>
    <n v="2014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n v="10"/>
    <n v="2016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n v="11"/>
    <n v="2016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n v="3"/>
    <n v="20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n v="8"/>
    <n v="2015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n v="12"/>
    <n v="2014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n v="2"/>
    <n v="2015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n v="8"/>
    <n v="201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n v="4"/>
    <n v="2015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n v="9"/>
    <n v="2014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n v="10"/>
    <n v="2015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n v="10"/>
    <n v="2015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n v="2"/>
    <n v="2016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n v="10"/>
    <n v="2016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n v="5"/>
    <n v="2015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n v="8"/>
    <n v="2016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n v="9"/>
    <n v="2014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n v="5"/>
    <n v="201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n v="1"/>
    <n v="2016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n v="7"/>
    <n v="2014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n v="8"/>
    <n v="2016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n v="7"/>
    <n v="2015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n v="3"/>
    <n v="201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n v="6"/>
    <n v="201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n v="1"/>
    <n v="2017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n v="5"/>
    <n v="2016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n v="5"/>
    <n v="2014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n v="2"/>
    <n v="2015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n v="11"/>
    <n v="2014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n v="3"/>
    <n v="2016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n v="3"/>
    <n v="2015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n v="10"/>
    <n v="2016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n v="6"/>
    <n v="2016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n v="10"/>
    <n v="201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n v="7"/>
    <n v="2014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n v="6"/>
    <n v="2015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n v="6"/>
    <n v="2015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n v="5"/>
    <n v="2015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n v="5"/>
    <n v="2015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n v="6"/>
    <n v="2014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n v="8"/>
    <n v="201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n v="10"/>
    <n v="2014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n v="7"/>
    <n v="2016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n v="5"/>
    <n v="2016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n v="8"/>
    <n v="201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n v="6"/>
    <n v="2014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n v="4"/>
    <n v="2015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n v="5"/>
    <n v="2014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n v="9"/>
    <n v="2016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n v="1"/>
    <n v="2016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n v="5"/>
    <n v="2014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n v="9"/>
    <n v="20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n v="8"/>
    <n v="2015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n v="4"/>
    <n v="2014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n v="8"/>
    <n v="2015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n v="5"/>
    <n v="2014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n v="7"/>
    <n v="201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n v="5"/>
    <n v="2015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n v="10"/>
    <n v="2014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n v="1"/>
    <n v="2015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n v="9"/>
    <n v="2014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n v="11"/>
    <n v="2015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n v="4"/>
    <n v="2016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n v="12"/>
    <n v="2014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n v="12"/>
    <n v="2014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n v="4"/>
    <n v="2016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n v="2"/>
    <n v="2016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n v="9"/>
    <n v="2014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n v="8"/>
    <n v="2014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n v="5"/>
    <n v="2015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n v="6"/>
    <n v="2016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n v="7"/>
    <n v="2016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n v="4"/>
    <n v="2016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n v="6"/>
    <n v="20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n v="8"/>
    <n v="2014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n v="7"/>
    <n v="2016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n v="6"/>
    <n v="2014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n v="5"/>
    <n v="2014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n v="3"/>
    <n v="2015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n v="5"/>
    <n v="2014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n v="5"/>
    <n v="2015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n v="5"/>
    <n v="201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n v="4"/>
    <n v="2015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n v="2"/>
    <n v="20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n v="12"/>
    <n v="2015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n v="4"/>
    <n v="2015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n v="1"/>
    <n v="20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n v="5"/>
    <n v="2015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n v="6"/>
    <n v="2015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n v="10"/>
    <n v="201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n v="1"/>
    <n v="2016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n v="10"/>
    <n v="2014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n v="4"/>
    <n v="2016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n v="2"/>
    <n v="2016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n v="4"/>
    <n v="201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n v="9"/>
    <n v="2016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n v="7"/>
    <n v="2015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n v="2"/>
    <n v="2015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n v="7"/>
    <n v="2015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n v="12"/>
    <n v="2014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n v="11"/>
    <n v="2014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n v="4"/>
    <n v="2015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n v="3"/>
    <n v="2015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n v="4"/>
    <n v="201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n v="2"/>
    <n v="2015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n v="10"/>
    <n v="2015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n v="6"/>
    <n v="2014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n v="6"/>
    <n v="2016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n v="7"/>
    <n v="2014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n v="11"/>
    <n v="2015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n v="8"/>
    <n v="201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n v="6"/>
    <n v="201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n v="6"/>
    <n v="201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n v="7"/>
    <n v="2014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n v="9"/>
    <n v="201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n v="6"/>
    <n v="2015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n v="1"/>
    <n v="201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n v="3"/>
    <n v="2016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n v="1"/>
    <n v="2015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n v="2"/>
    <n v="2016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n v="9"/>
    <n v="2016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n v="5"/>
    <n v="2015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n v="6"/>
    <n v="201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n v="3"/>
    <n v="2016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n v="5"/>
    <n v="2014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n v="11"/>
    <n v="2014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n v="4"/>
    <n v="2014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n v="6"/>
    <n v="2015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n v="4"/>
    <n v="2014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n v="6"/>
    <n v="2015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n v="7"/>
    <n v="2015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n v="3"/>
    <n v="2015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n v="5"/>
    <n v="2016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n v="6"/>
    <n v="2014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n v="5"/>
    <n v="2014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n v="2"/>
    <n v="2015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n v="5"/>
    <n v="2014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n v="3"/>
    <n v="2016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n v="5"/>
    <n v="2015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n v="5"/>
    <n v="2016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n v="11"/>
    <n v="201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n v="10"/>
    <n v="2016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n v="3"/>
    <n v="201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n v="3"/>
    <n v="201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n v="6"/>
    <n v="2014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n v="9"/>
    <n v="2014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n v="12"/>
    <n v="2014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n v="2"/>
    <n v="2016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n v="6"/>
    <n v="201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n v="8"/>
    <n v="2014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n v="6"/>
    <n v="2016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n v="2"/>
    <n v="2016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n v="6"/>
    <n v="2016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n v="6"/>
    <n v="2016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n v="4"/>
    <n v="201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n v="6"/>
    <n v="2015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n v="11"/>
    <n v="2015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n v="5"/>
    <n v="2015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n v="10"/>
    <n v="2016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n v="5"/>
    <n v="2014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n v="6"/>
    <n v="2015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n v="11"/>
    <n v="2014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n v="5"/>
    <n v="2015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n v="7"/>
    <n v="201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n v="11"/>
    <n v="201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n v="3"/>
    <n v="201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n v="7"/>
    <n v="2014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n v="2"/>
    <n v="2016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n v="12"/>
    <n v="2014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n v="12"/>
    <n v="2014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n v="9"/>
    <n v="2015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n v="2"/>
    <n v="2016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n v="6"/>
    <n v="2016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n v="7"/>
    <n v="2014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n v="6"/>
    <n v="2014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n v="3"/>
    <n v="2015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n v="2"/>
    <n v="2015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n v="6"/>
    <n v="2014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n v="2"/>
    <n v="2015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n v="4"/>
    <n v="2016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n v="4"/>
    <n v="2015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n v="5"/>
    <n v="2016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n v="2"/>
    <n v="2015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n v="7"/>
    <n v="20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n v="6"/>
    <n v="2014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n v="10"/>
    <n v="2015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n v="2"/>
    <n v="2015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n v="6"/>
    <n v="2015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n v="6"/>
    <n v="2015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n v="12"/>
    <n v="2015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n v="11"/>
    <n v="2015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n v="6"/>
    <n v="2015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n v="7"/>
    <n v="2016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n v="5"/>
    <n v="201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n v="4"/>
    <n v="2015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n v="1"/>
    <n v="2015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n v="11"/>
    <n v="2014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n v="8"/>
    <n v="2016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n v="5"/>
    <n v="2016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n v="10"/>
    <n v="2014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n v="1"/>
    <n v="2016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n v="11"/>
    <n v="2014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n v="5"/>
    <n v="2015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n v="3"/>
    <n v="2016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n v="7"/>
    <n v="201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n v="5"/>
    <n v="2015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n v="4"/>
    <n v="2015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n v="5"/>
    <n v="2015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n v="3"/>
    <n v="2016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n v="5"/>
    <n v="2014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n v="4"/>
    <n v="2014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n v="5"/>
    <n v="201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n v="5"/>
    <n v="201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n v="9"/>
    <n v="201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n v="9"/>
    <n v="2014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n v="6"/>
    <n v="2015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n v="9"/>
    <n v="2015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n v="5"/>
    <n v="2015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n v="12"/>
    <n v="2014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n v="6"/>
    <n v="2015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n v="3"/>
    <n v="2015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n v="7"/>
    <n v="2014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n v="4"/>
    <n v="2015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n v="2"/>
    <n v="201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n v="2"/>
    <n v="2015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n v="7"/>
    <n v="2014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n v="5"/>
    <n v="2015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n v="5"/>
    <n v="2014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n v="7"/>
    <n v="2014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n v="10"/>
    <n v="2014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n v="8"/>
    <n v="201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n v="9"/>
    <n v="201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n v="10"/>
    <n v="2015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n v="7"/>
    <n v="2014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n v="2"/>
    <n v="201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n v="5"/>
    <n v="2016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n v="8"/>
    <n v="2014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n v="2"/>
    <n v="2015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n v="6"/>
    <n v="2014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n v="1"/>
    <n v="2017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n v="6"/>
    <n v="2015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n v="9"/>
    <n v="20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n v="1"/>
    <n v="2015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n v="9"/>
    <n v="2016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n v="1"/>
    <n v="201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n v="11"/>
    <n v="2016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n v="5"/>
    <n v="2015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n v="12"/>
    <n v="2014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n v="6"/>
    <n v="2014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n v="1"/>
    <n v="2017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n v="1"/>
    <n v="2016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n v="8"/>
    <n v="2014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n v="3"/>
    <n v="2015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n v="4"/>
    <n v="2016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d v="2014-11-11T05:28:22"/>
    <n v="11"/>
    <n v="2014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n v="3"/>
    <n v="2015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n v="1"/>
    <n v="2017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n v="12"/>
    <n v="2014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n v="6"/>
    <n v="2015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n v="2"/>
    <n v="2015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n v="8"/>
    <n v="2014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n v="5"/>
    <n v="2014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n v="11"/>
    <n v="2016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n v="1"/>
    <n v="201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n v="6"/>
    <n v="2014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n v="12"/>
    <n v="2014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n v="7"/>
    <n v="2015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n v="7"/>
    <n v="2014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n v="5"/>
    <n v="2015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n v="11"/>
    <n v="2015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n v="10"/>
    <n v="2016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n v="7"/>
    <n v="201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n v="4"/>
    <n v="2015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n v="4"/>
    <n v="201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n v="5"/>
    <n v="2015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n v="9"/>
    <n v="2014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n v="7"/>
    <n v="2014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n v="8"/>
    <n v="2014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n v="8"/>
    <n v="2015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n v="10"/>
    <n v="2014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n v="2"/>
    <n v="2015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n v="10"/>
    <n v="2015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n v="4"/>
    <n v="2015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n v="5"/>
    <n v="2016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n v="5"/>
    <n v="20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n v="8"/>
    <n v="2014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n v="7"/>
    <n v="2014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n v="12"/>
    <n v="2015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n v="10"/>
    <n v="2016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n v="10"/>
    <n v="2014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n v="1"/>
    <n v="2015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n v="3"/>
    <n v="2015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n v="5"/>
    <n v="201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n v="6"/>
    <n v="2014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n v="11"/>
    <n v="2014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n v="7"/>
    <n v="201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n v="9"/>
    <n v="2015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n v="8"/>
    <n v="2016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n v="3"/>
    <n v="2016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n v="8"/>
    <n v="2015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n v="2"/>
    <n v="2016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n v="6"/>
    <n v="2016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n v="8"/>
    <n v="2015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n v="8"/>
    <n v="201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n v="11"/>
    <n v="201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n v="6"/>
    <n v="2016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n v="5"/>
    <n v="2015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n v="10"/>
    <n v="2014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n v="11"/>
    <n v="2014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n v="10"/>
    <n v="2014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n v="4"/>
    <n v="2015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n v="10"/>
    <n v="2015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n v="7"/>
    <n v="201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n v="4"/>
    <n v="201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n v="1"/>
    <n v="2015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n v="9"/>
    <n v="2016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n v="7"/>
    <n v="2014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n v="1"/>
    <n v="2015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n v="3"/>
    <n v="2016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n v="3"/>
    <n v="2016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n v="8"/>
    <n v="2015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n v="6"/>
    <n v="201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n v="5"/>
    <n v="201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n v="10"/>
    <n v="201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n v="3"/>
    <n v="201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n v="5"/>
    <n v="2016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n v="6"/>
    <n v="2014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n v="8"/>
    <n v="2014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n v="12"/>
    <n v="2015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n v="4"/>
    <n v="2014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n v="11"/>
    <n v="2015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n v="10"/>
    <n v="2015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n v="2"/>
    <n v="2015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n v="2"/>
    <n v="2016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n v="6"/>
    <n v="2014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n v="2"/>
    <n v="201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n v="3"/>
    <n v="2016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n v="8"/>
    <n v="201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n v="3"/>
    <n v="2016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n v="6"/>
    <n v="2014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n v="12"/>
    <n v="20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n v="4"/>
    <n v="2016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n v="5"/>
    <n v="2016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n v="6"/>
    <n v="2016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n v="7"/>
    <n v="2014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n v="6"/>
    <n v="2016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n v="12"/>
    <n v="2014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n v="3"/>
    <n v="2015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n v="6"/>
    <n v="2014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n v="5"/>
    <n v="2016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n v="5"/>
    <n v="2015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n v="4"/>
    <n v="2014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n v="10"/>
    <n v="201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n v="1"/>
    <n v="2016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n v="4"/>
    <n v="201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n v="5"/>
    <n v="2014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n v="8"/>
    <n v="2015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n v="10"/>
    <n v="2015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n v="2"/>
    <n v="2016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n v="5"/>
    <n v="2015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n v="10"/>
    <n v="2015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n v="4"/>
    <n v="2015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n v="6"/>
    <n v="201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n v="1"/>
    <n v="201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n v="11"/>
    <n v="201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n v="3"/>
    <n v="2015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n v="2"/>
    <n v="2015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n v="7"/>
    <n v="2014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n v="3"/>
    <n v="2016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n v="2"/>
    <n v="2017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n v="8"/>
    <n v="2014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n v="1"/>
    <n v="2015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n v="9"/>
    <n v="201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n v="8"/>
    <n v="2014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n v="1"/>
    <n v="201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n v="7"/>
    <n v="2014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n v="6"/>
    <n v="2015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n v="7"/>
    <n v="2014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n v="10"/>
    <n v="2014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n v="12"/>
    <n v="2014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n v="4"/>
    <n v="2015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n v="1"/>
    <n v="2015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n v="2"/>
    <n v="2016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n v="6"/>
    <n v="2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n v="8"/>
    <n v="2014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n v="8"/>
    <n v="201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n v="9"/>
    <n v="2016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n v="2"/>
    <n v="201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n v="2"/>
    <n v="2015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n v="8"/>
    <n v="2014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n v="12"/>
    <n v="2014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n v="2"/>
    <n v="2016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n v="8"/>
    <n v="2015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n v="5"/>
    <n v="201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n v="10"/>
    <n v="2015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n v="2"/>
    <n v="201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n v="5"/>
    <n v="2014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n v="11"/>
    <n v="2015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n v="1"/>
    <n v="2016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n v="10"/>
    <n v="201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n v="10"/>
    <n v="2015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n v="9"/>
    <n v="2016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n v="3"/>
    <n v="2015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n v="9"/>
    <n v="2014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n v="6"/>
    <n v="201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n v="5"/>
    <n v="2016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n v="8"/>
    <n v="2014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n v="10"/>
    <n v="2015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n v="5"/>
    <n v="2015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n v="7"/>
    <n v="2016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n v="12"/>
    <n v="201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n v="11"/>
    <n v="2014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n v="3"/>
    <n v="2015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n v="7"/>
    <n v="2014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n v="9"/>
    <n v="2014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n v="12"/>
    <n v="2014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n v="3"/>
    <n v="2016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n v="6"/>
    <n v="20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n v="9"/>
    <n v="2014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n v="5"/>
    <n v="2014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n v="8"/>
    <n v="2014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n v="10"/>
    <n v="2014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n v="8"/>
    <n v="2016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n v="5"/>
    <n v="2014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n v="6"/>
    <n v="201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n v="11"/>
    <n v="2015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n v="3"/>
    <n v="2016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n v="8"/>
    <n v="2014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n v="5"/>
    <n v="2014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n v="2"/>
    <n v="2016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n v="6"/>
    <n v="2016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n v="5"/>
    <n v="201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n v="3"/>
    <n v="2015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n v="7"/>
    <n v="2014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n v="4"/>
    <n v="201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n v="8"/>
    <n v="2015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n v="12"/>
    <n v="2016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n v="1"/>
    <n v="2015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n v="1"/>
    <n v="2015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n v="11"/>
    <n v="2016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n v="6"/>
    <n v="2014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n v="3"/>
    <n v="2015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n v="10"/>
    <n v="20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n v="5"/>
    <n v="2014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n v="9"/>
    <n v="2014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n v="11"/>
    <n v="2016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n v="12"/>
    <n v="2016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n v="5"/>
    <n v="2016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n v="5"/>
    <n v="20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n v="2"/>
    <n v="201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n v="10"/>
    <n v="2015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n v="12"/>
    <n v="2015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n v="9"/>
    <n v="201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n v="2"/>
    <n v="201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n v="10"/>
    <n v="2015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n v="6"/>
    <n v="201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n v="12"/>
    <n v="201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n v="4"/>
    <n v="2015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n v="7"/>
    <n v="2015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n v="12"/>
    <n v="2014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n v="2"/>
    <n v="2015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n v="6"/>
    <n v="2015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n v="9"/>
    <n v="201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n v="11"/>
    <n v="2016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n v="1"/>
    <n v="2017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n v="12"/>
    <n v="2015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n v="5"/>
    <n v="2016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n v="7"/>
    <n v="2016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n v="10"/>
    <n v="2014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n v="12"/>
    <n v="2016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n v="4"/>
    <n v="2016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n v="7"/>
    <n v="2015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n v="9"/>
    <n v="2016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n v="11"/>
    <n v="2016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n v="2"/>
    <n v="2015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n v="9"/>
    <n v="2014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n v="2"/>
    <n v="201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n v="10"/>
    <n v="2015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n v="5"/>
    <n v="2016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n v="1"/>
    <n v="2015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n v="1"/>
    <n v="201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n v="12"/>
    <n v="2015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F709F4-5D93-4BA5-BBC2-B9BA9D14BAA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3:F66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2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35ACB7-8C3E-483E-88BE-AE984AA0F3C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FCD760-5DA6-477D-9F65-845887AD4A87}" name="DatePivot Table" cacheId="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2">
  <location ref="A4:F18" firstHeaderRow="1" firstDataRow="2" firstDataCol="1" rowPageCount="2" colPageCount="1"/>
  <pivotFields count="5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2" hier="20" name="[Table1].[Category].[All]" cap="All"/>
    <pageField fld="4" hier="13" name="[Table1].[Year].[All]" cap="All"/>
  </pageFields>
  <dataFields count="1">
    <dataField name="Count of state" fld="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arterBook - MDJ edit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F03AAC-28B4-4B71-8B3B-2E9DAB67CD75}" name="Table1" displayName="Table1" ref="A1:V4115" totalsRowShown="0" headerRowDxfId="10">
  <autoFilter ref="A1:V4115" xr:uid="{5699758E-36F3-4C5F-8FFF-F4E7F60377C7}"/>
  <tableColumns count="22">
    <tableColumn id="1" xr3:uid="{4B1DFC6F-4702-4D02-B454-0E82EF94BDEF}" name="id"/>
    <tableColumn id="2" xr3:uid="{047CA6E9-4400-4541-A2E0-166705746344}" name="name" dataDxfId="9"/>
    <tableColumn id="3" xr3:uid="{5DFB3360-4CDC-4436-BDCF-1723A3E22FE8}" name="blurb" dataDxfId="8"/>
    <tableColumn id="4" xr3:uid="{7C5CE2FB-877D-4A93-B62B-6F89DD51E2AA}" name="goal" dataDxfId="7"/>
    <tableColumn id="5" xr3:uid="{0B4AED2B-30CB-4212-B133-5287889FEC78}" name="pledged"/>
    <tableColumn id="6" xr3:uid="{7832A1DF-E28B-4DA6-B230-85923AAD6D24}" name="state"/>
    <tableColumn id="7" xr3:uid="{BE04431D-FE0E-40D3-A04A-52CB40A6AF18}" name="country"/>
    <tableColumn id="8" xr3:uid="{CC697273-06D7-4DBC-8BD0-CA4E7D28AE79}" name="currency"/>
    <tableColumn id="9" xr3:uid="{0F2799DC-E199-4AC5-B619-EE8C13B8EBA1}" name="deadline"/>
    <tableColumn id="19" xr3:uid="{502CE87F-4B16-4273-891B-A02D4AB591D8}" name="Date Ended Conversion" dataDxfId="6">
      <calculatedColumnFormula>((Table1[[#This Row],[deadline]]/60)/60/24)+DATE(1970,1,1)</calculatedColumnFormula>
    </tableColumn>
    <tableColumn id="10" xr3:uid="{2E3FF560-73A2-4457-A2C3-107F8A124A4B}" name="launched_at"/>
    <tableColumn id="20" xr3:uid="{EDD73479-D75A-4493-A4A8-099912DA4E41}" name="Date Created Conversion" dataDxfId="5">
      <calculatedColumnFormula>((Table1[[#This Row],[launched_at]]/60)/60/24)+DATE(1970,1,1)</calculatedColumnFormula>
    </tableColumn>
    <tableColumn id="22" xr3:uid="{F999F487-CA85-459E-9220-0E400B51110F}" name="Month" dataDxfId="4">
      <calculatedColumnFormula>MONTH(Table1[[#This Row],[Date Created Conversion]])</calculatedColumnFormula>
    </tableColumn>
    <tableColumn id="21" xr3:uid="{7125B408-9F9A-48F4-8386-AC218388C96B}" name="Year" dataDxfId="3">
      <calculatedColumnFormula>YEAR(Table1[[#This Row],[Date Created Conversion]])</calculatedColumnFormula>
    </tableColumn>
    <tableColumn id="11" xr3:uid="{7A96F19B-1962-447D-BC60-CA59021D32A4}" name="staff_pick"/>
    <tableColumn id="12" xr3:uid="{6352529A-BBB8-40D4-B3DA-9E1E49268466}" name="backers_count"/>
    <tableColumn id="13" xr3:uid="{1BDF2CF6-8AEC-4C4F-9374-1F17EB92F1EA}" name="spotlight"/>
    <tableColumn id="14" xr3:uid="{F587B0AE-65E9-4E59-9AB0-BC89BFB854C6}" name="Category and Sub-Category"/>
    <tableColumn id="15" xr3:uid="{281D05EF-A99C-4DBC-93D2-1ADC33A47126}" name="Percent Funded" dataDxfId="2">
      <calculatedColumnFormula>Table1[[#This Row],[pledged]]/Table1[[#This Row],[goal]]</calculatedColumnFormula>
    </tableColumn>
    <tableColumn id="16" xr3:uid="{33D8803E-A672-4A5F-B376-0622C23175AB}" name="Average Donation" dataCellStyle="Currency">
      <calculatedColumnFormula>IF(Table1[[#This Row],[pledged]]=0,"no backers",Table1[[#This Row],[pledged]]/Table1[[#This Row],[backers_count]])</calculatedColumnFormula>
    </tableColumn>
    <tableColumn id="17" xr3:uid="{59303BF3-B591-42BA-A975-283B1968BE6B}" name="Category">
      <calculatedColumnFormula>LEFT(Table1[[#This Row],[Category and Sub-Category]],FIND("/",Table1[[#This Row],[Category and Sub-Category]])-1)</calculatedColumnFormula>
    </tableColumn>
    <tableColumn id="18" xr3:uid="{0B9E676C-38F6-45C1-B67E-C6743598A8E9}" name="Subcategory">
      <calculatedColumnFormula>RIGHT(Table1[[#This Row],[Category and Sub-Category]],LEN(Table1[[#This Row],[Category and Sub-Category]])-FIND("/",Table1[[#This Row],[Category and Sub-Category]]))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87BE57-1F76-443B-A93D-DA09016B4443}" name="BonusTable" displayName="BonusTable" ref="A1:H13" totalsRowShown="0" headerRowDxfId="1">
  <autoFilter ref="A1:H13" xr:uid="{60A18151-4874-4A43-BC73-91FC61ED824F}"/>
  <tableColumns count="8">
    <tableColumn id="1" xr3:uid="{945FBBA5-D9C9-4E11-99D0-ADA1F93445EA}" name="Goal"/>
    <tableColumn id="2" xr3:uid="{5D9922DC-F038-4BBE-9C46-0B8B7B9F827F}" name="Number Successful" dataDxfId="0">
      <calculatedColumnFormula>COUNTIFS(Table1[goal],"&lt;1000",Table1[state],"successful")</calculatedColumnFormula>
    </tableColumn>
    <tableColumn id="3" xr3:uid="{5EA59CB1-DCF1-420B-938D-D21D1EAC12C9}" name="Number Failed"/>
    <tableColumn id="4" xr3:uid="{AFFE1F93-D829-45B6-AFD7-295E12BCC3B7}" name="Number Canceled"/>
    <tableColumn id="5" xr3:uid="{4E79738B-F783-44F5-83A4-2967394491FE}" name="Total Projects">
      <calculatedColumnFormula>SUM(BonusTable[[#This Row],[Number Successful]:[Number Canceled]])</calculatedColumnFormula>
    </tableColumn>
    <tableColumn id="6" xr3:uid="{7BBA48C4-05A6-4017-B336-EEA507886CDD}" name="Percentage Successful">
      <calculatedColumnFormula>BonusTable[[#This Row],[Number Successful]]/BonusTable[[#This Row],[Total Projects]]</calculatedColumnFormula>
    </tableColumn>
    <tableColumn id="7" xr3:uid="{85211D78-E537-4EC2-A5CA-E07EC994C846}" name="Percentage Failed">
      <calculatedColumnFormula>BonusTable[[#This Row],[Number Failed]]/BonusTable[[#This Row],[Total Projects]]</calculatedColumnFormula>
    </tableColumn>
    <tableColumn id="8" xr3:uid="{0CFB941C-2A54-40C2-93D9-22F60B4A9801}" name="Percentage Canceled">
      <calculatedColumnFormula>BonusTable[[#This Row],[Number Canceled]]/BonusTable[[#This Row],[Total Projects]]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U2" dT="2019-02-24T17:06:51.34" personId="{48252566-5874-4F33-8CF7-153CC7FC9E54}" id="{BB153191-C4B7-45A1-8182-172A2229ED9D}">
    <text>Initially used Text to Columns (in Data Tab) as it's more efficient. I have included the formula below per instructions. Thanks!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opLeftCell="H1" zoomScale="62" zoomScaleNormal="62" workbookViewId="0">
      <selection activeCell="V2" sqref="V2"/>
    </sheetView>
  </sheetViews>
  <sheetFormatPr defaultRowHeight="14.4" x14ac:dyDescent="0.3"/>
  <cols>
    <col min="1" max="1" width="8.88671875" customWidth="1"/>
    <col min="2" max="2" width="38.44140625" style="3" customWidth="1"/>
    <col min="3" max="3" width="40.33203125" style="3" customWidth="1"/>
    <col min="4" max="4" width="13.218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10" width="19.33203125" customWidth="1"/>
    <col min="11" max="14" width="17.88671875" customWidth="1"/>
    <col min="15" max="15" width="15.44140625" customWidth="1"/>
    <col min="16" max="16" width="24.5546875" customWidth="1"/>
    <col min="17" max="17" width="18.44140625" bestFit="1" customWidth="1"/>
    <col min="18" max="18" width="24.6640625" customWidth="1"/>
    <col min="19" max="19" width="28" bestFit="1" customWidth="1"/>
    <col min="20" max="20" width="30.21875" style="8" bestFit="1" customWidth="1"/>
    <col min="21" max="21" width="19.88671875" bestFit="1" customWidth="1"/>
    <col min="22" max="22" width="24.33203125" bestFit="1" customWidth="1"/>
  </cols>
  <sheetData>
    <row r="1" spans="1:22" ht="28.8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2" t="s">
        <v>8365</v>
      </c>
      <c r="K1" s="1" t="s">
        <v>8260</v>
      </c>
      <c r="L1" s="13" t="s">
        <v>8366</v>
      </c>
      <c r="M1" s="13" t="s">
        <v>8388</v>
      </c>
      <c r="N1" s="13" t="s">
        <v>8389</v>
      </c>
      <c r="O1" s="1" t="s">
        <v>8261</v>
      </c>
      <c r="P1" s="1" t="s">
        <v>8262</v>
      </c>
      <c r="Q1" s="1" t="s">
        <v>8263</v>
      </c>
      <c r="R1" s="2" t="s">
        <v>8264</v>
      </c>
      <c r="S1" s="1" t="s">
        <v>8306</v>
      </c>
      <c r="T1" s="7" t="s">
        <v>8307</v>
      </c>
      <c r="U1" s="1" t="s">
        <v>8308</v>
      </c>
      <c r="V1" s="1" t="s">
        <v>8309</v>
      </c>
    </row>
    <row r="2" spans="1:22" ht="43.2" x14ac:dyDescent="0.3">
      <c r="A2">
        <v>0</v>
      </c>
      <c r="B2" s="3" t="s">
        <v>2</v>
      </c>
      <c r="C2" s="3" t="s">
        <v>4111</v>
      </c>
      <c r="D2" s="1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((Table1[[#This Row],[deadline]]/60)/60/24)+DATE(1970,1,1)</f>
        <v>42208.125</v>
      </c>
      <c r="K2">
        <v>1434931811</v>
      </c>
      <c r="L2" s="11">
        <f>((Table1[[#This Row],[launched_at]]/60)/60/24)+DATE(1970,1,1)</f>
        <v>42177.007071759261</v>
      </c>
      <c r="M2">
        <f>MONTH(Table1[[#This Row],[Date Created Conversion]])</f>
        <v>6</v>
      </c>
      <c r="N2">
        <f>YEAR(Table1[[#This Row],[Date Created Conversion]])</f>
        <v>2015</v>
      </c>
      <c r="O2" t="b">
        <v>0</v>
      </c>
      <c r="P2">
        <v>182</v>
      </c>
      <c r="Q2" t="b">
        <v>1</v>
      </c>
      <c r="R2" t="s">
        <v>8265</v>
      </c>
      <c r="S2" s="5">
        <f>Table1[[#This Row],[pledged]]/Table1[[#This Row],[goal]]</f>
        <v>1.3685882352941177</v>
      </c>
      <c r="T2" s="8">
        <f>IF(Table1[[#This Row],[pledged]]=0,"no backers",Table1[[#This Row],[pledged]]/Table1[[#This Row],[backers_count]])</f>
        <v>63.917582417582416</v>
      </c>
      <c r="U2" t="str">
        <f>LEFT(Table1[[#This Row],[Category and Sub-Category]],FIND("/",Table1[[#This Row],[Category and Sub-Category]])-1)</f>
        <v>film &amp; video</v>
      </c>
      <c r="V2" t="str">
        <f>RIGHT(Table1[[#This Row],[Category and Sub-Category]],LEN(Table1[[#This Row],[Category and Sub-Category]])-FIND("/",Table1[[#This Row],[Category and Sub-Category]]))</f>
        <v>television</v>
      </c>
    </row>
    <row r="3" spans="1:22" ht="28.8" x14ac:dyDescent="0.3">
      <c r="A3">
        <v>1</v>
      </c>
      <c r="B3" s="3" t="s">
        <v>3</v>
      </c>
      <c r="C3" s="3" t="s">
        <v>4112</v>
      </c>
      <c r="D3" s="12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>((Table1[[#This Row],[deadline]]/60)/60/24)+DATE(1970,1,1)</f>
        <v>42796.600497685184</v>
      </c>
      <c r="K3">
        <v>1485872683</v>
      </c>
      <c r="L3" s="11">
        <f>((Table1[[#This Row],[launched_at]]/60)/60/24)+DATE(1970,1,1)</f>
        <v>42766.600497685184</v>
      </c>
      <c r="M3">
        <f>MONTH(Table1[[#This Row],[Date Created Conversion]])</f>
        <v>1</v>
      </c>
      <c r="N3">
        <f>YEAR(Table1[[#This Row],[Date Created Conversion]])</f>
        <v>2017</v>
      </c>
      <c r="O3" t="b">
        <v>0</v>
      </c>
      <c r="P3">
        <v>79</v>
      </c>
      <c r="Q3" t="b">
        <v>1</v>
      </c>
      <c r="R3" t="s">
        <v>8265</v>
      </c>
      <c r="S3" s="6">
        <f>Table1[[#This Row],[pledged]]/Table1[[#This Row],[goal]]</f>
        <v>1.4260827250608272</v>
      </c>
      <c r="T3" s="8">
        <f>IF(Table1[[#This Row],[pledged]]=0,"no backers",Table1[[#This Row],[pledged]]/Table1[[#This Row],[backers_count]])</f>
        <v>185.48101265822785</v>
      </c>
      <c r="U3" t="str">
        <f>LEFT(Table1[[#This Row],[Category and Sub-Category]],FIND("/",Table1[[#This Row],[Category and Sub-Category]])-1)</f>
        <v>film &amp; video</v>
      </c>
      <c r="V3" t="str">
        <f>RIGHT(Table1[[#This Row],[Category and Sub-Category]],LEN(Table1[[#This Row],[Category and Sub-Category]])-FIND("/",Table1[[#This Row],[Category and Sub-Category]]))</f>
        <v>television</v>
      </c>
    </row>
    <row r="4" spans="1:22" ht="43.2" x14ac:dyDescent="0.3">
      <c r="A4">
        <v>2</v>
      </c>
      <c r="B4" s="3" t="s">
        <v>4</v>
      </c>
      <c r="C4" s="3" t="s">
        <v>4113</v>
      </c>
      <c r="D4" s="12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>((Table1[[#This Row],[deadline]]/60)/60/24)+DATE(1970,1,1)</f>
        <v>42415.702349537038</v>
      </c>
      <c r="K4">
        <v>1454691083</v>
      </c>
      <c r="L4" s="11">
        <f>((Table1[[#This Row],[launched_at]]/60)/60/24)+DATE(1970,1,1)</f>
        <v>42405.702349537038</v>
      </c>
      <c r="M4">
        <f>MONTH(Table1[[#This Row],[Date Created Conversion]])</f>
        <v>2</v>
      </c>
      <c r="N4">
        <f>YEAR(Table1[[#This Row],[Date Created Conversion]])</f>
        <v>2016</v>
      </c>
      <c r="O4" t="b">
        <v>0</v>
      </c>
      <c r="P4">
        <v>35</v>
      </c>
      <c r="Q4" t="b">
        <v>1</v>
      </c>
      <c r="R4" t="s">
        <v>8265</v>
      </c>
      <c r="S4" s="6">
        <f>Table1[[#This Row],[pledged]]/Table1[[#This Row],[goal]]</f>
        <v>1.05</v>
      </c>
      <c r="T4" s="8">
        <f>IF(Table1[[#This Row],[pledged]]=0,"no backers",Table1[[#This Row],[pledged]]/Table1[[#This Row],[backers_count]])</f>
        <v>15</v>
      </c>
      <c r="U4" t="str">
        <f>LEFT(Table1[[#This Row],[Category and Sub-Category]],FIND("/",Table1[[#This Row],[Category and Sub-Category]])-1)</f>
        <v>film &amp; video</v>
      </c>
      <c r="V4" t="str">
        <f>RIGHT(Table1[[#This Row],[Category and Sub-Category]],LEN(Table1[[#This Row],[Category and Sub-Category]])-FIND("/",Table1[[#This Row],[Category and Sub-Category]]))</f>
        <v>television</v>
      </c>
    </row>
    <row r="5" spans="1:22" ht="28.8" x14ac:dyDescent="0.3">
      <c r="A5">
        <v>3</v>
      </c>
      <c r="B5" s="3" t="s">
        <v>5</v>
      </c>
      <c r="C5" s="3" t="s">
        <v>4114</v>
      </c>
      <c r="D5" s="12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>((Table1[[#This Row],[deadline]]/60)/60/24)+DATE(1970,1,1)</f>
        <v>41858.515127314815</v>
      </c>
      <c r="K5">
        <v>1404822107</v>
      </c>
      <c r="L5" s="11">
        <f>((Table1[[#This Row],[launched_at]]/60)/60/24)+DATE(1970,1,1)</f>
        <v>41828.515127314815</v>
      </c>
      <c r="M5">
        <f>MONTH(Table1[[#This Row],[Date Created Conversion]])</f>
        <v>7</v>
      </c>
      <c r="N5">
        <f>YEAR(Table1[[#This Row],[Date Created Conversion]])</f>
        <v>2014</v>
      </c>
      <c r="O5" t="b">
        <v>0</v>
      </c>
      <c r="P5">
        <v>150</v>
      </c>
      <c r="Q5" t="b">
        <v>1</v>
      </c>
      <c r="R5" t="s">
        <v>8265</v>
      </c>
      <c r="S5" s="6">
        <f>Table1[[#This Row],[pledged]]/Table1[[#This Row],[goal]]</f>
        <v>1.0389999999999999</v>
      </c>
      <c r="T5" s="8">
        <f>IF(Table1[[#This Row],[pledged]]=0,"no backers",Table1[[#This Row],[pledged]]/Table1[[#This Row],[backers_count]])</f>
        <v>69.266666666666666</v>
      </c>
      <c r="U5" t="str">
        <f>LEFT(Table1[[#This Row],[Category and Sub-Category]],FIND("/",Table1[[#This Row],[Category and Sub-Category]])-1)</f>
        <v>film &amp; video</v>
      </c>
      <c r="V5" t="str">
        <f>RIGHT(Table1[[#This Row],[Category and Sub-Category]],LEN(Table1[[#This Row],[Category and Sub-Category]])-FIND("/",Table1[[#This Row],[Category and Sub-Category]]))</f>
        <v>television</v>
      </c>
    </row>
    <row r="6" spans="1:22" ht="57.6" x14ac:dyDescent="0.3">
      <c r="A6">
        <v>4</v>
      </c>
      <c r="B6" s="3" t="s">
        <v>6</v>
      </c>
      <c r="C6" s="3" t="s">
        <v>4115</v>
      </c>
      <c r="D6" s="12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>((Table1[[#This Row],[deadline]]/60)/60/24)+DATE(1970,1,1)</f>
        <v>42357.834247685183</v>
      </c>
      <c r="K6">
        <v>1447963279</v>
      </c>
      <c r="L6" s="11">
        <f>((Table1[[#This Row],[launched_at]]/60)/60/24)+DATE(1970,1,1)</f>
        <v>42327.834247685183</v>
      </c>
      <c r="M6">
        <f>MONTH(Table1[[#This Row],[Date Created Conversion]])</f>
        <v>11</v>
      </c>
      <c r="N6">
        <f>YEAR(Table1[[#This Row],[Date Created Conversion]])</f>
        <v>2015</v>
      </c>
      <c r="O6" t="b">
        <v>0</v>
      </c>
      <c r="P6">
        <v>284</v>
      </c>
      <c r="Q6" t="b">
        <v>1</v>
      </c>
      <c r="R6" t="s">
        <v>8265</v>
      </c>
      <c r="S6" s="6">
        <f>Table1[[#This Row],[pledged]]/Table1[[#This Row],[goal]]</f>
        <v>1.2299154545454545</v>
      </c>
      <c r="T6" s="8">
        <f>IF(Table1[[#This Row],[pledged]]=0,"no backers",Table1[[#This Row],[pledged]]/Table1[[#This Row],[backers_count]])</f>
        <v>190.55028169014085</v>
      </c>
      <c r="U6" t="str">
        <f>LEFT(Table1[[#This Row],[Category and Sub-Category]],FIND("/",Table1[[#This Row],[Category and Sub-Category]])-1)</f>
        <v>film &amp; video</v>
      </c>
      <c r="V6" t="str">
        <f>RIGHT(Table1[[#This Row],[Category and Sub-Category]],LEN(Table1[[#This Row],[Category and Sub-Category]])-FIND("/",Table1[[#This Row],[Category and Sub-Category]]))</f>
        <v>television</v>
      </c>
    </row>
    <row r="7" spans="1:22" ht="43.2" x14ac:dyDescent="0.3">
      <c r="A7">
        <v>5</v>
      </c>
      <c r="B7" s="3" t="s">
        <v>7</v>
      </c>
      <c r="C7" s="3" t="s">
        <v>4116</v>
      </c>
      <c r="D7" s="12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>((Table1[[#This Row],[deadline]]/60)/60/24)+DATE(1970,1,1)</f>
        <v>42580.232638888891</v>
      </c>
      <c r="K7">
        <v>1468362207</v>
      </c>
      <c r="L7" s="11">
        <f>((Table1[[#This Row],[launched_at]]/60)/60/24)+DATE(1970,1,1)</f>
        <v>42563.932951388888</v>
      </c>
      <c r="M7">
        <f>MONTH(Table1[[#This Row],[Date Created Conversion]])</f>
        <v>7</v>
      </c>
      <c r="N7">
        <f>YEAR(Table1[[#This Row],[Date Created Conversion]])</f>
        <v>2016</v>
      </c>
      <c r="O7" t="b">
        <v>0</v>
      </c>
      <c r="P7">
        <v>47</v>
      </c>
      <c r="Q7" t="b">
        <v>1</v>
      </c>
      <c r="R7" t="s">
        <v>8265</v>
      </c>
      <c r="S7" s="6">
        <f>Table1[[#This Row],[pledged]]/Table1[[#This Row],[goal]]</f>
        <v>1.0977744436109027</v>
      </c>
      <c r="T7" s="8">
        <f>IF(Table1[[#This Row],[pledged]]=0,"no backers",Table1[[#This Row],[pledged]]/Table1[[#This Row],[backers_count]])</f>
        <v>93.40425531914893</v>
      </c>
      <c r="U7" t="str">
        <f>LEFT(Table1[[#This Row],[Category and Sub-Category]],FIND("/",Table1[[#This Row],[Category and Sub-Category]])-1)</f>
        <v>film &amp; video</v>
      </c>
      <c r="V7" t="str">
        <f>RIGHT(Table1[[#This Row],[Category and Sub-Category]],LEN(Table1[[#This Row],[Category and Sub-Category]])-FIND("/",Table1[[#This Row],[Category and Sub-Category]]))</f>
        <v>television</v>
      </c>
    </row>
    <row r="8" spans="1:22" ht="43.2" x14ac:dyDescent="0.3">
      <c r="A8">
        <v>6</v>
      </c>
      <c r="B8" s="3" t="s">
        <v>8</v>
      </c>
      <c r="C8" s="3" t="s">
        <v>4117</v>
      </c>
      <c r="D8" s="12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>((Table1[[#This Row],[deadline]]/60)/60/24)+DATE(1970,1,1)</f>
        <v>41804.072337962964</v>
      </c>
      <c r="K8">
        <v>1401846250</v>
      </c>
      <c r="L8" s="11">
        <f>((Table1[[#This Row],[launched_at]]/60)/60/24)+DATE(1970,1,1)</f>
        <v>41794.072337962964</v>
      </c>
      <c r="M8">
        <f>MONTH(Table1[[#This Row],[Date Created Conversion]])</f>
        <v>6</v>
      </c>
      <c r="N8">
        <f>YEAR(Table1[[#This Row],[Date Created Conversion]])</f>
        <v>2014</v>
      </c>
      <c r="O8" t="b">
        <v>0</v>
      </c>
      <c r="P8">
        <v>58</v>
      </c>
      <c r="Q8" t="b">
        <v>1</v>
      </c>
      <c r="R8" t="s">
        <v>8265</v>
      </c>
      <c r="S8" s="6">
        <f>Table1[[#This Row],[pledged]]/Table1[[#This Row],[goal]]</f>
        <v>1.064875</v>
      </c>
      <c r="T8" s="8">
        <f>IF(Table1[[#This Row],[pledged]]=0,"no backers",Table1[[#This Row],[pledged]]/Table1[[#This Row],[backers_count]])</f>
        <v>146.87931034482759</v>
      </c>
      <c r="U8" t="str">
        <f>LEFT(Table1[[#This Row],[Category and Sub-Category]],FIND("/",Table1[[#This Row],[Category and Sub-Category]])-1)</f>
        <v>film &amp; video</v>
      </c>
      <c r="V8" t="str">
        <f>RIGHT(Table1[[#This Row],[Category and Sub-Category]],LEN(Table1[[#This Row],[Category and Sub-Category]])-FIND("/",Table1[[#This Row],[Category and Sub-Category]]))</f>
        <v>television</v>
      </c>
    </row>
    <row r="9" spans="1:22" ht="57.6" x14ac:dyDescent="0.3">
      <c r="A9">
        <v>7</v>
      </c>
      <c r="B9" s="3" t="s">
        <v>9</v>
      </c>
      <c r="C9" s="3" t="s">
        <v>4118</v>
      </c>
      <c r="D9" s="12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>((Table1[[#This Row],[deadline]]/60)/60/24)+DATE(1970,1,1)</f>
        <v>42556.047071759262</v>
      </c>
      <c r="K9">
        <v>1464224867</v>
      </c>
      <c r="L9" s="11">
        <f>((Table1[[#This Row],[launched_at]]/60)/60/24)+DATE(1970,1,1)</f>
        <v>42516.047071759262</v>
      </c>
      <c r="M9">
        <f>MONTH(Table1[[#This Row],[Date Created Conversion]])</f>
        <v>5</v>
      </c>
      <c r="N9">
        <f>YEAR(Table1[[#This Row],[Date Created Conversion]])</f>
        <v>2016</v>
      </c>
      <c r="O9" t="b">
        <v>0</v>
      </c>
      <c r="P9">
        <v>57</v>
      </c>
      <c r="Q9" t="b">
        <v>1</v>
      </c>
      <c r="R9" t="s">
        <v>8265</v>
      </c>
      <c r="S9" s="6">
        <f>Table1[[#This Row],[pledged]]/Table1[[#This Row],[goal]]</f>
        <v>1.0122222222222221</v>
      </c>
      <c r="T9" s="8">
        <f>IF(Table1[[#This Row],[pledged]]=0,"no backers",Table1[[#This Row],[pledged]]/Table1[[#This Row],[backers_count]])</f>
        <v>159.82456140350877</v>
      </c>
      <c r="U9" t="str">
        <f>LEFT(Table1[[#This Row],[Category and Sub-Category]],FIND("/",Table1[[#This Row],[Category and Sub-Category]])-1)</f>
        <v>film &amp; video</v>
      </c>
      <c r="V9" t="str">
        <f>RIGHT(Table1[[#This Row],[Category and Sub-Category]],LEN(Table1[[#This Row],[Category and Sub-Category]])-FIND("/",Table1[[#This Row],[Category and Sub-Category]]))</f>
        <v>television</v>
      </c>
    </row>
    <row r="10" spans="1:22" ht="28.8" x14ac:dyDescent="0.3">
      <c r="A10">
        <v>8</v>
      </c>
      <c r="B10" s="3" t="s">
        <v>10</v>
      </c>
      <c r="C10" s="3" t="s">
        <v>4119</v>
      </c>
      <c r="D10" s="12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>((Table1[[#This Row],[deadline]]/60)/60/24)+DATE(1970,1,1)</f>
        <v>42475.875</v>
      </c>
      <c r="K10">
        <v>1460155212</v>
      </c>
      <c r="L10" s="11">
        <f>((Table1[[#This Row],[launched_at]]/60)/60/24)+DATE(1970,1,1)</f>
        <v>42468.94458333333</v>
      </c>
      <c r="M10">
        <f>MONTH(Table1[[#This Row],[Date Created Conversion]])</f>
        <v>4</v>
      </c>
      <c r="N10">
        <f>YEAR(Table1[[#This Row],[Date Created Conversion]])</f>
        <v>2016</v>
      </c>
      <c r="O10" t="b">
        <v>0</v>
      </c>
      <c r="P10">
        <v>12</v>
      </c>
      <c r="Q10" t="b">
        <v>1</v>
      </c>
      <c r="R10" t="s">
        <v>8265</v>
      </c>
      <c r="S10" s="6">
        <f>Table1[[#This Row],[pledged]]/Table1[[#This Row],[goal]]</f>
        <v>1.0004342857142856</v>
      </c>
      <c r="T10" s="8">
        <f>IF(Table1[[#This Row],[pledged]]=0,"no backers",Table1[[#This Row],[pledged]]/Table1[[#This Row],[backers_count]])</f>
        <v>291.79333333333335</v>
      </c>
      <c r="U10" t="str">
        <f>LEFT(Table1[[#This Row],[Category and Sub-Category]],FIND("/",Table1[[#This Row],[Category and Sub-Category]])-1)</f>
        <v>film &amp; video</v>
      </c>
      <c r="V10" t="str">
        <f>RIGHT(Table1[[#This Row],[Category and Sub-Category]],LEN(Table1[[#This Row],[Category and Sub-Category]])-FIND("/",Table1[[#This Row],[Category and Sub-Category]]))</f>
        <v>television</v>
      </c>
    </row>
    <row r="11" spans="1:22" ht="43.2" x14ac:dyDescent="0.3">
      <c r="A11">
        <v>9</v>
      </c>
      <c r="B11" s="3" t="s">
        <v>11</v>
      </c>
      <c r="C11" s="3" t="s">
        <v>4120</v>
      </c>
      <c r="D11" s="12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>((Table1[[#This Row],[deadline]]/60)/60/24)+DATE(1970,1,1)</f>
        <v>42477.103518518517</v>
      </c>
      <c r="K11">
        <v>1458268144</v>
      </c>
      <c r="L11" s="11">
        <f>((Table1[[#This Row],[launched_at]]/60)/60/24)+DATE(1970,1,1)</f>
        <v>42447.103518518517</v>
      </c>
      <c r="M11">
        <f>MONTH(Table1[[#This Row],[Date Created Conversion]])</f>
        <v>3</v>
      </c>
      <c r="N11">
        <f>YEAR(Table1[[#This Row],[Date Created Conversion]])</f>
        <v>2016</v>
      </c>
      <c r="O11" t="b">
        <v>0</v>
      </c>
      <c r="P11">
        <v>20</v>
      </c>
      <c r="Q11" t="b">
        <v>1</v>
      </c>
      <c r="R11" t="s">
        <v>8265</v>
      </c>
      <c r="S11" s="6">
        <f>Table1[[#This Row],[pledged]]/Table1[[#This Row],[goal]]</f>
        <v>1.2599800000000001</v>
      </c>
      <c r="T11" s="8">
        <f>IF(Table1[[#This Row],[pledged]]=0,"no backers",Table1[[#This Row],[pledged]]/Table1[[#This Row],[backers_count]])</f>
        <v>31.499500000000001</v>
      </c>
      <c r="U11" t="str">
        <f>LEFT(Table1[[#This Row],[Category and Sub-Category]],FIND("/",Table1[[#This Row],[Category and Sub-Category]])-1)</f>
        <v>film &amp; video</v>
      </c>
      <c r="V11" t="str">
        <f>RIGHT(Table1[[#This Row],[Category and Sub-Category]],LEN(Table1[[#This Row],[Category and Sub-Category]])-FIND("/",Table1[[#This Row],[Category and Sub-Category]]))</f>
        <v>television</v>
      </c>
    </row>
    <row r="12" spans="1:22" ht="43.2" x14ac:dyDescent="0.3">
      <c r="A12">
        <v>10</v>
      </c>
      <c r="B12" s="3" t="s">
        <v>12</v>
      </c>
      <c r="C12" s="3" t="s">
        <v>4121</v>
      </c>
      <c r="D12" s="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>((Table1[[#This Row],[deadline]]/60)/60/24)+DATE(1970,1,1)</f>
        <v>41815.068043981482</v>
      </c>
      <c r="K12">
        <v>1400636279</v>
      </c>
      <c r="L12" s="11">
        <f>((Table1[[#This Row],[launched_at]]/60)/60/24)+DATE(1970,1,1)</f>
        <v>41780.068043981482</v>
      </c>
      <c r="M12">
        <f>MONTH(Table1[[#This Row],[Date Created Conversion]])</f>
        <v>5</v>
      </c>
      <c r="N12">
        <f>YEAR(Table1[[#This Row],[Date Created Conversion]])</f>
        <v>2014</v>
      </c>
      <c r="O12" t="b">
        <v>0</v>
      </c>
      <c r="P12">
        <v>19</v>
      </c>
      <c r="Q12" t="b">
        <v>1</v>
      </c>
      <c r="R12" t="s">
        <v>8265</v>
      </c>
      <c r="S12" s="6">
        <f>Table1[[#This Row],[pledged]]/Table1[[#This Row],[goal]]</f>
        <v>1.0049999999999999</v>
      </c>
      <c r="T12" s="8">
        <f>IF(Table1[[#This Row],[pledged]]=0,"no backers",Table1[[#This Row],[pledged]]/Table1[[#This Row],[backers_count]])</f>
        <v>158.68421052631578</v>
      </c>
      <c r="U12" t="str">
        <f>LEFT(Table1[[#This Row],[Category and Sub-Category]],FIND("/",Table1[[#This Row],[Category and Sub-Category]])-1)</f>
        <v>film &amp; video</v>
      </c>
      <c r="V12" t="str">
        <f>RIGHT(Table1[[#This Row],[Category and Sub-Category]],LEN(Table1[[#This Row],[Category and Sub-Category]])-FIND("/",Table1[[#This Row],[Category and Sub-Category]]))</f>
        <v>television</v>
      </c>
    </row>
    <row r="13" spans="1:22" ht="57.6" x14ac:dyDescent="0.3">
      <c r="A13">
        <v>11</v>
      </c>
      <c r="B13" s="3" t="s">
        <v>13</v>
      </c>
      <c r="C13" s="3" t="s">
        <v>4122</v>
      </c>
      <c r="D13" s="12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>((Table1[[#This Row],[deadline]]/60)/60/24)+DATE(1970,1,1)</f>
        <v>42604.125</v>
      </c>
      <c r="K13">
        <v>1469126462</v>
      </c>
      <c r="L13" s="11">
        <f>((Table1[[#This Row],[launched_at]]/60)/60/24)+DATE(1970,1,1)</f>
        <v>42572.778495370367</v>
      </c>
      <c r="M13">
        <f>MONTH(Table1[[#This Row],[Date Created Conversion]])</f>
        <v>7</v>
      </c>
      <c r="N13">
        <f>YEAR(Table1[[#This Row],[Date Created Conversion]])</f>
        <v>2016</v>
      </c>
      <c r="O13" t="b">
        <v>0</v>
      </c>
      <c r="P13">
        <v>75</v>
      </c>
      <c r="Q13" t="b">
        <v>1</v>
      </c>
      <c r="R13" t="s">
        <v>8265</v>
      </c>
      <c r="S13" s="6">
        <f>Table1[[#This Row],[pledged]]/Table1[[#This Row],[goal]]</f>
        <v>1.2050000000000001</v>
      </c>
      <c r="T13" s="8">
        <f>IF(Table1[[#This Row],[pledged]]=0,"no backers",Table1[[#This Row],[pledged]]/Table1[[#This Row],[backers_count]])</f>
        <v>80.333333333333329</v>
      </c>
      <c r="U13" t="str">
        <f>LEFT(Table1[[#This Row],[Category and Sub-Category]],FIND("/",Table1[[#This Row],[Category and Sub-Category]])-1)</f>
        <v>film &amp; video</v>
      </c>
      <c r="V13" t="str">
        <f>RIGHT(Table1[[#This Row],[Category and Sub-Category]],LEN(Table1[[#This Row],[Category and Sub-Category]])-FIND("/",Table1[[#This Row],[Category and Sub-Category]]))</f>
        <v>television</v>
      </c>
    </row>
    <row r="14" spans="1:22" ht="57.6" x14ac:dyDescent="0.3">
      <c r="A14">
        <v>12</v>
      </c>
      <c r="B14" s="3" t="s">
        <v>14</v>
      </c>
      <c r="C14" s="3" t="s">
        <v>4123</v>
      </c>
      <c r="D14" s="12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>((Table1[[#This Row],[deadline]]/60)/60/24)+DATE(1970,1,1)</f>
        <v>41836.125</v>
      </c>
      <c r="K14">
        <v>1401642425</v>
      </c>
      <c r="L14" s="11">
        <f>((Table1[[#This Row],[launched_at]]/60)/60/24)+DATE(1970,1,1)</f>
        <v>41791.713252314818</v>
      </c>
      <c r="M14">
        <f>MONTH(Table1[[#This Row],[Date Created Conversion]])</f>
        <v>6</v>
      </c>
      <c r="N14">
        <f>YEAR(Table1[[#This Row],[Date Created Conversion]])</f>
        <v>2014</v>
      </c>
      <c r="O14" t="b">
        <v>0</v>
      </c>
      <c r="P14">
        <v>827</v>
      </c>
      <c r="Q14" t="b">
        <v>1</v>
      </c>
      <c r="R14" t="s">
        <v>8265</v>
      </c>
      <c r="S14" s="6">
        <f>Table1[[#This Row],[pledged]]/Table1[[#This Row],[goal]]</f>
        <v>1.6529333333333334</v>
      </c>
      <c r="T14" s="8">
        <f>IF(Table1[[#This Row],[pledged]]=0,"no backers",Table1[[#This Row],[pledged]]/Table1[[#This Row],[backers_count]])</f>
        <v>59.961305925030231</v>
      </c>
      <c r="U14" t="str">
        <f>LEFT(Table1[[#This Row],[Category and Sub-Category]],FIND("/",Table1[[#This Row],[Category and Sub-Category]])-1)</f>
        <v>film &amp; video</v>
      </c>
      <c r="V14" t="str">
        <f>RIGHT(Table1[[#This Row],[Category and Sub-Category]],LEN(Table1[[#This Row],[Category and Sub-Category]])-FIND("/",Table1[[#This Row],[Category and Sub-Category]]))</f>
        <v>television</v>
      </c>
    </row>
    <row r="15" spans="1:22" ht="43.2" x14ac:dyDescent="0.3">
      <c r="A15">
        <v>13</v>
      </c>
      <c r="B15" s="3" t="s">
        <v>15</v>
      </c>
      <c r="C15" s="3" t="s">
        <v>4124</v>
      </c>
      <c r="D15" s="12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>((Table1[[#This Row],[deadline]]/60)/60/24)+DATE(1970,1,1)</f>
        <v>42544.852083333331</v>
      </c>
      <c r="K15">
        <v>1463588109</v>
      </c>
      <c r="L15" s="11">
        <f>((Table1[[#This Row],[launched_at]]/60)/60/24)+DATE(1970,1,1)</f>
        <v>42508.677187499998</v>
      </c>
      <c r="M15">
        <f>MONTH(Table1[[#This Row],[Date Created Conversion]])</f>
        <v>5</v>
      </c>
      <c r="N15">
        <f>YEAR(Table1[[#This Row],[Date Created Conversion]])</f>
        <v>2016</v>
      </c>
      <c r="O15" t="b">
        <v>0</v>
      </c>
      <c r="P15">
        <v>51</v>
      </c>
      <c r="Q15" t="b">
        <v>1</v>
      </c>
      <c r="R15" t="s">
        <v>8265</v>
      </c>
      <c r="S15" s="6">
        <f>Table1[[#This Row],[pledged]]/Table1[[#This Row],[goal]]</f>
        <v>1.5997142857142856</v>
      </c>
      <c r="T15" s="8">
        <f>IF(Table1[[#This Row],[pledged]]=0,"no backers",Table1[[#This Row],[pledged]]/Table1[[#This Row],[backers_count]])</f>
        <v>109.78431372549019</v>
      </c>
      <c r="U15" t="str">
        <f>LEFT(Table1[[#This Row],[Category and Sub-Category]],FIND("/",Table1[[#This Row],[Category and Sub-Category]])-1)</f>
        <v>film &amp; video</v>
      </c>
      <c r="V15" t="str">
        <f>RIGHT(Table1[[#This Row],[Category and Sub-Category]],LEN(Table1[[#This Row],[Category and Sub-Category]])-FIND("/",Table1[[#This Row],[Category and Sub-Category]]))</f>
        <v>television</v>
      </c>
    </row>
    <row r="16" spans="1:22" ht="28.8" x14ac:dyDescent="0.3">
      <c r="A16">
        <v>14</v>
      </c>
      <c r="B16" s="3" t="s">
        <v>16</v>
      </c>
      <c r="C16" s="3" t="s">
        <v>4125</v>
      </c>
      <c r="D16" s="12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>((Table1[[#This Row],[deadline]]/60)/60/24)+DATE(1970,1,1)</f>
        <v>41833.582638888889</v>
      </c>
      <c r="K16">
        <v>1403051888</v>
      </c>
      <c r="L16" s="11">
        <f>((Table1[[#This Row],[launched_at]]/60)/60/24)+DATE(1970,1,1)</f>
        <v>41808.02648148148</v>
      </c>
      <c r="M16">
        <f>MONTH(Table1[[#This Row],[Date Created Conversion]])</f>
        <v>6</v>
      </c>
      <c r="N16">
        <f>YEAR(Table1[[#This Row],[Date Created Conversion]])</f>
        <v>2014</v>
      </c>
      <c r="O16" t="b">
        <v>0</v>
      </c>
      <c r="P16">
        <v>41</v>
      </c>
      <c r="Q16" t="b">
        <v>1</v>
      </c>
      <c r="R16" t="s">
        <v>8265</v>
      </c>
      <c r="S16" s="6">
        <f>Table1[[#This Row],[pledged]]/Table1[[#This Row],[goal]]</f>
        <v>1.0093333333333334</v>
      </c>
      <c r="T16" s="8">
        <f>IF(Table1[[#This Row],[pledged]]=0,"no backers",Table1[[#This Row],[pledged]]/Table1[[#This Row],[backers_count]])</f>
        <v>147.70731707317074</v>
      </c>
      <c r="U16" t="str">
        <f>LEFT(Table1[[#This Row],[Category and Sub-Category]],FIND("/",Table1[[#This Row],[Category and Sub-Category]])-1)</f>
        <v>film &amp; video</v>
      </c>
      <c r="V16" t="str">
        <f>RIGHT(Table1[[#This Row],[Category and Sub-Category]],LEN(Table1[[#This Row],[Category and Sub-Category]])-FIND("/",Table1[[#This Row],[Category and Sub-Category]]))</f>
        <v>television</v>
      </c>
    </row>
    <row r="17" spans="1:22" ht="43.2" x14ac:dyDescent="0.3">
      <c r="A17">
        <v>15</v>
      </c>
      <c r="B17" s="3" t="s">
        <v>17</v>
      </c>
      <c r="C17" s="3" t="s">
        <v>4126</v>
      </c>
      <c r="D17" s="12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>((Table1[[#This Row],[deadline]]/60)/60/24)+DATE(1970,1,1)</f>
        <v>42274.843055555553</v>
      </c>
      <c r="K17">
        <v>1441790658</v>
      </c>
      <c r="L17" s="11">
        <f>((Table1[[#This Row],[launched_at]]/60)/60/24)+DATE(1970,1,1)</f>
        <v>42256.391875000001</v>
      </c>
      <c r="M17">
        <f>MONTH(Table1[[#This Row],[Date Created Conversion]])</f>
        <v>9</v>
      </c>
      <c r="N17">
        <f>YEAR(Table1[[#This Row],[Date Created Conversion]])</f>
        <v>2015</v>
      </c>
      <c r="O17" t="b">
        <v>0</v>
      </c>
      <c r="P17">
        <v>98</v>
      </c>
      <c r="Q17" t="b">
        <v>1</v>
      </c>
      <c r="R17" t="s">
        <v>8265</v>
      </c>
      <c r="S17" s="6">
        <f>Table1[[#This Row],[pledged]]/Table1[[#This Row],[goal]]</f>
        <v>1.0660000000000001</v>
      </c>
      <c r="T17" s="8">
        <f>IF(Table1[[#This Row],[pledged]]=0,"no backers",Table1[[#This Row],[pledged]]/Table1[[#This Row],[backers_count]])</f>
        <v>21.755102040816325</v>
      </c>
      <c r="U17" t="str">
        <f>LEFT(Table1[[#This Row],[Category and Sub-Category]],FIND("/",Table1[[#This Row],[Category and Sub-Category]])-1)</f>
        <v>film &amp; video</v>
      </c>
      <c r="V17" t="str">
        <f>RIGHT(Table1[[#This Row],[Category and Sub-Category]],LEN(Table1[[#This Row],[Category and Sub-Category]])-FIND("/",Table1[[#This Row],[Category and Sub-Category]]))</f>
        <v>television</v>
      </c>
    </row>
    <row r="18" spans="1:22" ht="43.2" x14ac:dyDescent="0.3">
      <c r="A18">
        <v>16</v>
      </c>
      <c r="B18" s="3" t="s">
        <v>18</v>
      </c>
      <c r="C18" s="3" t="s">
        <v>4127</v>
      </c>
      <c r="D18" s="12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>((Table1[[#This Row],[deadline]]/60)/60/24)+DATE(1970,1,1)</f>
        <v>41806.229166666664</v>
      </c>
      <c r="K18">
        <v>1398971211</v>
      </c>
      <c r="L18" s="11">
        <f>((Table1[[#This Row],[launched_at]]/60)/60/24)+DATE(1970,1,1)</f>
        <v>41760.796423611115</v>
      </c>
      <c r="M18">
        <f>MONTH(Table1[[#This Row],[Date Created Conversion]])</f>
        <v>5</v>
      </c>
      <c r="N18">
        <f>YEAR(Table1[[#This Row],[Date Created Conversion]])</f>
        <v>2014</v>
      </c>
      <c r="O18" t="b">
        <v>0</v>
      </c>
      <c r="P18">
        <v>70</v>
      </c>
      <c r="Q18" t="b">
        <v>1</v>
      </c>
      <c r="R18" t="s">
        <v>8265</v>
      </c>
      <c r="S18" s="6">
        <f>Table1[[#This Row],[pledged]]/Table1[[#This Row],[goal]]</f>
        <v>1.0024166666666667</v>
      </c>
      <c r="T18" s="8">
        <f>IF(Table1[[#This Row],[pledged]]=0,"no backers",Table1[[#This Row],[pledged]]/Table1[[#This Row],[backers_count]])</f>
        <v>171.84285714285716</v>
      </c>
      <c r="U18" t="str">
        <f>LEFT(Table1[[#This Row],[Category and Sub-Category]],FIND("/",Table1[[#This Row],[Category and Sub-Category]])-1)</f>
        <v>film &amp; video</v>
      </c>
      <c r="V18" t="str">
        <f>RIGHT(Table1[[#This Row],[Category and Sub-Category]],LEN(Table1[[#This Row],[Category and Sub-Category]])-FIND("/",Table1[[#This Row],[Category and Sub-Category]]))</f>
        <v>television</v>
      </c>
    </row>
    <row r="19" spans="1:22" ht="43.2" x14ac:dyDescent="0.3">
      <c r="A19">
        <v>17</v>
      </c>
      <c r="B19" s="3" t="s">
        <v>19</v>
      </c>
      <c r="C19" s="3" t="s">
        <v>4128</v>
      </c>
      <c r="D19" s="12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>((Table1[[#This Row],[deadline]]/60)/60/24)+DATE(1970,1,1)</f>
        <v>41947.773402777777</v>
      </c>
      <c r="K19">
        <v>1412530422</v>
      </c>
      <c r="L19" s="11">
        <f>((Table1[[#This Row],[launched_at]]/60)/60/24)+DATE(1970,1,1)</f>
        <v>41917.731736111113</v>
      </c>
      <c r="M19">
        <f>MONTH(Table1[[#This Row],[Date Created Conversion]])</f>
        <v>10</v>
      </c>
      <c r="N19">
        <f>YEAR(Table1[[#This Row],[Date Created Conversion]])</f>
        <v>2014</v>
      </c>
      <c r="O19" t="b">
        <v>0</v>
      </c>
      <c r="P19">
        <v>36</v>
      </c>
      <c r="Q19" t="b">
        <v>1</v>
      </c>
      <c r="R19" t="s">
        <v>8265</v>
      </c>
      <c r="S19" s="6">
        <f>Table1[[#This Row],[pledged]]/Table1[[#This Row],[goal]]</f>
        <v>1.0066666666666666</v>
      </c>
      <c r="T19" s="8">
        <f>IF(Table1[[#This Row],[pledged]]=0,"no backers",Table1[[#This Row],[pledged]]/Table1[[#This Row],[backers_count]])</f>
        <v>41.944444444444443</v>
      </c>
      <c r="U19" t="str">
        <f>LEFT(Table1[[#This Row],[Category and Sub-Category]],FIND("/",Table1[[#This Row],[Category and Sub-Category]])-1)</f>
        <v>film &amp; video</v>
      </c>
      <c r="V19" t="str">
        <f>RIGHT(Table1[[#This Row],[Category and Sub-Category]],LEN(Table1[[#This Row],[Category and Sub-Category]])-FIND("/",Table1[[#This Row],[Category and Sub-Category]]))</f>
        <v>television</v>
      </c>
    </row>
    <row r="20" spans="1:22" ht="43.2" x14ac:dyDescent="0.3">
      <c r="A20">
        <v>18</v>
      </c>
      <c r="B20" s="3" t="s">
        <v>20</v>
      </c>
      <c r="C20" s="3" t="s">
        <v>4129</v>
      </c>
      <c r="D20" s="12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>((Table1[[#This Row],[deadline]]/60)/60/24)+DATE(1970,1,1)</f>
        <v>41899.542314814818</v>
      </c>
      <c r="K20">
        <v>1408366856</v>
      </c>
      <c r="L20" s="11">
        <f>((Table1[[#This Row],[launched_at]]/60)/60/24)+DATE(1970,1,1)</f>
        <v>41869.542314814818</v>
      </c>
      <c r="M20">
        <f>MONTH(Table1[[#This Row],[Date Created Conversion]])</f>
        <v>8</v>
      </c>
      <c r="N20">
        <f>YEAR(Table1[[#This Row],[Date Created Conversion]])</f>
        <v>2014</v>
      </c>
      <c r="O20" t="b">
        <v>0</v>
      </c>
      <c r="P20">
        <v>342</v>
      </c>
      <c r="Q20" t="b">
        <v>1</v>
      </c>
      <c r="R20" t="s">
        <v>8265</v>
      </c>
      <c r="S20" s="6">
        <f>Table1[[#This Row],[pledged]]/Table1[[#This Row],[goal]]</f>
        <v>1.0632110000000001</v>
      </c>
      <c r="T20" s="8">
        <f>IF(Table1[[#This Row],[pledged]]=0,"no backers",Table1[[#This Row],[pledged]]/Table1[[#This Row],[backers_count]])</f>
        <v>93.264122807017543</v>
      </c>
      <c r="U20" t="str">
        <f>LEFT(Table1[[#This Row],[Category and Sub-Category]],FIND("/",Table1[[#This Row],[Category and Sub-Category]])-1)</f>
        <v>film &amp; video</v>
      </c>
      <c r="V20" t="str">
        <f>RIGHT(Table1[[#This Row],[Category and Sub-Category]],LEN(Table1[[#This Row],[Category and Sub-Category]])-FIND("/",Table1[[#This Row],[Category and Sub-Category]]))</f>
        <v>television</v>
      </c>
    </row>
    <row r="21" spans="1:22" ht="43.2" x14ac:dyDescent="0.3">
      <c r="A21">
        <v>19</v>
      </c>
      <c r="B21" s="3" t="s">
        <v>21</v>
      </c>
      <c r="C21" s="3" t="s">
        <v>4130</v>
      </c>
      <c r="D21" s="12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>((Table1[[#This Row],[deadline]]/60)/60/24)+DATE(1970,1,1)</f>
        <v>42205.816365740742</v>
      </c>
      <c r="K21">
        <v>1434828934</v>
      </c>
      <c r="L21" s="11">
        <f>((Table1[[#This Row],[launched_at]]/60)/60/24)+DATE(1970,1,1)</f>
        <v>42175.816365740742</v>
      </c>
      <c r="M21">
        <f>MONTH(Table1[[#This Row],[Date Created Conversion]])</f>
        <v>6</v>
      </c>
      <c r="N21">
        <f>YEAR(Table1[[#This Row],[Date Created Conversion]])</f>
        <v>2015</v>
      </c>
      <c r="O21" t="b">
        <v>0</v>
      </c>
      <c r="P21">
        <v>22</v>
      </c>
      <c r="Q21" t="b">
        <v>1</v>
      </c>
      <c r="R21" t="s">
        <v>8265</v>
      </c>
      <c r="S21" s="6">
        <f>Table1[[#This Row],[pledged]]/Table1[[#This Row],[goal]]</f>
        <v>1.4529411764705882</v>
      </c>
      <c r="T21" s="8">
        <f>IF(Table1[[#This Row],[pledged]]=0,"no backers",Table1[[#This Row],[pledged]]/Table1[[#This Row],[backers_count]])</f>
        <v>56.136363636363633</v>
      </c>
      <c r="U21" t="str">
        <f>LEFT(Table1[[#This Row],[Category and Sub-Category]],FIND("/",Table1[[#This Row],[Category and Sub-Category]])-1)</f>
        <v>film &amp; video</v>
      </c>
      <c r="V21" t="str">
        <f>RIGHT(Table1[[#This Row],[Category and Sub-Category]],LEN(Table1[[#This Row],[Category and Sub-Category]])-FIND("/",Table1[[#This Row],[Category and Sub-Category]]))</f>
        <v>television</v>
      </c>
    </row>
    <row r="22" spans="1:22" ht="43.2" x14ac:dyDescent="0.3">
      <c r="A22">
        <v>20</v>
      </c>
      <c r="B22" s="3" t="s">
        <v>22</v>
      </c>
      <c r="C22" s="3" t="s">
        <v>4131</v>
      </c>
      <c r="D22" s="1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>((Table1[[#This Row],[deadline]]/60)/60/24)+DATE(1970,1,1)</f>
        <v>42260.758240740746</v>
      </c>
      <c r="K22">
        <v>1436983912</v>
      </c>
      <c r="L22" s="11">
        <f>((Table1[[#This Row],[launched_at]]/60)/60/24)+DATE(1970,1,1)</f>
        <v>42200.758240740746</v>
      </c>
      <c r="M22">
        <f>MONTH(Table1[[#This Row],[Date Created Conversion]])</f>
        <v>7</v>
      </c>
      <c r="N22">
        <f>YEAR(Table1[[#This Row],[Date Created Conversion]])</f>
        <v>2015</v>
      </c>
      <c r="O22" t="b">
        <v>0</v>
      </c>
      <c r="P22">
        <v>25</v>
      </c>
      <c r="Q22" t="b">
        <v>1</v>
      </c>
      <c r="R22" t="s">
        <v>8265</v>
      </c>
      <c r="S22" s="6">
        <f>Table1[[#This Row],[pledged]]/Table1[[#This Row],[goal]]</f>
        <v>1.002</v>
      </c>
      <c r="T22" s="8">
        <f>IF(Table1[[#This Row],[pledged]]=0,"no backers",Table1[[#This Row],[pledged]]/Table1[[#This Row],[backers_count]])</f>
        <v>80.16</v>
      </c>
      <c r="U22" t="str">
        <f>LEFT(Table1[[#This Row],[Category and Sub-Category]],FIND("/",Table1[[#This Row],[Category and Sub-Category]])-1)</f>
        <v>film &amp; video</v>
      </c>
      <c r="V22" t="str">
        <f>RIGHT(Table1[[#This Row],[Category and Sub-Category]],LEN(Table1[[#This Row],[Category and Sub-Category]])-FIND("/",Table1[[#This Row],[Category and Sub-Category]]))</f>
        <v>television</v>
      </c>
    </row>
    <row r="23" spans="1:22" ht="43.2" x14ac:dyDescent="0.3">
      <c r="A23">
        <v>21</v>
      </c>
      <c r="B23" s="3" t="s">
        <v>23</v>
      </c>
      <c r="C23" s="3" t="s">
        <v>4132</v>
      </c>
      <c r="D23" s="12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>((Table1[[#This Row],[deadline]]/60)/60/24)+DATE(1970,1,1)</f>
        <v>41908.627187500002</v>
      </c>
      <c r="K23">
        <v>1409151789</v>
      </c>
      <c r="L23" s="11">
        <f>((Table1[[#This Row],[launched_at]]/60)/60/24)+DATE(1970,1,1)</f>
        <v>41878.627187500002</v>
      </c>
      <c r="M23">
        <f>MONTH(Table1[[#This Row],[Date Created Conversion]])</f>
        <v>8</v>
      </c>
      <c r="N23">
        <f>YEAR(Table1[[#This Row],[Date Created Conversion]])</f>
        <v>2014</v>
      </c>
      <c r="O23" t="b">
        <v>0</v>
      </c>
      <c r="P23">
        <v>101</v>
      </c>
      <c r="Q23" t="b">
        <v>1</v>
      </c>
      <c r="R23" t="s">
        <v>8265</v>
      </c>
      <c r="S23" s="6">
        <f>Table1[[#This Row],[pledged]]/Table1[[#This Row],[goal]]</f>
        <v>1.0913513513513513</v>
      </c>
      <c r="T23" s="8">
        <f>IF(Table1[[#This Row],[pledged]]=0,"no backers",Table1[[#This Row],[pledged]]/Table1[[#This Row],[backers_count]])</f>
        <v>199.9009900990099</v>
      </c>
      <c r="U23" t="str">
        <f>LEFT(Table1[[#This Row],[Category and Sub-Category]],FIND("/",Table1[[#This Row],[Category and Sub-Category]])-1)</f>
        <v>film &amp; video</v>
      </c>
      <c r="V23" t="str">
        <f>RIGHT(Table1[[#This Row],[Category and Sub-Category]],LEN(Table1[[#This Row],[Category and Sub-Category]])-FIND("/",Table1[[#This Row],[Category and Sub-Category]]))</f>
        <v>television</v>
      </c>
    </row>
    <row r="24" spans="1:22" ht="28.8" x14ac:dyDescent="0.3">
      <c r="A24">
        <v>22</v>
      </c>
      <c r="B24" s="3" t="s">
        <v>24</v>
      </c>
      <c r="C24" s="3" t="s">
        <v>4133</v>
      </c>
      <c r="D24" s="12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>((Table1[[#This Row],[deadline]]/60)/60/24)+DATE(1970,1,1)</f>
        <v>42005.332638888889</v>
      </c>
      <c r="K24">
        <v>1418766740</v>
      </c>
      <c r="L24" s="11">
        <f>((Table1[[#This Row],[launched_at]]/60)/60/24)+DATE(1970,1,1)</f>
        <v>41989.91134259259</v>
      </c>
      <c r="M24">
        <f>MONTH(Table1[[#This Row],[Date Created Conversion]])</f>
        <v>12</v>
      </c>
      <c r="N24">
        <f>YEAR(Table1[[#This Row],[Date Created Conversion]])</f>
        <v>2014</v>
      </c>
      <c r="O24" t="b">
        <v>0</v>
      </c>
      <c r="P24">
        <v>8</v>
      </c>
      <c r="Q24" t="b">
        <v>1</v>
      </c>
      <c r="R24" t="s">
        <v>8265</v>
      </c>
      <c r="S24" s="6">
        <f>Table1[[#This Row],[pledged]]/Table1[[#This Row],[goal]]</f>
        <v>1.1714285714285715</v>
      </c>
      <c r="T24" s="8">
        <f>IF(Table1[[#This Row],[pledged]]=0,"no backers",Table1[[#This Row],[pledged]]/Table1[[#This Row],[backers_count]])</f>
        <v>51.25</v>
      </c>
      <c r="U24" t="str">
        <f>LEFT(Table1[[#This Row],[Category and Sub-Category]],FIND("/",Table1[[#This Row],[Category and Sub-Category]])-1)</f>
        <v>film &amp; video</v>
      </c>
      <c r="V24" t="str">
        <f>RIGHT(Table1[[#This Row],[Category and Sub-Category]],LEN(Table1[[#This Row],[Category and Sub-Category]])-FIND("/",Table1[[#This Row],[Category and Sub-Category]]))</f>
        <v>television</v>
      </c>
    </row>
    <row r="25" spans="1:22" ht="43.2" x14ac:dyDescent="0.3">
      <c r="A25">
        <v>23</v>
      </c>
      <c r="B25" s="3" t="s">
        <v>25</v>
      </c>
      <c r="C25" s="3" t="s">
        <v>4134</v>
      </c>
      <c r="D25" s="12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>((Table1[[#This Row],[deadline]]/60)/60/24)+DATE(1970,1,1)</f>
        <v>42124.638888888891</v>
      </c>
      <c r="K25">
        <v>1428086501</v>
      </c>
      <c r="L25" s="11">
        <f>((Table1[[#This Row],[launched_at]]/60)/60/24)+DATE(1970,1,1)</f>
        <v>42097.778946759259</v>
      </c>
      <c r="M25">
        <f>MONTH(Table1[[#This Row],[Date Created Conversion]])</f>
        <v>4</v>
      </c>
      <c r="N25">
        <f>YEAR(Table1[[#This Row],[Date Created Conversion]])</f>
        <v>2015</v>
      </c>
      <c r="O25" t="b">
        <v>0</v>
      </c>
      <c r="P25">
        <v>23</v>
      </c>
      <c r="Q25" t="b">
        <v>1</v>
      </c>
      <c r="R25" t="s">
        <v>8265</v>
      </c>
      <c r="S25" s="6">
        <f>Table1[[#This Row],[pledged]]/Table1[[#This Row],[goal]]</f>
        <v>1.1850000000000001</v>
      </c>
      <c r="T25" s="8">
        <f>IF(Table1[[#This Row],[pledged]]=0,"no backers",Table1[[#This Row],[pledged]]/Table1[[#This Row],[backers_count]])</f>
        <v>103.04347826086956</v>
      </c>
      <c r="U25" t="str">
        <f>LEFT(Table1[[#This Row],[Category and Sub-Category]],FIND("/",Table1[[#This Row],[Category and Sub-Category]])-1)</f>
        <v>film &amp; video</v>
      </c>
      <c r="V25" t="str">
        <f>RIGHT(Table1[[#This Row],[Category and Sub-Category]],LEN(Table1[[#This Row],[Category and Sub-Category]])-FIND("/",Table1[[#This Row],[Category and Sub-Category]]))</f>
        <v>television</v>
      </c>
    </row>
    <row r="26" spans="1:22" ht="28.8" x14ac:dyDescent="0.3">
      <c r="A26">
        <v>24</v>
      </c>
      <c r="B26" s="3" t="s">
        <v>26</v>
      </c>
      <c r="C26" s="3" t="s">
        <v>4135</v>
      </c>
      <c r="D26" s="12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>((Table1[[#This Row],[deadline]]/60)/60/24)+DATE(1970,1,1)</f>
        <v>42262.818750000006</v>
      </c>
      <c r="K26">
        <v>1439494863</v>
      </c>
      <c r="L26" s="11">
        <f>((Table1[[#This Row],[launched_at]]/60)/60/24)+DATE(1970,1,1)</f>
        <v>42229.820173611108</v>
      </c>
      <c r="M26">
        <f>MONTH(Table1[[#This Row],[Date Created Conversion]])</f>
        <v>8</v>
      </c>
      <c r="N26">
        <f>YEAR(Table1[[#This Row],[Date Created Conversion]])</f>
        <v>2015</v>
      </c>
      <c r="O26" t="b">
        <v>0</v>
      </c>
      <c r="P26">
        <v>574</v>
      </c>
      <c r="Q26" t="b">
        <v>1</v>
      </c>
      <c r="R26" t="s">
        <v>8265</v>
      </c>
      <c r="S26" s="6">
        <f>Table1[[#This Row],[pledged]]/Table1[[#This Row],[goal]]</f>
        <v>1.0880768571428572</v>
      </c>
      <c r="T26" s="8">
        <f>IF(Table1[[#This Row],[pledged]]=0,"no backers",Table1[[#This Row],[pledged]]/Table1[[#This Row],[backers_count]])</f>
        <v>66.346149825783982</v>
      </c>
      <c r="U26" t="str">
        <f>LEFT(Table1[[#This Row],[Category and Sub-Category]],FIND("/",Table1[[#This Row],[Category and Sub-Category]])-1)</f>
        <v>film &amp; video</v>
      </c>
      <c r="V26" t="str">
        <f>RIGHT(Table1[[#This Row],[Category and Sub-Category]],LEN(Table1[[#This Row],[Category and Sub-Category]])-FIND("/",Table1[[#This Row],[Category and Sub-Category]]))</f>
        <v>television</v>
      </c>
    </row>
    <row r="27" spans="1:22" ht="43.2" x14ac:dyDescent="0.3">
      <c r="A27">
        <v>25</v>
      </c>
      <c r="B27" s="3" t="s">
        <v>27</v>
      </c>
      <c r="C27" s="3" t="s">
        <v>4136</v>
      </c>
      <c r="D27" s="12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>((Table1[[#This Row],[deadline]]/60)/60/24)+DATE(1970,1,1)</f>
        <v>42378.025011574078</v>
      </c>
      <c r="K27">
        <v>1447115761</v>
      </c>
      <c r="L27" s="11">
        <f>((Table1[[#This Row],[launched_at]]/60)/60/24)+DATE(1970,1,1)</f>
        <v>42318.025011574078</v>
      </c>
      <c r="M27">
        <f>MONTH(Table1[[#This Row],[Date Created Conversion]])</f>
        <v>11</v>
      </c>
      <c r="N27">
        <f>YEAR(Table1[[#This Row],[Date Created Conversion]])</f>
        <v>2015</v>
      </c>
      <c r="O27" t="b">
        <v>0</v>
      </c>
      <c r="P27">
        <v>14</v>
      </c>
      <c r="Q27" t="b">
        <v>1</v>
      </c>
      <c r="R27" t="s">
        <v>8265</v>
      </c>
      <c r="S27" s="6">
        <f>Table1[[#This Row],[pledged]]/Table1[[#This Row],[goal]]</f>
        <v>1.3333333333333333</v>
      </c>
      <c r="T27" s="8">
        <f>IF(Table1[[#This Row],[pledged]]=0,"no backers",Table1[[#This Row],[pledged]]/Table1[[#This Row],[backers_count]])</f>
        <v>57.142857142857146</v>
      </c>
      <c r="U27" t="str">
        <f>LEFT(Table1[[#This Row],[Category and Sub-Category]],FIND("/",Table1[[#This Row],[Category and Sub-Category]])-1)</f>
        <v>film &amp; video</v>
      </c>
      <c r="V27" t="str">
        <f>RIGHT(Table1[[#This Row],[Category and Sub-Category]],LEN(Table1[[#This Row],[Category and Sub-Category]])-FIND("/",Table1[[#This Row],[Category and Sub-Category]]))</f>
        <v>television</v>
      </c>
    </row>
    <row r="28" spans="1:22" ht="43.2" x14ac:dyDescent="0.3">
      <c r="A28">
        <v>26</v>
      </c>
      <c r="B28" s="3" t="s">
        <v>28</v>
      </c>
      <c r="C28" s="3" t="s">
        <v>4137</v>
      </c>
      <c r="D28" s="12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>((Table1[[#This Row],[deadline]]/60)/60/24)+DATE(1970,1,1)</f>
        <v>41868.515555555554</v>
      </c>
      <c r="K28">
        <v>1404822144</v>
      </c>
      <c r="L28" s="11">
        <f>((Table1[[#This Row],[launched_at]]/60)/60/24)+DATE(1970,1,1)</f>
        <v>41828.515555555554</v>
      </c>
      <c r="M28">
        <f>MONTH(Table1[[#This Row],[Date Created Conversion]])</f>
        <v>7</v>
      </c>
      <c r="N28">
        <f>YEAR(Table1[[#This Row],[Date Created Conversion]])</f>
        <v>2014</v>
      </c>
      <c r="O28" t="b">
        <v>0</v>
      </c>
      <c r="P28">
        <v>19</v>
      </c>
      <c r="Q28" t="b">
        <v>1</v>
      </c>
      <c r="R28" t="s">
        <v>8265</v>
      </c>
      <c r="S28" s="6">
        <f>Table1[[#This Row],[pledged]]/Table1[[#This Row],[goal]]</f>
        <v>1.552</v>
      </c>
      <c r="T28" s="8">
        <f>IF(Table1[[#This Row],[pledged]]=0,"no backers",Table1[[#This Row],[pledged]]/Table1[[#This Row],[backers_count]])</f>
        <v>102.10526315789474</v>
      </c>
      <c r="U28" t="str">
        <f>LEFT(Table1[[#This Row],[Category and Sub-Category]],FIND("/",Table1[[#This Row],[Category and Sub-Category]])-1)</f>
        <v>film &amp; video</v>
      </c>
      <c r="V28" t="str">
        <f>RIGHT(Table1[[#This Row],[Category and Sub-Category]],LEN(Table1[[#This Row],[Category and Sub-Category]])-FIND("/",Table1[[#This Row],[Category and Sub-Category]]))</f>
        <v>television</v>
      </c>
    </row>
    <row r="29" spans="1:22" ht="43.2" x14ac:dyDescent="0.3">
      <c r="A29">
        <v>27</v>
      </c>
      <c r="B29" s="3" t="s">
        <v>29</v>
      </c>
      <c r="C29" s="3" t="s">
        <v>4138</v>
      </c>
      <c r="D29" s="12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>((Table1[[#This Row],[deadline]]/60)/60/24)+DATE(1970,1,1)</f>
        <v>41959.206400462965</v>
      </c>
      <c r="K29">
        <v>1413518233</v>
      </c>
      <c r="L29" s="11">
        <f>((Table1[[#This Row],[launched_at]]/60)/60/24)+DATE(1970,1,1)</f>
        <v>41929.164733796293</v>
      </c>
      <c r="M29">
        <f>MONTH(Table1[[#This Row],[Date Created Conversion]])</f>
        <v>10</v>
      </c>
      <c r="N29">
        <f>YEAR(Table1[[#This Row],[Date Created Conversion]])</f>
        <v>2014</v>
      </c>
      <c r="O29" t="b">
        <v>0</v>
      </c>
      <c r="P29">
        <v>150</v>
      </c>
      <c r="Q29" t="b">
        <v>1</v>
      </c>
      <c r="R29" t="s">
        <v>8265</v>
      </c>
      <c r="S29" s="6">
        <f>Table1[[#This Row],[pledged]]/Table1[[#This Row],[goal]]</f>
        <v>1.1172500000000001</v>
      </c>
      <c r="T29" s="8">
        <f>IF(Table1[[#This Row],[pledged]]=0,"no backers",Table1[[#This Row],[pledged]]/Table1[[#This Row],[backers_count]])</f>
        <v>148.96666666666667</v>
      </c>
      <c r="U29" t="str">
        <f>LEFT(Table1[[#This Row],[Category and Sub-Category]],FIND("/",Table1[[#This Row],[Category and Sub-Category]])-1)</f>
        <v>film &amp; video</v>
      </c>
      <c r="V29" t="str">
        <f>RIGHT(Table1[[#This Row],[Category and Sub-Category]],LEN(Table1[[#This Row],[Category and Sub-Category]])-FIND("/",Table1[[#This Row],[Category and Sub-Category]]))</f>
        <v>television</v>
      </c>
    </row>
    <row r="30" spans="1:22" ht="28.8" x14ac:dyDescent="0.3">
      <c r="A30">
        <v>28</v>
      </c>
      <c r="B30" s="3" t="s">
        <v>30</v>
      </c>
      <c r="C30" s="3" t="s">
        <v>4139</v>
      </c>
      <c r="D30" s="12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>((Table1[[#This Row],[deadline]]/60)/60/24)+DATE(1970,1,1)</f>
        <v>42354.96393518518</v>
      </c>
      <c r="K30">
        <v>1447715284</v>
      </c>
      <c r="L30" s="11">
        <f>((Table1[[#This Row],[launched_at]]/60)/60/24)+DATE(1970,1,1)</f>
        <v>42324.96393518518</v>
      </c>
      <c r="M30">
        <f>MONTH(Table1[[#This Row],[Date Created Conversion]])</f>
        <v>11</v>
      </c>
      <c r="N30">
        <f>YEAR(Table1[[#This Row],[Date Created Conversion]])</f>
        <v>2015</v>
      </c>
      <c r="O30" t="b">
        <v>0</v>
      </c>
      <c r="P30">
        <v>71</v>
      </c>
      <c r="Q30" t="b">
        <v>1</v>
      </c>
      <c r="R30" t="s">
        <v>8265</v>
      </c>
      <c r="S30" s="6">
        <f>Table1[[#This Row],[pledged]]/Table1[[#This Row],[goal]]</f>
        <v>1.0035000000000001</v>
      </c>
      <c r="T30" s="8">
        <f>IF(Table1[[#This Row],[pledged]]=0,"no backers",Table1[[#This Row],[pledged]]/Table1[[#This Row],[backers_count]])</f>
        <v>169.6056338028169</v>
      </c>
      <c r="U30" t="str">
        <f>LEFT(Table1[[#This Row],[Category and Sub-Category]],FIND("/",Table1[[#This Row],[Category and Sub-Category]])-1)</f>
        <v>film &amp; video</v>
      </c>
      <c r="V30" t="str">
        <f>RIGHT(Table1[[#This Row],[Category and Sub-Category]],LEN(Table1[[#This Row],[Category and Sub-Category]])-FIND("/",Table1[[#This Row],[Category and Sub-Category]]))</f>
        <v>television</v>
      </c>
    </row>
    <row r="31" spans="1:22" ht="43.2" x14ac:dyDescent="0.3">
      <c r="A31">
        <v>29</v>
      </c>
      <c r="B31" s="3" t="s">
        <v>31</v>
      </c>
      <c r="C31" s="3" t="s">
        <v>4140</v>
      </c>
      <c r="D31" s="12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>((Table1[[#This Row],[deadline]]/60)/60/24)+DATE(1970,1,1)</f>
        <v>41842.67324074074</v>
      </c>
      <c r="K31">
        <v>1403453368</v>
      </c>
      <c r="L31" s="11">
        <f>((Table1[[#This Row],[launched_at]]/60)/60/24)+DATE(1970,1,1)</f>
        <v>41812.67324074074</v>
      </c>
      <c r="M31">
        <f>MONTH(Table1[[#This Row],[Date Created Conversion]])</f>
        <v>6</v>
      </c>
      <c r="N31">
        <f>YEAR(Table1[[#This Row],[Date Created Conversion]])</f>
        <v>2014</v>
      </c>
      <c r="O31" t="b">
        <v>0</v>
      </c>
      <c r="P31">
        <v>117</v>
      </c>
      <c r="Q31" t="b">
        <v>1</v>
      </c>
      <c r="R31" t="s">
        <v>8265</v>
      </c>
      <c r="S31" s="6">
        <f>Table1[[#This Row],[pledged]]/Table1[[#This Row],[goal]]</f>
        <v>1.2333333333333334</v>
      </c>
      <c r="T31" s="8">
        <f>IF(Table1[[#This Row],[pledged]]=0,"no backers",Table1[[#This Row],[pledged]]/Table1[[#This Row],[backers_count]])</f>
        <v>31.623931623931625</v>
      </c>
      <c r="U31" t="str">
        <f>LEFT(Table1[[#This Row],[Category and Sub-Category]],FIND("/",Table1[[#This Row],[Category and Sub-Category]])-1)</f>
        <v>film &amp; video</v>
      </c>
      <c r="V31" t="str">
        <f>RIGHT(Table1[[#This Row],[Category and Sub-Category]],LEN(Table1[[#This Row],[Category and Sub-Category]])-FIND("/",Table1[[#This Row],[Category and Sub-Category]]))</f>
        <v>television</v>
      </c>
    </row>
    <row r="32" spans="1:22" ht="43.2" x14ac:dyDescent="0.3">
      <c r="A32">
        <v>30</v>
      </c>
      <c r="B32" s="3" t="s">
        <v>32</v>
      </c>
      <c r="C32" s="3" t="s">
        <v>4141</v>
      </c>
      <c r="D32" s="1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>((Table1[[#This Row],[deadline]]/60)/60/24)+DATE(1970,1,1)</f>
        <v>41872.292997685188</v>
      </c>
      <c r="K32">
        <v>1406012515</v>
      </c>
      <c r="L32" s="11">
        <f>((Table1[[#This Row],[launched_at]]/60)/60/24)+DATE(1970,1,1)</f>
        <v>41842.292997685188</v>
      </c>
      <c r="M32">
        <f>MONTH(Table1[[#This Row],[Date Created Conversion]])</f>
        <v>7</v>
      </c>
      <c r="N32">
        <f>YEAR(Table1[[#This Row],[Date Created Conversion]])</f>
        <v>2014</v>
      </c>
      <c r="O32" t="b">
        <v>0</v>
      </c>
      <c r="P32">
        <v>53</v>
      </c>
      <c r="Q32" t="b">
        <v>1</v>
      </c>
      <c r="R32" t="s">
        <v>8265</v>
      </c>
      <c r="S32" s="6">
        <f>Table1[[#This Row],[pledged]]/Table1[[#This Row],[goal]]</f>
        <v>1.0129975</v>
      </c>
      <c r="T32" s="8">
        <f>IF(Table1[[#This Row],[pledged]]=0,"no backers",Table1[[#This Row],[pledged]]/Table1[[#This Row],[backers_count]])</f>
        <v>76.45264150943396</v>
      </c>
      <c r="U32" t="str">
        <f>LEFT(Table1[[#This Row],[Category and Sub-Category]],FIND("/",Table1[[#This Row],[Category and Sub-Category]])-1)</f>
        <v>film &amp; video</v>
      </c>
      <c r="V32" t="str">
        <f>RIGHT(Table1[[#This Row],[Category and Sub-Category]],LEN(Table1[[#This Row],[Category and Sub-Category]])-FIND("/",Table1[[#This Row],[Category and Sub-Category]]))</f>
        <v>television</v>
      </c>
    </row>
    <row r="33" spans="1:22" ht="43.2" x14ac:dyDescent="0.3">
      <c r="A33">
        <v>31</v>
      </c>
      <c r="B33" s="3" t="s">
        <v>33</v>
      </c>
      <c r="C33" s="3" t="s">
        <v>4142</v>
      </c>
      <c r="D33" s="12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>((Table1[[#This Row],[deadline]]/60)/60/24)+DATE(1970,1,1)</f>
        <v>42394.79206018518</v>
      </c>
      <c r="K33">
        <v>1452193234</v>
      </c>
      <c r="L33" s="11">
        <f>((Table1[[#This Row],[launched_at]]/60)/60/24)+DATE(1970,1,1)</f>
        <v>42376.79206018518</v>
      </c>
      <c r="M33">
        <f>MONTH(Table1[[#This Row],[Date Created Conversion]])</f>
        <v>1</v>
      </c>
      <c r="N33">
        <f>YEAR(Table1[[#This Row],[Date Created Conversion]])</f>
        <v>2016</v>
      </c>
      <c r="O33" t="b">
        <v>0</v>
      </c>
      <c r="P33">
        <v>1</v>
      </c>
      <c r="Q33" t="b">
        <v>1</v>
      </c>
      <c r="R33" t="s">
        <v>8265</v>
      </c>
      <c r="S33" s="6">
        <f>Table1[[#This Row],[pledged]]/Table1[[#This Row],[goal]]</f>
        <v>1</v>
      </c>
      <c r="T33" s="8">
        <f>IF(Table1[[#This Row],[pledged]]=0,"no backers",Table1[[#This Row],[pledged]]/Table1[[#This Row],[backers_count]])</f>
        <v>13</v>
      </c>
      <c r="U33" t="str">
        <f>LEFT(Table1[[#This Row],[Category and Sub-Category]],FIND("/",Table1[[#This Row],[Category and Sub-Category]])-1)</f>
        <v>film &amp; video</v>
      </c>
      <c r="V33" t="str">
        <f>RIGHT(Table1[[#This Row],[Category and Sub-Category]],LEN(Table1[[#This Row],[Category and Sub-Category]])-FIND("/",Table1[[#This Row],[Category and Sub-Category]]))</f>
        <v>television</v>
      </c>
    </row>
    <row r="34" spans="1:22" ht="57.6" x14ac:dyDescent="0.3">
      <c r="A34">
        <v>32</v>
      </c>
      <c r="B34" s="3" t="s">
        <v>34</v>
      </c>
      <c r="C34" s="3" t="s">
        <v>4143</v>
      </c>
      <c r="D34" s="12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>((Table1[[#This Row],[deadline]]/60)/60/24)+DATE(1970,1,1)</f>
        <v>42503.165972222225</v>
      </c>
      <c r="K34">
        <v>1459523017</v>
      </c>
      <c r="L34" s="11">
        <f>((Table1[[#This Row],[launched_at]]/60)/60/24)+DATE(1970,1,1)</f>
        <v>42461.627511574072</v>
      </c>
      <c r="M34">
        <f>MONTH(Table1[[#This Row],[Date Created Conversion]])</f>
        <v>4</v>
      </c>
      <c r="N34">
        <f>YEAR(Table1[[#This Row],[Date Created Conversion]])</f>
        <v>2016</v>
      </c>
      <c r="O34" t="b">
        <v>0</v>
      </c>
      <c r="P34">
        <v>89</v>
      </c>
      <c r="Q34" t="b">
        <v>1</v>
      </c>
      <c r="R34" t="s">
        <v>8265</v>
      </c>
      <c r="S34" s="6">
        <f>Table1[[#This Row],[pledged]]/Table1[[#This Row],[goal]]</f>
        <v>1.0024604569420035</v>
      </c>
      <c r="T34" s="8">
        <f>IF(Table1[[#This Row],[pledged]]=0,"no backers",Table1[[#This Row],[pledged]]/Table1[[#This Row],[backers_count]])</f>
        <v>320.44943820224717</v>
      </c>
      <c r="U34" t="str">
        <f>LEFT(Table1[[#This Row],[Category and Sub-Category]],FIND("/",Table1[[#This Row],[Category and Sub-Category]])-1)</f>
        <v>film &amp; video</v>
      </c>
      <c r="V34" t="str">
        <f>RIGHT(Table1[[#This Row],[Category and Sub-Category]],LEN(Table1[[#This Row],[Category and Sub-Category]])-FIND("/",Table1[[#This Row],[Category and Sub-Category]]))</f>
        <v>television</v>
      </c>
    </row>
    <row r="35" spans="1:22" ht="43.2" x14ac:dyDescent="0.3">
      <c r="A35">
        <v>33</v>
      </c>
      <c r="B35" s="3" t="s">
        <v>35</v>
      </c>
      <c r="C35" s="3" t="s">
        <v>4144</v>
      </c>
      <c r="D35" s="12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>((Table1[[#This Row],[deadline]]/60)/60/24)+DATE(1970,1,1)</f>
        <v>42316.702557870376</v>
      </c>
      <c r="K35">
        <v>1444405901</v>
      </c>
      <c r="L35" s="11">
        <f>((Table1[[#This Row],[launched_at]]/60)/60/24)+DATE(1970,1,1)</f>
        <v>42286.660891203705</v>
      </c>
      <c r="M35">
        <f>MONTH(Table1[[#This Row],[Date Created Conversion]])</f>
        <v>10</v>
      </c>
      <c r="N35">
        <f>YEAR(Table1[[#This Row],[Date Created Conversion]])</f>
        <v>2015</v>
      </c>
      <c r="O35" t="b">
        <v>0</v>
      </c>
      <c r="P35">
        <v>64</v>
      </c>
      <c r="Q35" t="b">
        <v>1</v>
      </c>
      <c r="R35" t="s">
        <v>8265</v>
      </c>
      <c r="S35" s="6">
        <f>Table1[[#This Row],[pledged]]/Table1[[#This Row],[goal]]</f>
        <v>1.0209523809523811</v>
      </c>
      <c r="T35" s="8">
        <f>IF(Table1[[#This Row],[pledged]]=0,"no backers",Table1[[#This Row],[pledged]]/Table1[[#This Row],[backers_count]])</f>
        <v>83.75</v>
      </c>
      <c r="U35" t="str">
        <f>LEFT(Table1[[#This Row],[Category and Sub-Category]],FIND("/",Table1[[#This Row],[Category and Sub-Category]])-1)</f>
        <v>film &amp; video</v>
      </c>
      <c r="V35" t="str">
        <f>RIGHT(Table1[[#This Row],[Category and Sub-Category]],LEN(Table1[[#This Row],[Category and Sub-Category]])-FIND("/",Table1[[#This Row],[Category and Sub-Category]]))</f>
        <v>television</v>
      </c>
    </row>
    <row r="36" spans="1:22" ht="43.2" x14ac:dyDescent="0.3">
      <c r="A36">
        <v>34</v>
      </c>
      <c r="B36" s="3" t="s">
        <v>36</v>
      </c>
      <c r="C36" s="3" t="s">
        <v>4145</v>
      </c>
      <c r="D36" s="12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>((Table1[[#This Row],[deadline]]/60)/60/24)+DATE(1970,1,1)</f>
        <v>41856.321770833332</v>
      </c>
      <c r="K36">
        <v>1405928601</v>
      </c>
      <c r="L36" s="11">
        <f>((Table1[[#This Row],[launched_at]]/60)/60/24)+DATE(1970,1,1)</f>
        <v>41841.321770833332</v>
      </c>
      <c r="M36">
        <f>MONTH(Table1[[#This Row],[Date Created Conversion]])</f>
        <v>7</v>
      </c>
      <c r="N36">
        <f>YEAR(Table1[[#This Row],[Date Created Conversion]])</f>
        <v>2014</v>
      </c>
      <c r="O36" t="b">
        <v>0</v>
      </c>
      <c r="P36">
        <v>68</v>
      </c>
      <c r="Q36" t="b">
        <v>1</v>
      </c>
      <c r="R36" t="s">
        <v>8265</v>
      </c>
      <c r="S36" s="6">
        <f>Table1[[#This Row],[pledged]]/Table1[[#This Row],[goal]]</f>
        <v>1.3046153846153845</v>
      </c>
      <c r="T36" s="8">
        <f>IF(Table1[[#This Row],[pledged]]=0,"no backers",Table1[[#This Row],[pledged]]/Table1[[#This Row],[backers_count]])</f>
        <v>49.882352941176471</v>
      </c>
      <c r="U36" t="str">
        <f>LEFT(Table1[[#This Row],[Category and Sub-Category]],FIND("/",Table1[[#This Row],[Category and Sub-Category]])-1)</f>
        <v>film &amp; video</v>
      </c>
      <c r="V36" t="str">
        <f>RIGHT(Table1[[#This Row],[Category and Sub-Category]],LEN(Table1[[#This Row],[Category and Sub-Category]])-FIND("/",Table1[[#This Row],[Category and Sub-Category]]))</f>
        <v>television</v>
      </c>
    </row>
    <row r="37" spans="1:22" ht="43.2" x14ac:dyDescent="0.3">
      <c r="A37">
        <v>35</v>
      </c>
      <c r="B37" s="3" t="s">
        <v>37</v>
      </c>
      <c r="C37" s="3" t="s">
        <v>4146</v>
      </c>
      <c r="D37" s="12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>((Table1[[#This Row],[deadline]]/60)/60/24)+DATE(1970,1,1)</f>
        <v>42122</v>
      </c>
      <c r="K37">
        <v>1428130814</v>
      </c>
      <c r="L37" s="11">
        <f>((Table1[[#This Row],[launched_at]]/60)/60/24)+DATE(1970,1,1)</f>
        <v>42098.291828703703</v>
      </c>
      <c r="M37">
        <f>MONTH(Table1[[#This Row],[Date Created Conversion]])</f>
        <v>4</v>
      </c>
      <c r="N37">
        <f>YEAR(Table1[[#This Row],[Date Created Conversion]])</f>
        <v>2015</v>
      </c>
      <c r="O37" t="b">
        <v>0</v>
      </c>
      <c r="P37">
        <v>28</v>
      </c>
      <c r="Q37" t="b">
        <v>1</v>
      </c>
      <c r="R37" t="s">
        <v>8265</v>
      </c>
      <c r="S37" s="6">
        <f>Table1[[#This Row],[pledged]]/Table1[[#This Row],[goal]]</f>
        <v>1.665</v>
      </c>
      <c r="T37" s="8">
        <f>IF(Table1[[#This Row],[pledged]]=0,"no backers",Table1[[#This Row],[pledged]]/Table1[[#This Row],[backers_count]])</f>
        <v>59.464285714285715</v>
      </c>
      <c r="U37" t="str">
        <f>LEFT(Table1[[#This Row],[Category and Sub-Category]],FIND("/",Table1[[#This Row],[Category and Sub-Category]])-1)</f>
        <v>film &amp; video</v>
      </c>
      <c r="V37" t="str">
        <f>RIGHT(Table1[[#This Row],[Category and Sub-Category]],LEN(Table1[[#This Row],[Category and Sub-Category]])-FIND("/",Table1[[#This Row],[Category and Sub-Category]]))</f>
        <v>television</v>
      </c>
    </row>
    <row r="38" spans="1:22" ht="28.8" x14ac:dyDescent="0.3">
      <c r="A38">
        <v>36</v>
      </c>
      <c r="B38" s="3" t="s">
        <v>38</v>
      </c>
      <c r="C38" s="3" t="s">
        <v>4147</v>
      </c>
      <c r="D38" s="12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>((Table1[[#This Row],[deadline]]/60)/60/24)+DATE(1970,1,1)</f>
        <v>42098.265335648146</v>
      </c>
      <c r="K38">
        <v>1425540125</v>
      </c>
      <c r="L38" s="11">
        <f>((Table1[[#This Row],[launched_at]]/60)/60/24)+DATE(1970,1,1)</f>
        <v>42068.307002314818</v>
      </c>
      <c r="M38">
        <f>MONTH(Table1[[#This Row],[Date Created Conversion]])</f>
        <v>3</v>
      </c>
      <c r="N38">
        <f>YEAR(Table1[[#This Row],[Date Created Conversion]])</f>
        <v>2015</v>
      </c>
      <c r="O38" t="b">
        <v>0</v>
      </c>
      <c r="P38">
        <v>44</v>
      </c>
      <c r="Q38" t="b">
        <v>1</v>
      </c>
      <c r="R38" t="s">
        <v>8265</v>
      </c>
      <c r="S38" s="6">
        <f>Table1[[#This Row],[pledged]]/Table1[[#This Row],[goal]]</f>
        <v>1.4215</v>
      </c>
      <c r="T38" s="8">
        <f>IF(Table1[[#This Row],[pledged]]=0,"no backers",Table1[[#This Row],[pledged]]/Table1[[#This Row],[backers_count]])</f>
        <v>193.84090909090909</v>
      </c>
      <c r="U38" t="str">
        <f>LEFT(Table1[[#This Row],[Category and Sub-Category]],FIND("/",Table1[[#This Row],[Category and Sub-Category]])-1)</f>
        <v>film &amp; video</v>
      </c>
      <c r="V38" t="str">
        <f>RIGHT(Table1[[#This Row],[Category and Sub-Category]],LEN(Table1[[#This Row],[Category and Sub-Category]])-FIND("/",Table1[[#This Row],[Category and Sub-Category]]))</f>
        <v>television</v>
      </c>
    </row>
    <row r="39" spans="1:22" ht="43.2" x14ac:dyDescent="0.3">
      <c r="A39">
        <v>37</v>
      </c>
      <c r="B39" s="3" t="s">
        <v>39</v>
      </c>
      <c r="C39" s="3" t="s">
        <v>4148</v>
      </c>
      <c r="D39" s="12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>((Table1[[#This Row],[deadline]]/60)/60/24)+DATE(1970,1,1)</f>
        <v>42062.693043981482</v>
      </c>
      <c r="K39">
        <v>1422463079</v>
      </c>
      <c r="L39" s="11">
        <f>((Table1[[#This Row],[launched_at]]/60)/60/24)+DATE(1970,1,1)</f>
        <v>42032.693043981482</v>
      </c>
      <c r="M39">
        <f>MONTH(Table1[[#This Row],[Date Created Conversion]])</f>
        <v>1</v>
      </c>
      <c r="N39">
        <f>YEAR(Table1[[#This Row],[Date Created Conversion]])</f>
        <v>2015</v>
      </c>
      <c r="O39" t="b">
        <v>0</v>
      </c>
      <c r="P39">
        <v>253</v>
      </c>
      <c r="Q39" t="b">
        <v>1</v>
      </c>
      <c r="R39" t="s">
        <v>8265</v>
      </c>
      <c r="S39" s="6">
        <f>Table1[[#This Row],[pledged]]/Table1[[#This Row],[goal]]</f>
        <v>1.8344090909090909</v>
      </c>
      <c r="T39" s="8">
        <f>IF(Table1[[#This Row],[pledged]]=0,"no backers",Table1[[#This Row],[pledged]]/Table1[[#This Row],[backers_count]])</f>
        <v>159.51383399209487</v>
      </c>
      <c r="U39" t="str">
        <f>LEFT(Table1[[#This Row],[Category and Sub-Category]],FIND("/",Table1[[#This Row],[Category and Sub-Category]])-1)</f>
        <v>film &amp; video</v>
      </c>
      <c r="V39" t="str">
        <f>RIGHT(Table1[[#This Row],[Category and Sub-Category]],LEN(Table1[[#This Row],[Category and Sub-Category]])-FIND("/",Table1[[#This Row],[Category and Sub-Category]]))</f>
        <v>television</v>
      </c>
    </row>
    <row r="40" spans="1:22" ht="43.2" x14ac:dyDescent="0.3">
      <c r="A40">
        <v>38</v>
      </c>
      <c r="B40" s="3" t="s">
        <v>40</v>
      </c>
      <c r="C40" s="3" t="s">
        <v>4149</v>
      </c>
      <c r="D40" s="12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>((Table1[[#This Row],[deadline]]/60)/60/24)+DATE(1970,1,1)</f>
        <v>41405.057222222218</v>
      </c>
      <c r="K40">
        <v>1365643344</v>
      </c>
      <c r="L40" s="11">
        <f>((Table1[[#This Row],[launched_at]]/60)/60/24)+DATE(1970,1,1)</f>
        <v>41375.057222222218</v>
      </c>
      <c r="M40">
        <f>MONTH(Table1[[#This Row],[Date Created Conversion]])</f>
        <v>4</v>
      </c>
      <c r="N40">
        <f>YEAR(Table1[[#This Row],[Date Created Conversion]])</f>
        <v>2013</v>
      </c>
      <c r="O40" t="b">
        <v>0</v>
      </c>
      <c r="P40">
        <v>66</v>
      </c>
      <c r="Q40" t="b">
        <v>1</v>
      </c>
      <c r="R40" t="s">
        <v>8265</v>
      </c>
      <c r="S40" s="6">
        <f>Table1[[#This Row],[pledged]]/Table1[[#This Row],[goal]]</f>
        <v>1.1004</v>
      </c>
      <c r="T40" s="8">
        <f>IF(Table1[[#This Row],[pledged]]=0,"no backers",Table1[[#This Row],[pledged]]/Table1[[#This Row],[backers_count]])</f>
        <v>41.68181818181818</v>
      </c>
      <c r="U40" t="str">
        <f>LEFT(Table1[[#This Row],[Category and Sub-Category]],FIND("/",Table1[[#This Row],[Category and Sub-Category]])-1)</f>
        <v>film &amp; video</v>
      </c>
      <c r="V40" t="str">
        <f>RIGHT(Table1[[#This Row],[Category and Sub-Category]],LEN(Table1[[#This Row],[Category and Sub-Category]])-FIND("/",Table1[[#This Row],[Category and Sub-Category]]))</f>
        <v>television</v>
      </c>
    </row>
    <row r="41" spans="1:22" ht="57.6" x14ac:dyDescent="0.3">
      <c r="A41">
        <v>39</v>
      </c>
      <c r="B41" s="3" t="s">
        <v>41</v>
      </c>
      <c r="C41" s="3" t="s">
        <v>4150</v>
      </c>
      <c r="D41" s="12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>((Table1[[#This Row],[deadline]]/60)/60/24)+DATE(1970,1,1)</f>
        <v>41784.957638888889</v>
      </c>
      <c r="K41">
        <v>1398388068</v>
      </c>
      <c r="L41" s="11">
        <f>((Table1[[#This Row],[launched_at]]/60)/60/24)+DATE(1970,1,1)</f>
        <v>41754.047083333331</v>
      </c>
      <c r="M41">
        <f>MONTH(Table1[[#This Row],[Date Created Conversion]])</f>
        <v>4</v>
      </c>
      <c r="N41">
        <f>YEAR(Table1[[#This Row],[Date Created Conversion]])</f>
        <v>2014</v>
      </c>
      <c r="O41" t="b">
        <v>0</v>
      </c>
      <c r="P41">
        <v>217</v>
      </c>
      <c r="Q41" t="b">
        <v>1</v>
      </c>
      <c r="R41" t="s">
        <v>8265</v>
      </c>
      <c r="S41" s="6">
        <f>Table1[[#This Row],[pledged]]/Table1[[#This Row],[goal]]</f>
        <v>1.3098000000000001</v>
      </c>
      <c r="T41" s="8">
        <f>IF(Table1[[#This Row],[pledged]]=0,"no backers",Table1[[#This Row],[pledged]]/Table1[[#This Row],[backers_count]])</f>
        <v>150.89861751152074</v>
      </c>
      <c r="U41" t="str">
        <f>LEFT(Table1[[#This Row],[Category and Sub-Category]],FIND("/",Table1[[#This Row],[Category and Sub-Category]])-1)</f>
        <v>film &amp; video</v>
      </c>
      <c r="V41" t="str">
        <f>RIGHT(Table1[[#This Row],[Category and Sub-Category]],LEN(Table1[[#This Row],[Category and Sub-Category]])-FIND("/",Table1[[#This Row],[Category and Sub-Category]]))</f>
        <v>television</v>
      </c>
    </row>
    <row r="42" spans="1:22" ht="43.2" x14ac:dyDescent="0.3">
      <c r="A42">
        <v>40</v>
      </c>
      <c r="B42" s="3" t="s">
        <v>42</v>
      </c>
      <c r="C42" s="3" t="s">
        <v>4151</v>
      </c>
      <c r="D42" s="1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>((Table1[[#This Row],[deadline]]/60)/60/24)+DATE(1970,1,1)</f>
        <v>41809.166666666664</v>
      </c>
      <c r="K42">
        <v>1401426488</v>
      </c>
      <c r="L42" s="11">
        <f>((Table1[[#This Row],[launched_at]]/60)/60/24)+DATE(1970,1,1)</f>
        <v>41789.21398148148</v>
      </c>
      <c r="M42">
        <f>MONTH(Table1[[#This Row],[Date Created Conversion]])</f>
        <v>5</v>
      </c>
      <c r="N42">
        <f>YEAR(Table1[[#This Row],[Date Created Conversion]])</f>
        <v>2014</v>
      </c>
      <c r="O42" t="b">
        <v>0</v>
      </c>
      <c r="P42">
        <v>16</v>
      </c>
      <c r="Q42" t="b">
        <v>1</v>
      </c>
      <c r="R42" t="s">
        <v>8265</v>
      </c>
      <c r="S42" s="6">
        <f>Table1[[#This Row],[pledged]]/Table1[[#This Row],[goal]]</f>
        <v>1.0135000000000001</v>
      </c>
      <c r="T42" s="8">
        <f>IF(Table1[[#This Row],[pledged]]=0,"no backers",Table1[[#This Row],[pledged]]/Table1[[#This Row],[backers_count]])</f>
        <v>126.6875</v>
      </c>
      <c r="U42" t="str">
        <f>LEFT(Table1[[#This Row],[Category and Sub-Category]],FIND("/",Table1[[#This Row],[Category and Sub-Category]])-1)</f>
        <v>film &amp; video</v>
      </c>
      <c r="V42" t="str">
        <f>RIGHT(Table1[[#This Row],[Category and Sub-Category]],LEN(Table1[[#This Row],[Category and Sub-Category]])-FIND("/",Table1[[#This Row],[Category and Sub-Category]]))</f>
        <v>television</v>
      </c>
    </row>
    <row r="43" spans="1:22" ht="43.2" x14ac:dyDescent="0.3">
      <c r="A43">
        <v>41</v>
      </c>
      <c r="B43" s="3" t="s">
        <v>43</v>
      </c>
      <c r="C43" s="3" t="s">
        <v>4152</v>
      </c>
      <c r="D43" s="12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>((Table1[[#This Row],[deadline]]/60)/60/24)+DATE(1970,1,1)</f>
        <v>41917.568912037037</v>
      </c>
      <c r="K43">
        <v>1409924354</v>
      </c>
      <c r="L43" s="11">
        <f>((Table1[[#This Row],[launched_at]]/60)/60/24)+DATE(1970,1,1)</f>
        <v>41887.568912037037</v>
      </c>
      <c r="M43">
        <f>MONTH(Table1[[#This Row],[Date Created Conversion]])</f>
        <v>9</v>
      </c>
      <c r="N43">
        <f>YEAR(Table1[[#This Row],[Date Created Conversion]])</f>
        <v>2014</v>
      </c>
      <c r="O43" t="b">
        <v>0</v>
      </c>
      <c r="P43">
        <v>19</v>
      </c>
      <c r="Q43" t="b">
        <v>1</v>
      </c>
      <c r="R43" t="s">
        <v>8265</v>
      </c>
      <c r="S43" s="6">
        <f>Table1[[#This Row],[pledged]]/Table1[[#This Row],[goal]]</f>
        <v>1</v>
      </c>
      <c r="T43" s="8">
        <f>IF(Table1[[#This Row],[pledged]]=0,"no backers",Table1[[#This Row],[pledged]]/Table1[[#This Row],[backers_count]])</f>
        <v>105.26315789473684</v>
      </c>
      <c r="U43" t="str">
        <f>LEFT(Table1[[#This Row],[Category and Sub-Category]],FIND("/",Table1[[#This Row],[Category and Sub-Category]])-1)</f>
        <v>film &amp; video</v>
      </c>
      <c r="V43" t="str">
        <f>RIGHT(Table1[[#This Row],[Category and Sub-Category]],LEN(Table1[[#This Row],[Category and Sub-Category]])-FIND("/",Table1[[#This Row],[Category and Sub-Category]]))</f>
        <v>television</v>
      </c>
    </row>
    <row r="44" spans="1:22" ht="43.2" x14ac:dyDescent="0.3">
      <c r="A44">
        <v>42</v>
      </c>
      <c r="B44" s="3" t="s">
        <v>44</v>
      </c>
      <c r="C44" s="3" t="s">
        <v>4153</v>
      </c>
      <c r="D44" s="12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>((Table1[[#This Row],[deadline]]/60)/60/24)+DATE(1970,1,1)</f>
        <v>42001.639189814814</v>
      </c>
      <c r="K44">
        <v>1417188026</v>
      </c>
      <c r="L44" s="11">
        <f>((Table1[[#This Row],[launched_at]]/60)/60/24)+DATE(1970,1,1)</f>
        <v>41971.639189814814</v>
      </c>
      <c r="M44">
        <f>MONTH(Table1[[#This Row],[Date Created Conversion]])</f>
        <v>11</v>
      </c>
      <c r="N44">
        <f>YEAR(Table1[[#This Row],[Date Created Conversion]])</f>
        <v>2014</v>
      </c>
      <c r="O44" t="b">
        <v>0</v>
      </c>
      <c r="P44">
        <v>169</v>
      </c>
      <c r="Q44" t="b">
        <v>1</v>
      </c>
      <c r="R44" t="s">
        <v>8265</v>
      </c>
      <c r="S44" s="6">
        <f>Table1[[#This Row],[pledged]]/Table1[[#This Row],[goal]]</f>
        <v>1.4185714285714286</v>
      </c>
      <c r="T44" s="8">
        <f>IF(Table1[[#This Row],[pledged]]=0,"no backers",Table1[[#This Row],[pledged]]/Table1[[#This Row],[backers_count]])</f>
        <v>117.51479289940828</v>
      </c>
      <c r="U44" t="str">
        <f>LEFT(Table1[[#This Row],[Category and Sub-Category]],FIND("/",Table1[[#This Row],[Category and Sub-Category]])-1)</f>
        <v>film &amp; video</v>
      </c>
      <c r="V44" t="str">
        <f>RIGHT(Table1[[#This Row],[Category and Sub-Category]],LEN(Table1[[#This Row],[Category and Sub-Category]])-FIND("/",Table1[[#This Row],[Category and Sub-Category]]))</f>
        <v>television</v>
      </c>
    </row>
    <row r="45" spans="1:22" ht="43.2" x14ac:dyDescent="0.3">
      <c r="A45">
        <v>43</v>
      </c>
      <c r="B45" s="3" t="s">
        <v>45</v>
      </c>
      <c r="C45" s="3" t="s">
        <v>4154</v>
      </c>
      <c r="D45" s="12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>((Table1[[#This Row],[deadline]]/60)/60/24)+DATE(1970,1,1)</f>
        <v>41833</v>
      </c>
      <c r="K45">
        <v>1402599486</v>
      </c>
      <c r="L45" s="11">
        <f>((Table1[[#This Row],[launched_at]]/60)/60/24)+DATE(1970,1,1)</f>
        <v>41802.790347222224</v>
      </c>
      <c r="M45">
        <f>MONTH(Table1[[#This Row],[Date Created Conversion]])</f>
        <v>6</v>
      </c>
      <c r="N45">
        <f>YEAR(Table1[[#This Row],[Date Created Conversion]])</f>
        <v>2014</v>
      </c>
      <c r="O45" t="b">
        <v>0</v>
      </c>
      <c r="P45">
        <v>263</v>
      </c>
      <c r="Q45" t="b">
        <v>1</v>
      </c>
      <c r="R45" t="s">
        <v>8265</v>
      </c>
      <c r="S45" s="6">
        <f>Table1[[#This Row],[pledged]]/Table1[[#This Row],[goal]]</f>
        <v>3.0865999999999998</v>
      </c>
      <c r="T45" s="8">
        <f>IF(Table1[[#This Row],[pledged]]=0,"no backers",Table1[[#This Row],[pledged]]/Table1[[#This Row],[backers_count]])</f>
        <v>117.36121673003802</v>
      </c>
      <c r="U45" t="str">
        <f>LEFT(Table1[[#This Row],[Category and Sub-Category]],FIND("/",Table1[[#This Row],[Category and Sub-Category]])-1)</f>
        <v>film &amp; video</v>
      </c>
      <c r="V45" t="str">
        <f>RIGHT(Table1[[#This Row],[Category and Sub-Category]],LEN(Table1[[#This Row],[Category and Sub-Category]])-FIND("/",Table1[[#This Row],[Category and Sub-Category]]))</f>
        <v>television</v>
      </c>
    </row>
    <row r="46" spans="1:22" ht="57.6" x14ac:dyDescent="0.3">
      <c r="A46">
        <v>44</v>
      </c>
      <c r="B46" s="3" t="s">
        <v>46</v>
      </c>
      <c r="C46" s="3" t="s">
        <v>4155</v>
      </c>
      <c r="D46" s="12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>((Table1[[#This Row],[deadline]]/60)/60/24)+DATE(1970,1,1)</f>
        <v>41919.098807870374</v>
      </c>
      <c r="K46">
        <v>1408760537</v>
      </c>
      <c r="L46" s="11">
        <f>((Table1[[#This Row],[launched_at]]/60)/60/24)+DATE(1970,1,1)</f>
        <v>41874.098807870374</v>
      </c>
      <c r="M46">
        <f>MONTH(Table1[[#This Row],[Date Created Conversion]])</f>
        <v>8</v>
      </c>
      <c r="N46">
        <f>YEAR(Table1[[#This Row],[Date Created Conversion]])</f>
        <v>2014</v>
      </c>
      <c r="O46" t="b">
        <v>0</v>
      </c>
      <c r="P46">
        <v>15</v>
      </c>
      <c r="Q46" t="b">
        <v>1</v>
      </c>
      <c r="R46" t="s">
        <v>8265</v>
      </c>
      <c r="S46" s="6">
        <f>Table1[[#This Row],[pledged]]/Table1[[#This Row],[goal]]</f>
        <v>1</v>
      </c>
      <c r="T46" s="8">
        <f>IF(Table1[[#This Row],[pledged]]=0,"no backers",Table1[[#This Row],[pledged]]/Table1[[#This Row],[backers_count]])</f>
        <v>133.33333333333334</v>
      </c>
      <c r="U46" t="str">
        <f>LEFT(Table1[[#This Row],[Category and Sub-Category]],FIND("/",Table1[[#This Row],[Category and Sub-Category]])-1)</f>
        <v>film &amp; video</v>
      </c>
      <c r="V46" t="str">
        <f>RIGHT(Table1[[#This Row],[Category and Sub-Category]],LEN(Table1[[#This Row],[Category and Sub-Category]])-FIND("/",Table1[[#This Row],[Category and Sub-Category]]))</f>
        <v>television</v>
      </c>
    </row>
    <row r="47" spans="1:22" ht="43.2" x14ac:dyDescent="0.3">
      <c r="A47">
        <v>45</v>
      </c>
      <c r="B47" s="3" t="s">
        <v>47</v>
      </c>
      <c r="C47" s="3" t="s">
        <v>4156</v>
      </c>
      <c r="D47" s="12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>((Table1[[#This Row],[deadline]]/60)/60/24)+DATE(1970,1,1)</f>
        <v>42487.623923611114</v>
      </c>
      <c r="K47">
        <v>1459177107</v>
      </c>
      <c r="L47" s="11">
        <f>((Table1[[#This Row],[launched_at]]/60)/60/24)+DATE(1970,1,1)</f>
        <v>42457.623923611114</v>
      </c>
      <c r="M47">
        <f>MONTH(Table1[[#This Row],[Date Created Conversion]])</f>
        <v>3</v>
      </c>
      <c r="N47">
        <f>YEAR(Table1[[#This Row],[Date Created Conversion]])</f>
        <v>2016</v>
      </c>
      <c r="O47" t="b">
        <v>0</v>
      </c>
      <c r="P47">
        <v>61</v>
      </c>
      <c r="Q47" t="b">
        <v>1</v>
      </c>
      <c r="R47" t="s">
        <v>8265</v>
      </c>
      <c r="S47" s="6">
        <f>Table1[[#This Row],[pledged]]/Table1[[#This Row],[goal]]</f>
        <v>1.2</v>
      </c>
      <c r="T47" s="8">
        <f>IF(Table1[[#This Row],[pledged]]=0,"no backers",Table1[[#This Row],[pledged]]/Table1[[#This Row],[backers_count]])</f>
        <v>98.360655737704917</v>
      </c>
      <c r="U47" t="str">
        <f>LEFT(Table1[[#This Row],[Category and Sub-Category]],FIND("/",Table1[[#This Row],[Category and Sub-Category]])-1)</f>
        <v>film &amp; video</v>
      </c>
      <c r="V47" t="str">
        <f>RIGHT(Table1[[#This Row],[Category and Sub-Category]],LEN(Table1[[#This Row],[Category and Sub-Category]])-FIND("/",Table1[[#This Row],[Category and Sub-Category]]))</f>
        <v>television</v>
      </c>
    </row>
    <row r="48" spans="1:22" ht="43.2" x14ac:dyDescent="0.3">
      <c r="A48">
        <v>46</v>
      </c>
      <c r="B48" s="3" t="s">
        <v>48</v>
      </c>
      <c r="C48" s="3" t="s">
        <v>4157</v>
      </c>
      <c r="D48" s="12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>((Table1[[#This Row],[deadline]]/60)/60/24)+DATE(1970,1,1)</f>
        <v>42353.964976851858</v>
      </c>
      <c r="K48">
        <v>1447628974</v>
      </c>
      <c r="L48" s="11">
        <f>((Table1[[#This Row],[launched_at]]/60)/60/24)+DATE(1970,1,1)</f>
        <v>42323.964976851858</v>
      </c>
      <c r="M48">
        <f>MONTH(Table1[[#This Row],[Date Created Conversion]])</f>
        <v>11</v>
      </c>
      <c r="N48">
        <f>YEAR(Table1[[#This Row],[Date Created Conversion]])</f>
        <v>2015</v>
      </c>
      <c r="O48" t="b">
        <v>0</v>
      </c>
      <c r="P48">
        <v>45</v>
      </c>
      <c r="Q48" t="b">
        <v>1</v>
      </c>
      <c r="R48" t="s">
        <v>8265</v>
      </c>
      <c r="S48" s="6">
        <f>Table1[[#This Row],[pledged]]/Table1[[#This Row],[goal]]</f>
        <v>1.0416666666666667</v>
      </c>
      <c r="T48" s="8">
        <f>IF(Table1[[#This Row],[pledged]]=0,"no backers",Table1[[#This Row],[pledged]]/Table1[[#This Row],[backers_count]])</f>
        <v>194.44444444444446</v>
      </c>
      <c r="U48" t="str">
        <f>LEFT(Table1[[#This Row],[Category and Sub-Category]],FIND("/",Table1[[#This Row],[Category and Sub-Category]])-1)</f>
        <v>film &amp; video</v>
      </c>
      <c r="V48" t="str">
        <f>RIGHT(Table1[[#This Row],[Category and Sub-Category]],LEN(Table1[[#This Row],[Category and Sub-Category]])-FIND("/",Table1[[#This Row],[Category and Sub-Category]]))</f>
        <v>television</v>
      </c>
    </row>
    <row r="49" spans="1:22" ht="57.6" x14ac:dyDescent="0.3">
      <c r="A49">
        <v>47</v>
      </c>
      <c r="B49" s="3" t="s">
        <v>49</v>
      </c>
      <c r="C49" s="3" t="s">
        <v>4158</v>
      </c>
      <c r="D49" s="12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>((Table1[[#This Row],[deadline]]/60)/60/24)+DATE(1970,1,1)</f>
        <v>41992.861192129625</v>
      </c>
      <c r="K49">
        <v>1413834007</v>
      </c>
      <c r="L49" s="11">
        <f>((Table1[[#This Row],[launched_at]]/60)/60/24)+DATE(1970,1,1)</f>
        <v>41932.819525462961</v>
      </c>
      <c r="M49">
        <f>MONTH(Table1[[#This Row],[Date Created Conversion]])</f>
        <v>10</v>
      </c>
      <c r="N49">
        <f>YEAR(Table1[[#This Row],[Date Created Conversion]])</f>
        <v>2014</v>
      </c>
      <c r="O49" t="b">
        <v>0</v>
      </c>
      <c r="P49">
        <v>70</v>
      </c>
      <c r="Q49" t="b">
        <v>1</v>
      </c>
      <c r="R49" t="s">
        <v>8265</v>
      </c>
      <c r="S49" s="6">
        <f>Table1[[#This Row],[pledged]]/Table1[[#This Row],[goal]]</f>
        <v>1.0761100000000001</v>
      </c>
      <c r="T49" s="8">
        <f>IF(Table1[[#This Row],[pledged]]=0,"no backers",Table1[[#This Row],[pledged]]/Table1[[#This Row],[backers_count]])</f>
        <v>76.865000000000009</v>
      </c>
      <c r="U49" t="str">
        <f>LEFT(Table1[[#This Row],[Category and Sub-Category]],FIND("/",Table1[[#This Row],[Category and Sub-Category]])-1)</f>
        <v>film &amp; video</v>
      </c>
      <c r="V49" t="str">
        <f>RIGHT(Table1[[#This Row],[Category and Sub-Category]],LEN(Table1[[#This Row],[Category and Sub-Category]])-FIND("/",Table1[[#This Row],[Category and Sub-Category]]))</f>
        <v>television</v>
      </c>
    </row>
    <row r="50" spans="1:22" ht="43.2" x14ac:dyDescent="0.3">
      <c r="A50">
        <v>48</v>
      </c>
      <c r="B50" s="3" t="s">
        <v>50</v>
      </c>
      <c r="C50" s="3" t="s">
        <v>4159</v>
      </c>
      <c r="D50" s="12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>((Table1[[#This Row],[deadline]]/60)/60/24)+DATE(1970,1,1)</f>
        <v>42064.5</v>
      </c>
      <c r="K50">
        <v>1422534260</v>
      </c>
      <c r="L50" s="11">
        <f>((Table1[[#This Row],[launched_at]]/60)/60/24)+DATE(1970,1,1)</f>
        <v>42033.516898148147</v>
      </c>
      <c r="M50">
        <f>MONTH(Table1[[#This Row],[Date Created Conversion]])</f>
        <v>1</v>
      </c>
      <c r="N50">
        <f>YEAR(Table1[[#This Row],[Date Created Conversion]])</f>
        <v>2015</v>
      </c>
      <c r="O50" t="b">
        <v>0</v>
      </c>
      <c r="P50">
        <v>38</v>
      </c>
      <c r="Q50" t="b">
        <v>1</v>
      </c>
      <c r="R50" t="s">
        <v>8265</v>
      </c>
      <c r="S50" s="6">
        <f>Table1[[#This Row],[pledged]]/Table1[[#This Row],[goal]]</f>
        <v>1.0794999999999999</v>
      </c>
      <c r="T50" s="8">
        <f>IF(Table1[[#This Row],[pledged]]=0,"no backers",Table1[[#This Row],[pledged]]/Table1[[#This Row],[backers_count]])</f>
        <v>56.815789473684212</v>
      </c>
      <c r="U50" t="str">
        <f>LEFT(Table1[[#This Row],[Category and Sub-Category]],FIND("/",Table1[[#This Row],[Category and Sub-Category]])-1)</f>
        <v>film &amp; video</v>
      </c>
      <c r="V50" t="str">
        <f>RIGHT(Table1[[#This Row],[Category and Sub-Category]],LEN(Table1[[#This Row],[Category and Sub-Category]])-FIND("/",Table1[[#This Row],[Category and Sub-Category]]))</f>
        <v>television</v>
      </c>
    </row>
    <row r="51" spans="1:22" x14ac:dyDescent="0.3">
      <c r="A51">
        <v>49</v>
      </c>
      <c r="B51" s="3" t="s">
        <v>51</v>
      </c>
      <c r="C51" s="3" t="s">
        <v>4160</v>
      </c>
      <c r="D51" s="12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>((Table1[[#This Row],[deadline]]/60)/60/24)+DATE(1970,1,1)</f>
        <v>42301.176446759258</v>
      </c>
      <c r="K51">
        <v>1443068045</v>
      </c>
      <c r="L51" s="11">
        <f>((Table1[[#This Row],[launched_at]]/60)/60/24)+DATE(1970,1,1)</f>
        <v>42271.176446759258</v>
      </c>
      <c r="M51">
        <f>MONTH(Table1[[#This Row],[Date Created Conversion]])</f>
        <v>9</v>
      </c>
      <c r="N51">
        <f>YEAR(Table1[[#This Row],[Date Created Conversion]])</f>
        <v>2015</v>
      </c>
      <c r="O51" t="b">
        <v>0</v>
      </c>
      <c r="P51">
        <v>87</v>
      </c>
      <c r="Q51" t="b">
        <v>1</v>
      </c>
      <c r="R51" t="s">
        <v>8265</v>
      </c>
      <c r="S51" s="6">
        <f>Table1[[#This Row],[pledged]]/Table1[[#This Row],[goal]]</f>
        <v>1</v>
      </c>
      <c r="T51" s="8">
        <f>IF(Table1[[#This Row],[pledged]]=0,"no backers",Table1[[#This Row],[pledged]]/Table1[[#This Row],[backers_count]])</f>
        <v>137.93103448275863</v>
      </c>
      <c r="U51" t="str">
        <f>LEFT(Table1[[#This Row],[Category and Sub-Category]],FIND("/",Table1[[#This Row],[Category and Sub-Category]])-1)</f>
        <v>film &amp; video</v>
      </c>
      <c r="V51" t="str">
        <f>RIGHT(Table1[[#This Row],[Category and Sub-Category]],LEN(Table1[[#This Row],[Category and Sub-Category]])-FIND("/",Table1[[#This Row],[Category and Sub-Category]]))</f>
        <v>television</v>
      </c>
    </row>
    <row r="52" spans="1:22" ht="43.2" x14ac:dyDescent="0.3">
      <c r="A52">
        <v>50</v>
      </c>
      <c r="B52" s="3" t="s">
        <v>52</v>
      </c>
      <c r="C52" s="3" t="s">
        <v>4161</v>
      </c>
      <c r="D52" s="1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>((Table1[[#This Row],[deadline]]/60)/60/24)+DATE(1970,1,1)</f>
        <v>42034.708333333328</v>
      </c>
      <c r="K52">
        <v>1419271458</v>
      </c>
      <c r="L52" s="11">
        <f>((Table1[[#This Row],[launched_at]]/60)/60/24)+DATE(1970,1,1)</f>
        <v>41995.752986111111</v>
      </c>
      <c r="M52">
        <f>MONTH(Table1[[#This Row],[Date Created Conversion]])</f>
        <v>12</v>
      </c>
      <c r="N52">
        <f>YEAR(Table1[[#This Row],[Date Created Conversion]])</f>
        <v>2014</v>
      </c>
      <c r="O52" t="b">
        <v>0</v>
      </c>
      <c r="P52">
        <v>22</v>
      </c>
      <c r="Q52" t="b">
        <v>1</v>
      </c>
      <c r="R52" t="s">
        <v>8265</v>
      </c>
      <c r="S52" s="6">
        <f>Table1[[#This Row],[pledged]]/Table1[[#This Row],[goal]]</f>
        <v>1</v>
      </c>
      <c r="T52" s="8">
        <f>IF(Table1[[#This Row],[pledged]]=0,"no backers",Table1[[#This Row],[pledged]]/Table1[[#This Row],[backers_count]])</f>
        <v>27.272727272727273</v>
      </c>
      <c r="U52" t="str">
        <f>LEFT(Table1[[#This Row],[Category and Sub-Category]],FIND("/",Table1[[#This Row],[Category and Sub-Category]])-1)</f>
        <v>film &amp; video</v>
      </c>
      <c r="V52" t="str">
        <f>RIGHT(Table1[[#This Row],[Category and Sub-Category]],LEN(Table1[[#This Row],[Category and Sub-Category]])-FIND("/",Table1[[#This Row],[Category and Sub-Category]]))</f>
        <v>television</v>
      </c>
    </row>
    <row r="53" spans="1:22" ht="43.2" x14ac:dyDescent="0.3">
      <c r="A53">
        <v>51</v>
      </c>
      <c r="B53" s="3" t="s">
        <v>53</v>
      </c>
      <c r="C53" s="3" t="s">
        <v>4162</v>
      </c>
      <c r="D53" s="12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>((Table1[[#This Row],[deadline]]/60)/60/24)+DATE(1970,1,1)</f>
        <v>42226.928668981483</v>
      </c>
      <c r="K53">
        <v>1436653037</v>
      </c>
      <c r="L53" s="11">
        <f>((Table1[[#This Row],[launched_at]]/60)/60/24)+DATE(1970,1,1)</f>
        <v>42196.928668981483</v>
      </c>
      <c r="M53">
        <f>MONTH(Table1[[#This Row],[Date Created Conversion]])</f>
        <v>7</v>
      </c>
      <c r="N53">
        <f>YEAR(Table1[[#This Row],[Date Created Conversion]])</f>
        <v>2015</v>
      </c>
      <c r="O53" t="b">
        <v>0</v>
      </c>
      <c r="P53">
        <v>119</v>
      </c>
      <c r="Q53" t="b">
        <v>1</v>
      </c>
      <c r="R53" t="s">
        <v>8265</v>
      </c>
      <c r="S53" s="6">
        <f>Table1[[#This Row],[pledged]]/Table1[[#This Row],[goal]]</f>
        <v>1.2801818181818181</v>
      </c>
      <c r="T53" s="8">
        <f>IF(Table1[[#This Row],[pledged]]=0,"no backers",Table1[[#This Row],[pledged]]/Table1[[#This Row],[backers_count]])</f>
        <v>118.33613445378151</v>
      </c>
      <c r="U53" t="str">
        <f>LEFT(Table1[[#This Row],[Category and Sub-Category]],FIND("/",Table1[[#This Row],[Category and Sub-Category]])-1)</f>
        <v>film &amp; video</v>
      </c>
      <c r="V53" t="str">
        <f>RIGHT(Table1[[#This Row],[Category and Sub-Category]],LEN(Table1[[#This Row],[Category and Sub-Category]])-FIND("/",Table1[[#This Row],[Category and Sub-Category]]))</f>
        <v>television</v>
      </c>
    </row>
    <row r="54" spans="1:22" ht="43.2" x14ac:dyDescent="0.3">
      <c r="A54">
        <v>52</v>
      </c>
      <c r="B54" s="3" t="s">
        <v>54</v>
      </c>
      <c r="C54" s="3" t="s">
        <v>4163</v>
      </c>
      <c r="D54" s="12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>((Table1[[#This Row],[deadline]]/60)/60/24)+DATE(1970,1,1)</f>
        <v>41837.701921296299</v>
      </c>
      <c r="K54">
        <v>1403023846</v>
      </c>
      <c r="L54" s="11">
        <f>((Table1[[#This Row],[launched_at]]/60)/60/24)+DATE(1970,1,1)</f>
        <v>41807.701921296299</v>
      </c>
      <c r="M54">
        <f>MONTH(Table1[[#This Row],[Date Created Conversion]])</f>
        <v>6</v>
      </c>
      <c r="N54">
        <f>YEAR(Table1[[#This Row],[Date Created Conversion]])</f>
        <v>2014</v>
      </c>
      <c r="O54" t="b">
        <v>0</v>
      </c>
      <c r="P54">
        <v>52</v>
      </c>
      <c r="Q54" t="b">
        <v>1</v>
      </c>
      <c r="R54" t="s">
        <v>8265</v>
      </c>
      <c r="S54" s="6">
        <f>Table1[[#This Row],[pledged]]/Table1[[#This Row],[goal]]</f>
        <v>1.1620999999999999</v>
      </c>
      <c r="T54" s="8">
        <f>IF(Table1[[#This Row],[pledged]]=0,"no backers",Table1[[#This Row],[pledged]]/Table1[[#This Row],[backers_count]])</f>
        <v>223.48076923076923</v>
      </c>
      <c r="U54" t="str">
        <f>LEFT(Table1[[#This Row],[Category and Sub-Category]],FIND("/",Table1[[#This Row],[Category and Sub-Category]])-1)</f>
        <v>film &amp; video</v>
      </c>
      <c r="V54" t="str">
        <f>RIGHT(Table1[[#This Row],[Category and Sub-Category]],LEN(Table1[[#This Row],[Category and Sub-Category]])-FIND("/",Table1[[#This Row],[Category and Sub-Category]]))</f>
        <v>television</v>
      </c>
    </row>
    <row r="55" spans="1:22" ht="28.8" x14ac:dyDescent="0.3">
      <c r="A55">
        <v>53</v>
      </c>
      <c r="B55" s="3" t="s">
        <v>55</v>
      </c>
      <c r="C55" s="3" t="s">
        <v>4164</v>
      </c>
      <c r="D55" s="12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>((Table1[[#This Row],[deadline]]/60)/60/24)+DATE(1970,1,1)</f>
        <v>41733.916666666664</v>
      </c>
      <c r="K55">
        <v>1395407445</v>
      </c>
      <c r="L55" s="11">
        <f>((Table1[[#This Row],[launched_at]]/60)/60/24)+DATE(1970,1,1)</f>
        <v>41719.549131944441</v>
      </c>
      <c r="M55">
        <f>MONTH(Table1[[#This Row],[Date Created Conversion]])</f>
        <v>3</v>
      </c>
      <c r="N55">
        <f>YEAR(Table1[[#This Row],[Date Created Conversion]])</f>
        <v>2014</v>
      </c>
      <c r="O55" t="b">
        <v>0</v>
      </c>
      <c r="P55">
        <v>117</v>
      </c>
      <c r="Q55" t="b">
        <v>1</v>
      </c>
      <c r="R55" t="s">
        <v>8265</v>
      </c>
      <c r="S55" s="6">
        <f>Table1[[#This Row],[pledged]]/Table1[[#This Row],[goal]]</f>
        <v>1.0963333333333334</v>
      </c>
      <c r="T55" s="8">
        <f>IF(Table1[[#This Row],[pledged]]=0,"no backers",Table1[[#This Row],[pledged]]/Table1[[#This Row],[backers_count]])</f>
        <v>28.111111111111111</v>
      </c>
      <c r="U55" t="str">
        <f>LEFT(Table1[[#This Row],[Category and Sub-Category]],FIND("/",Table1[[#This Row],[Category and Sub-Category]])-1)</f>
        <v>film &amp; video</v>
      </c>
      <c r="V55" t="str">
        <f>RIGHT(Table1[[#This Row],[Category and Sub-Category]],LEN(Table1[[#This Row],[Category and Sub-Category]])-FIND("/",Table1[[#This Row],[Category and Sub-Category]]))</f>
        <v>television</v>
      </c>
    </row>
    <row r="56" spans="1:22" ht="57.6" x14ac:dyDescent="0.3">
      <c r="A56">
        <v>54</v>
      </c>
      <c r="B56" s="3" t="s">
        <v>56</v>
      </c>
      <c r="C56" s="3" t="s">
        <v>4165</v>
      </c>
      <c r="D56" s="12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>((Table1[[#This Row],[deadline]]/60)/60/24)+DATE(1970,1,1)</f>
        <v>42363.713206018518</v>
      </c>
      <c r="K56">
        <v>1448471221</v>
      </c>
      <c r="L56" s="11">
        <f>((Table1[[#This Row],[launched_at]]/60)/60/24)+DATE(1970,1,1)</f>
        <v>42333.713206018518</v>
      </c>
      <c r="M56">
        <f>MONTH(Table1[[#This Row],[Date Created Conversion]])</f>
        <v>11</v>
      </c>
      <c r="N56">
        <f>YEAR(Table1[[#This Row],[Date Created Conversion]])</f>
        <v>2015</v>
      </c>
      <c r="O56" t="b">
        <v>0</v>
      </c>
      <c r="P56">
        <v>52</v>
      </c>
      <c r="Q56" t="b">
        <v>1</v>
      </c>
      <c r="R56" t="s">
        <v>8265</v>
      </c>
      <c r="S56" s="6">
        <f>Table1[[#This Row],[pledged]]/Table1[[#This Row],[goal]]</f>
        <v>1.01</v>
      </c>
      <c r="T56" s="8">
        <f>IF(Table1[[#This Row],[pledged]]=0,"no backers",Table1[[#This Row],[pledged]]/Table1[[#This Row],[backers_count]])</f>
        <v>194.23076923076923</v>
      </c>
      <c r="U56" t="str">
        <f>LEFT(Table1[[#This Row],[Category and Sub-Category]],FIND("/",Table1[[#This Row],[Category and Sub-Category]])-1)</f>
        <v>film &amp; video</v>
      </c>
      <c r="V56" t="str">
        <f>RIGHT(Table1[[#This Row],[Category and Sub-Category]],LEN(Table1[[#This Row],[Category and Sub-Category]])-FIND("/",Table1[[#This Row],[Category and Sub-Category]]))</f>
        <v>television</v>
      </c>
    </row>
    <row r="57" spans="1:22" ht="43.2" x14ac:dyDescent="0.3">
      <c r="A57">
        <v>55</v>
      </c>
      <c r="B57" s="3" t="s">
        <v>57</v>
      </c>
      <c r="C57" s="3" t="s">
        <v>4166</v>
      </c>
      <c r="D57" s="12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>((Table1[[#This Row],[deadline]]/60)/60/24)+DATE(1970,1,1)</f>
        <v>42517.968935185185</v>
      </c>
      <c r="K57">
        <v>1462576516</v>
      </c>
      <c r="L57" s="11">
        <f>((Table1[[#This Row],[launched_at]]/60)/60/24)+DATE(1970,1,1)</f>
        <v>42496.968935185185</v>
      </c>
      <c r="M57">
        <f>MONTH(Table1[[#This Row],[Date Created Conversion]])</f>
        <v>5</v>
      </c>
      <c r="N57">
        <f>YEAR(Table1[[#This Row],[Date Created Conversion]])</f>
        <v>2016</v>
      </c>
      <c r="O57" t="b">
        <v>0</v>
      </c>
      <c r="P57">
        <v>86</v>
      </c>
      <c r="Q57" t="b">
        <v>1</v>
      </c>
      <c r="R57" t="s">
        <v>8265</v>
      </c>
      <c r="S57" s="6">
        <f>Table1[[#This Row],[pledged]]/Table1[[#This Row],[goal]]</f>
        <v>1.2895348837209302</v>
      </c>
      <c r="T57" s="8">
        <f>IF(Table1[[#This Row],[pledged]]=0,"no backers",Table1[[#This Row],[pledged]]/Table1[[#This Row],[backers_count]])</f>
        <v>128.95348837209303</v>
      </c>
      <c r="U57" t="str">
        <f>LEFT(Table1[[#This Row],[Category and Sub-Category]],FIND("/",Table1[[#This Row],[Category and Sub-Category]])-1)</f>
        <v>film &amp; video</v>
      </c>
      <c r="V57" t="str">
        <f>RIGHT(Table1[[#This Row],[Category and Sub-Category]],LEN(Table1[[#This Row],[Category and Sub-Category]])-FIND("/",Table1[[#This Row],[Category and Sub-Category]]))</f>
        <v>television</v>
      </c>
    </row>
    <row r="58" spans="1:22" ht="28.8" x14ac:dyDescent="0.3">
      <c r="A58">
        <v>56</v>
      </c>
      <c r="B58" s="3" t="s">
        <v>58</v>
      </c>
      <c r="C58" s="3" t="s">
        <v>4167</v>
      </c>
      <c r="D58" s="12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>((Table1[[#This Row],[deadline]]/60)/60/24)+DATE(1970,1,1)</f>
        <v>42163.666666666672</v>
      </c>
      <c r="K58">
        <v>1432559424</v>
      </c>
      <c r="L58" s="11">
        <f>((Table1[[#This Row],[launched_at]]/60)/60/24)+DATE(1970,1,1)</f>
        <v>42149.548888888887</v>
      </c>
      <c r="M58">
        <f>MONTH(Table1[[#This Row],[Date Created Conversion]])</f>
        <v>5</v>
      </c>
      <c r="N58">
        <f>YEAR(Table1[[#This Row],[Date Created Conversion]])</f>
        <v>2015</v>
      </c>
      <c r="O58" t="b">
        <v>0</v>
      </c>
      <c r="P58">
        <v>174</v>
      </c>
      <c r="Q58" t="b">
        <v>1</v>
      </c>
      <c r="R58" t="s">
        <v>8265</v>
      </c>
      <c r="S58" s="6">
        <f>Table1[[#This Row],[pledged]]/Table1[[#This Row],[goal]]</f>
        <v>1.0726249999999999</v>
      </c>
      <c r="T58" s="8">
        <f>IF(Table1[[#This Row],[pledged]]=0,"no backers",Table1[[#This Row],[pledged]]/Table1[[#This Row],[backers_count]])</f>
        <v>49.316091954022987</v>
      </c>
      <c r="U58" t="str">
        <f>LEFT(Table1[[#This Row],[Category and Sub-Category]],FIND("/",Table1[[#This Row],[Category and Sub-Category]])-1)</f>
        <v>film &amp; video</v>
      </c>
      <c r="V58" t="str">
        <f>RIGHT(Table1[[#This Row],[Category and Sub-Category]],LEN(Table1[[#This Row],[Category and Sub-Category]])-FIND("/",Table1[[#This Row],[Category and Sub-Category]]))</f>
        <v>television</v>
      </c>
    </row>
    <row r="59" spans="1:22" ht="43.2" x14ac:dyDescent="0.3">
      <c r="A59">
        <v>57</v>
      </c>
      <c r="B59" s="3" t="s">
        <v>59</v>
      </c>
      <c r="C59" s="3" t="s">
        <v>4168</v>
      </c>
      <c r="D59" s="12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>((Table1[[#This Row],[deadline]]/60)/60/24)+DATE(1970,1,1)</f>
        <v>42119.83289351852</v>
      </c>
      <c r="K59">
        <v>1427399962</v>
      </c>
      <c r="L59" s="11">
        <f>((Table1[[#This Row],[launched_at]]/60)/60/24)+DATE(1970,1,1)</f>
        <v>42089.83289351852</v>
      </c>
      <c r="M59">
        <f>MONTH(Table1[[#This Row],[Date Created Conversion]])</f>
        <v>3</v>
      </c>
      <c r="N59">
        <f>YEAR(Table1[[#This Row],[Date Created Conversion]])</f>
        <v>2015</v>
      </c>
      <c r="O59" t="b">
        <v>0</v>
      </c>
      <c r="P59">
        <v>69</v>
      </c>
      <c r="Q59" t="b">
        <v>1</v>
      </c>
      <c r="R59" t="s">
        <v>8265</v>
      </c>
      <c r="S59" s="6">
        <f>Table1[[#This Row],[pledged]]/Table1[[#This Row],[goal]]</f>
        <v>1.0189999999999999</v>
      </c>
      <c r="T59" s="8">
        <f>IF(Table1[[#This Row],[pledged]]=0,"no backers",Table1[[#This Row],[pledged]]/Table1[[#This Row],[backers_count]])</f>
        <v>221.52173913043478</v>
      </c>
      <c r="U59" t="str">
        <f>LEFT(Table1[[#This Row],[Category and Sub-Category]],FIND("/",Table1[[#This Row],[Category and Sub-Category]])-1)</f>
        <v>film &amp; video</v>
      </c>
      <c r="V59" t="str">
        <f>RIGHT(Table1[[#This Row],[Category and Sub-Category]],LEN(Table1[[#This Row],[Category and Sub-Category]])-FIND("/",Table1[[#This Row],[Category and Sub-Category]]))</f>
        <v>television</v>
      </c>
    </row>
    <row r="60" spans="1:22" ht="43.2" x14ac:dyDescent="0.3">
      <c r="A60">
        <v>58</v>
      </c>
      <c r="B60" s="3" t="s">
        <v>60</v>
      </c>
      <c r="C60" s="3" t="s">
        <v>4169</v>
      </c>
      <c r="D60" s="12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>((Table1[[#This Row],[deadline]]/60)/60/24)+DATE(1970,1,1)</f>
        <v>41962.786712962959</v>
      </c>
      <c r="K60">
        <v>1413827572</v>
      </c>
      <c r="L60" s="11">
        <f>((Table1[[#This Row],[launched_at]]/60)/60/24)+DATE(1970,1,1)</f>
        <v>41932.745046296295</v>
      </c>
      <c r="M60">
        <f>MONTH(Table1[[#This Row],[Date Created Conversion]])</f>
        <v>10</v>
      </c>
      <c r="N60">
        <f>YEAR(Table1[[#This Row],[Date Created Conversion]])</f>
        <v>2014</v>
      </c>
      <c r="O60" t="b">
        <v>0</v>
      </c>
      <c r="P60">
        <v>75</v>
      </c>
      <c r="Q60" t="b">
        <v>1</v>
      </c>
      <c r="R60" t="s">
        <v>8265</v>
      </c>
      <c r="S60" s="6">
        <f>Table1[[#This Row],[pledged]]/Table1[[#This Row],[goal]]</f>
        <v>1.0290999999999999</v>
      </c>
      <c r="T60" s="8">
        <f>IF(Table1[[#This Row],[pledged]]=0,"no backers",Table1[[#This Row],[pledged]]/Table1[[#This Row],[backers_count]])</f>
        <v>137.21333333333334</v>
      </c>
      <c r="U60" t="str">
        <f>LEFT(Table1[[#This Row],[Category and Sub-Category]],FIND("/",Table1[[#This Row],[Category and Sub-Category]])-1)</f>
        <v>film &amp; video</v>
      </c>
      <c r="V60" t="str">
        <f>RIGHT(Table1[[#This Row],[Category and Sub-Category]],LEN(Table1[[#This Row],[Category and Sub-Category]])-FIND("/",Table1[[#This Row],[Category and Sub-Category]]))</f>
        <v>television</v>
      </c>
    </row>
    <row r="61" spans="1:22" ht="43.2" x14ac:dyDescent="0.3">
      <c r="A61">
        <v>59</v>
      </c>
      <c r="B61" s="3" t="s">
        <v>61</v>
      </c>
      <c r="C61" s="3" t="s">
        <v>4170</v>
      </c>
      <c r="D61" s="12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>((Table1[[#This Row],[deadline]]/60)/60/24)+DATE(1970,1,1)</f>
        <v>42261.875</v>
      </c>
      <c r="K61">
        <v>1439530776</v>
      </c>
      <c r="L61" s="11">
        <f>((Table1[[#This Row],[launched_at]]/60)/60/24)+DATE(1970,1,1)</f>
        <v>42230.23583333334</v>
      </c>
      <c r="M61">
        <f>MONTH(Table1[[#This Row],[Date Created Conversion]])</f>
        <v>8</v>
      </c>
      <c r="N61">
        <f>YEAR(Table1[[#This Row],[Date Created Conversion]])</f>
        <v>2015</v>
      </c>
      <c r="O61" t="b">
        <v>0</v>
      </c>
      <c r="P61">
        <v>33</v>
      </c>
      <c r="Q61" t="b">
        <v>1</v>
      </c>
      <c r="R61" t="s">
        <v>8265</v>
      </c>
      <c r="S61" s="6">
        <f>Table1[[#This Row],[pledged]]/Table1[[#This Row],[goal]]</f>
        <v>1.0012570000000001</v>
      </c>
      <c r="T61" s="8">
        <f>IF(Table1[[#This Row],[pledged]]=0,"no backers",Table1[[#This Row],[pledged]]/Table1[[#This Row],[backers_count]])</f>
        <v>606.82242424242418</v>
      </c>
      <c r="U61" t="str">
        <f>LEFT(Table1[[#This Row],[Category and Sub-Category]],FIND("/",Table1[[#This Row],[Category and Sub-Category]])-1)</f>
        <v>film &amp; video</v>
      </c>
      <c r="V61" t="str">
        <f>RIGHT(Table1[[#This Row],[Category and Sub-Category]],LEN(Table1[[#This Row],[Category and Sub-Category]])-FIND("/",Table1[[#This Row],[Category and Sub-Category]]))</f>
        <v>television</v>
      </c>
    </row>
    <row r="62" spans="1:22" ht="43.2" x14ac:dyDescent="0.3">
      <c r="A62">
        <v>60</v>
      </c>
      <c r="B62" s="3" t="s">
        <v>62</v>
      </c>
      <c r="C62" s="3" t="s">
        <v>4171</v>
      </c>
      <c r="D62" s="1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>((Table1[[#This Row],[deadline]]/60)/60/24)+DATE(1970,1,1)</f>
        <v>41721</v>
      </c>
      <c r="K62">
        <v>1393882717</v>
      </c>
      <c r="L62" s="11">
        <f>((Table1[[#This Row],[launched_at]]/60)/60/24)+DATE(1970,1,1)</f>
        <v>41701.901817129627</v>
      </c>
      <c r="M62">
        <f>MONTH(Table1[[#This Row],[Date Created Conversion]])</f>
        <v>3</v>
      </c>
      <c r="N62">
        <f>YEAR(Table1[[#This Row],[Date Created Conversion]])</f>
        <v>2014</v>
      </c>
      <c r="O62" t="b">
        <v>0</v>
      </c>
      <c r="P62">
        <v>108</v>
      </c>
      <c r="Q62" t="b">
        <v>1</v>
      </c>
      <c r="R62" t="s">
        <v>8266</v>
      </c>
      <c r="S62" s="6">
        <f>Table1[[#This Row],[pledged]]/Table1[[#This Row],[goal]]</f>
        <v>1.0329622222222221</v>
      </c>
      <c r="T62" s="8">
        <f>IF(Table1[[#This Row],[pledged]]=0,"no backers",Table1[[#This Row],[pledged]]/Table1[[#This Row],[backers_count]])</f>
        <v>43.040092592592593</v>
      </c>
      <c r="U62" t="str">
        <f>LEFT(Table1[[#This Row],[Category and Sub-Category]],FIND("/",Table1[[#This Row],[Category and Sub-Category]])-1)</f>
        <v>film &amp; video</v>
      </c>
      <c r="V62" t="str">
        <f>RIGHT(Table1[[#This Row],[Category and Sub-Category]],LEN(Table1[[#This Row],[Category and Sub-Category]])-FIND("/",Table1[[#This Row],[Category and Sub-Category]]))</f>
        <v>shorts</v>
      </c>
    </row>
    <row r="63" spans="1:22" ht="43.2" x14ac:dyDescent="0.3">
      <c r="A63">
        <v>61</v>
      </c>
      <c r="B63" s="3" t="s">
        <v>63</v>
      </c>
      <c r="C63" s="3" t="s">
        <v>4172</v>
      </c>
      <c r="D63" s="12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>((Table1[[#This Row],[deadline]]/60)/60/24)+DATE(1970,1,1)</f>
        <v>41431.814317129632</v>
      </c>
      <c r="K63">
        <v>1368646357</v>
      </c>
      <c r="L63" s="11">
        <f>((Table1[[#This Row],[launched_at]]/60)/60/24)+DATE(1970,1,1)</f>
        <v>41409.814317129632</v>
      </c>
      <c r="M63">
        <f>MONTH(Table1[[#This Row],[Date Created Conversion]])</f>
        <v>5</v>
      </c>
      <c r="N63">
        <f>YEAR(Table1[[#This Row],[Date Created Conversion]])</f>
        <v>2013</v>
      </c>
      <c r="O63" t="b">
        <v>0</v>
      </c>
      <c r="P63">
        <v>23</v>
      </c>
      <c r="Q63" t="b">
        <v>1</v>
      </c>
      <c r="R63" t="s">
        <v>8266</v>
      </c>
      <c r="S63" s="6">
        <f>Table1[[#This Row],[pledged]]/Table1[[#This Row],[goal]]</f>
        <v>1.4830000000000001</v>
      </c>
      <c r="T63" s="8">
        <f>IF(Table1[[#This Row],[pledged]]=0,"no backers",Table1[[#This Row],[pledged]]/Table1[[#This Row],[backers_count]])</f>
        <v>322.39130434782606</v>
      </c>
      <c r="U63" t="str">
        <f>LEFT(Table1[[#This Row],[Category and Sub-Category]],FIND("/",Table1[[#This Row],[Category and Sub-Category]])-1)</f>
        <v>film &amp; video</v>
      </c>
      <c r="V63" t="str">
        <f>RIGHT(Table1[[#This Row],[Category and Sub-Category]],LEN(Table1[[#This Row],[Category and Sub-Category]])-FIND("/",Table1[[#This Row],[Category and Sub-Category]]))</f>
        <v>shorts</v>
      </c>
    </row>
    <row r="64" spans="1:22" ht="43.2" x14ac:dyDescent="0.3">
      <c r="A64">
        <v>62</v>
      </c>
      <c r="B64" s="3" t="s">
        <v>64</v>
      </c>
      <c r="C64" s="3" t="s">
        <v>4173</v>
      </c>
      <c r="D64" s="12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>((Table1[[#This Row],[deadline]]/60)/60/24)+DATE(1970,1,1)</f>
        <v>41336.799513888887</v>
      </c>
      <c r="K64">
        <v>1360177878</v>
      </c>
      <c r="L64" s="11">
        <f>((Table1[[#This Row],[launched_at]]/60)/60/24)+DATE(1970,1,1)</f>
        <v>41311.799513888887</v>
      </c>
      <c r="M64">
        <f>MONTH(Table1[[#This Row],[Date Created Conversion]])</f>
        <v>2</v>
      </c>
      <c r="N64">
        <f>YEAR(Table1[[#This Row],[Date Created Conversion]])</f>
        <v>2013</v>
      </c>
      <c r="O64" t="b">
        <v>0</v>
      </c>
      <c r="P64">
        <v>48</v>
      </c>
      <c r="Q64" t="b">
        <v>1</v>
      </c>
      <c r="R64" t="s">
        <v>8266</v>
      </c>
      <c r="S64" s="6">
        <f>Table1[[#This Row],[pledged]]/Table1[[#This Row],[goal]]</f>
        <v>1.5473333333333332</v>
      </c>
      <c r="T64" s="8">
        <f>IF(Table1[[#This Row],[pledged]]=0,"no backers",Table1[[#This Row],[pledged]]/Table1[[#This Row],[backers_count]])</f>
        <v>96.708333333333329</v>
      </c>
      <c r="U64" t="str">
        <f>LEFT(Table1[[#This Row],[Category and Sub-Category]],FIND("/",Table1[[#This Row],[Category and Sub-Category]])-1)</f>
        <v>film &amp; video</v>
      </c>
      <c r="V64" t="str">
        <f>RIGHT(Table1[[#This Row],[Category and Sub-Category]],LEN(Table1[[#This Row],[Category and Sub-Category]])-FIND("/",Table1[[#This Row],[Category and Sub-Category]]))</f>
        <v>shorts</v>
      </c>
    </row>
    <row r="65" spans="1:22" ht="43.2" x14ac:dyDescent="0.3">
      <c r="A65">
        <v>63</v>
      </c>
      <c r="B65" s="3" t="s">
        <v>65</v>
      </c>
      <c r="C65" s="3" t="s">
        <v>4174</v>
      </c>
      <c r="D65" s="12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>((Table1[[#This Row],[deadline]]/60)/60/24)+DATE(1970,1,1)</f>
        <v>41636.207638888889</v>
      </c>
      <c r="K65">
        <v>1386194013</v>
      </c>
      <c r="L65" s="11">
        <f>((Table1[[#This Row],[launched_at]]/60)/60/24)+DATE(1970,1,1)</f>
        <v>41612.912187499998</v>
      </c>
      <c r="M65">
        <f>MONTH(Table1[[#This Row],[Date Created Conversion]])</f>
        <v>12</v>
      </c>
      <c r="N65">
        <f>YEAR(Table1[[#This Row],[Date Created Conversion]])</f>
        <v>2013</v>
      </c>
      <c r="O65" t="b">
        <v>0</v>
      </c>
      <c r="P65">
        <v>64</v>
      </c>
      <c r="Q65" t="b">
        <v>1</v>
      </c>
      <c r="R65" t="s">
        <v>8266</v>
      </c>
      <c r="S65" s="6">
        <f>Table1[[#This Row],[pledged]]/Table1[[#This Row],[goal]]</f>
        <v>1.1351849999999999</v>
      </c>
      <c r="T65" s="8">
        <f>IF(Table1[[#This Row],[pledged]]=0,"no backers",Table1[[#This Row],[pledged]]/Table1[[#This Row],[backers_count]])</f>
        <v>35.474531249999998</v>
      </c>
      <c r="U65" t="str">
        <f>LEFT(Table1[[#This Row],[Category and Sub-Category]],FIND("/",Table1[[#This Row],[Category and Sub-Category]])-1)</f>
        <v>film &amp; video</v>
      </c>
      <c r="V65" t="str">
        <f>RIGHT(Table1[[#This Row],[Category and Sub-Category]],LEN(Table1[[#This Row],[Category and Sub-Category]])-FIND("/",Table1[[#This Row],[Category and Sub-Category]]))</f>
        <v>shorts</v>
      </c>
    </row>
    <row r="66" spans="1:22" ht="43.2" x14ac:dyDescent="0.3">
      <c r="A66">
        <v>64</v>
      </c>
      <c r="B66" s="3" t="s">
        <v>66</v>
      </c>
      <c r="C66" s="3" t="s">
        <v>4175</v>
      </c>
      <c r="D66" s="12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>((Table1[[#This Row],[deadline]]/60)/60/24)+DATE(1970,1,1)</f>
        <v>41463.01829861111</v>
      </c>
      <c r="K66">
        <v>1370651181</v>
      </c>
      <c r="L66" s="11">
        <f>((Table1[[#This Row],[launched_at]]/60)/60/24)+DATE(1970,1,1)</f>
        <v>41433.01829861111</v>
      </c>
      <c r="M66">
        <f>MONTH(Table1[[#This Row],[Date Created Conversion]])</f>
        <v>6</v>
      </c>
      <c r="N66">
        <f>YEAR(Table1[[#This Row],[Date Created Conversion]])</f>
        <v>2013</v>
      </c>
      <c r="O66" t="b">
        <v>0</v>
      </c>
      <c r="P66">
        <v>24</v>
      </c>
      <c r="Q66" t="b">
        <v>1</v>
      </c>
      <c r="R66" t="s">
        <v>8266</v>
      </c>
      <c r="S66" s="6">
        <f>Table1[[#This Row],[pledged]]/Table1[[#This Row],[goal]]</f>
        <v>1.7333333333333334</v>
      </c>
      <c r="T66" s="8">
        <f>IF(Table1[[#This Row],[pledged]]=0,"no backers",Table1[[#This Row],[pledged]]/Table1[[#This Row],[backers_count]])</f>
        <v>86.666666666666671</v>
      </c>
      <c r="U66" t="str">
        <f>LEFT(Table1[[#This Row],[Category and Sub-Category]],FIND("/",Table1[[#This Row],[Category and Sub-Category]])-1)</f>
        <v>film &amp; video</v>
      </c>
      <c r="V66" t="str">
        <f>RIGHT(Table1[[#This Row],[Category and Sub-Category]],LEN(Table1[[#This Row],[Category and Sub-Category]])-FIND("/",Table1[[#This Row],[Category and Sub-Category]]))</f>
        <v>shorts</v>
      </c>
    </row>
    <row r="67" spans="1:22" ht="43.2" x14ac:dyDescent="0.3">
      <c r="A67">
        <v>65</v>
      </c>
      <c r="B67" s="3" t="s">
        <v>67</v>
      </c>
      <c r="C67" s="3" t="s">
        <v>4176</v>
      </c>
      <c r="D67" s="12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>((Table1[[#This Row],[deadline]]/60)/60/24)+DATE(1970,1,1)</f>
        <v>41862.249305555553</v>
      </c>
      <c r="K67">
        <v>1405453354</v>
      </c>
      <c r="L67" s="11">
        <f>((Table1[[#This Row],[launched_at]]/60)/60/24)+DATE(1970,1,1)</f>
        <v>41835.821226851855</v>
      </c>
      <c r="M67">
        <f>MONTH(Table1[[#This Row],[Date Created Conversion]])</f>
        <v>7</v>
      </c>
      <c r="N67">
        <f>YEAR(Table1[[#This Row],[Date Created Conversion]])</f>
        <v>2014</v>
      </c>
      <c r="O67" t="b">
        <v>0</v>
      </c>
      <c r="P67">
        <v>57</v>
      </c>
      <c r="Q67" t="b">
        <v>1</v>
      </c>
      <c r="R67" t="s">
        <v>8266</v>
      </c>
      <c r="S67" s="6">
        <f>Table1[[#This Row],[pledged]]/Table1[[#This Row],[goal]]</f>
        <v>1.0752857142857142</v>
      </c>
      <c r="T67" s="8">
        <f>IF(Table1[[#This Row],[pledged]]=0,"no backers",Table1[[#This Row],[pledged]]/Table1[[#This Row],[backers_count]])</f>
        <v>132.05263157894737</v>
      </c>
      <c r="U67" t="str">
        <f>LEFT(Table1[[#This Row],[Category and Sub-Category]],FIND("/",Table1[[#This Row],[Category and Sub-Category]])-1)</f>
        <v>film &amp; video</v>
      </c>
      <c r="V67" t="str">
        <f>RIGHT(Table1[[#This Row],[Category and Sub-Category]],LEN(Table1[[#This Row],[Category and Sub-Category]])-FIND("/",Table1[[#This Row],[Category and Sub-Category]]))</f>
        <v>shorts</v>
      </c>
    </row>
    <row r="68" spans="1:22" ht="28.8" x14ac:dyDescent="0.3">
      <c r="A68">
        <v>66</v>
      </c>
      <c r="B68" s="3" t="s">
        <v>68</v>
      </c>
      <c r="C68" s="3" t="s">
        <v>4177</v>
      </c>
      <c r="D68" s="12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>((Table1[[#This Row],[deadline]]/60)/60/24)+DATE(1970,1,1)</f>
        <v>42569.849768518514</v>
      </c>
      <c r="K68">
        <v>1466281420</v>
      </c>
      <c r="L68" s="11">
        <f>((Table1[[#This Row],[launched_at]]/60)/60/24)+DATE(1970,1,1)</f>
        <v>42539.849768518514</v>
      </c>
      <c r="M68">
        <f>MONTH(Table1[[#This Row],[Date Created Conversion]])</f>
        <v>6</v>
      </c>
      <c r="N68">
        <f>YEAR(Table1[[#This Row],[Date Created Conversion]])</f>
        <v>2016</v>
      </c>
      <c r="O68" t="b">
        <v>0</v>
      </c>
      <c r="P68">
        <v>26</v>
      </c>
      <c r="Q68" t="b">
        <v>1</v>
      </c>
      <c r="R68" t="s">
        <v>8266</v>
      </c>
      <c r="S68" s="6">
        <f>Table1[[#This Row],[pledged]]/Table1[[#This Row],[goal]]</f>
        <v>1.1859999999999999</v>
      </c>
      <c r="T68" s="8">
        <f>IF(Table1[[#This Row],[pledged]]=0,"no backers",Table1[[#This Row],[pledged]]/Table1[[#This Row],[backers_count]])</f>
        <v>91.230769230769226</v>
      </c>
      <c r="U68" t="str">
        <f>LEFT(Table1[[#This Row],[Category and Sub-Category]],FIND("/",Table1[[#This Row],[Category and Sub-Category]])-1)</f>
        <v>film &amp; video</v>
      </c>
      <c r="V68" t="str">
        <f>RIGHT(Table1[[#This Row],[Category and Sub-Category]],LEN(Table1[[#This Row],[Category and Sub-Category]])-FIND("/",Table1[[#This Row],[Category and Sub-Category]]))</f>
        <v>shorts</v>
      </c>
    </row>
    <row r="69" spans="1:22" ht="43.2" x14ac:dyDescent="0.3">
      <c r="A69">
        <v>67</v>
      </c>
      <c r="B69" s="3" t="s">
        <v>69</v>
      </c>
      <c r="C69" s="3" t="s">
        <v>4178</v>
      </c>
      <c r="D69" s="12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>((Table1[[#This Row],[deadline]]/60)/60/24)+DATE(1970,1,1)</f>
        <v>41105.583379629628</v>
      </c>
      <c r="K69">
        <v>1339768804</v>
      </c>
      <c r="L69" s="11">
        <f>((Table1[[#This Row],[launched_at]]/60)/60/24)+DATE(1970,1,1)</f>
        <v>41075.583379629628</v>
      </c>
      <c r="M69">
        <f>MONTH(Table1[[#This Row],[Date Created Conversion]])</f>
        <v>6</v>
      </c>
      <c r="N69">
        <f>YEAR(Table1[[#This Row],[Date Created Conversion]])</f>
        <v>2012</v>
      </c>
      <c r="O69" t="b">
        <v>0</v>
      </c>
      <c r="P69">
        <v>20</v>
      </c>
      <c r="Q69" t="b">
        <v>1</v>
      </c>
      <c r="R69" t="s">
        <v>8266</v>
      </c>
      <c r="S69" s="6">
        <f>Table1[[#This Row],[pledged]]/Table1[[#This Row],[goal]]</f>
        <v>1.1625000000000001</v>
      </c>
      <c r="T69" s="8">
        <f>IF(Table1[[#This Row],[pledged]]=0,"no backers",Table1[[#This Row],[pledged]]/Table1[[#This Row],[backers_count]])</f>
        <v>116.25</v>
      </c>
      <c r="U69" t="str">
        <f>LEFT(Table1[[#This Row],[Category and Sub-Category]],FIND("/",Table1[[#This Row],[Category and Sub-Category]])-1)</f>
        <v>film &amp; video</v>
      </c>
      <c r="V69" t="str">
        <f>RIGHT(Table1[[#This Row],[Category and Sub-Category]],LEN(Table1[[#This Row],[Category and Sub-Category]])-FIND("/",Table1[[#This Row],[Category and Sub-Category]]))</f>
        <v>shorts</v>
      </c>
    </row>
    <row r="70" spans="1:22" ht="57.6" x14ac:dyDescent="0.3">
      <c r="A70">
        <v>68</v>
      </c>
      <c r="B70" s="3" t="s">
        <v>70</v>
      </c>
      <c r="C70" s="3" t="s">
        <v>4179</v>
      </c>
      <c r="D70" s="12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>((Table1[[#This Row],[deadline]]/60)/60/24)+DATE(1970,1,1)</f>
        <v>41693.569340277776</v>
      </c>
      <c r="K70">
        <v>1390570791</v>
      </c>
      <c r="L70" s="11">
        <f>((Table1[[#This Row],[launched_at]]/60)/60/24)+DATE(1970,1,1)</f>
        <v>41663.569340277776</v>
      </c>
      <c r="M70">
        <f>MONTH(Table1[[#This Row],[Date Created Conversion]])</f>
        <v>1</v>
      </c>
      <c r="N70">
        <f>YEAR(Table1[[#This Row],[Date Created Conversion]])</f>
        <v>2014</v>
      </c>
      <c r="O70" t="b">
        <v>0</v>
      </c>
      <c r="P70">
        <v>36</v>
      </c>
      <c r="Q70" t="b">
        <v>1</v>
      </c>
      <c r="R70" t="s">
        <v>8266</v>
      </c>
      <c r="S70" s="6">
        <f>Table1[[#This Row],[pledged]]/Table1[[#This Row],[goal]]</f>
        <v>1.2716666666666667</v>
      </c>
      <c r="T70" s="8">
        <f>IF(Table1[[#This Row],[pledged]]=0,"no backers",Table1[[#This Row],[pledged]]/Table1[[#This Row],[backers_count]])</f>
        <v>21.194444444444443</v>
      </c>
      <c r="U70" t="str">
        <f>LEFT(Table1[[#This Row],[Category and Sub-Category]],FIND("/",Table1[[#This Row],[Category and Sub-Category]])-1)</f>
        <v>film &amp; video</v>
      </c>
      <c r="V70" t="str">
        <f>RIGHT(Table1[[#This Row],[Category and Sub-Category]],LEN(Table1[[#This Row],[Category and Sub-Category]])-FIND("/",Table1[[#This Row],[Category and Sub-Category]]))</f>
        <v>shorts</v>
      </c>
    </row>
    <row r="71" spans="1:22" ht="43.2" x14ac:dyDescent="0.3">
      <c r="A71">
        <v>69</v>
      </c>
      <c r="B71" s="3" t="s">
        <v>71</v>
      </c>
      <c r="C71" s="3" t="s">
        <v>4180</v>
      </c>
      <c r="D71" s="12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>((Table1[[#This Row],[deadline]]/60)/60/24)+DATE(1970,1,1)</f>
        <v>40818.290972222225</v>
      </c>
      <c r="K71">
        <v>1314765025</v>
      </c>
      <c r="L71" s="11">
        <f>((Table1[[#This Row],[launched_at]]/60)/60/24)+DATE(1970,1,1)</f>
        <v>40786.187789351854</v>
      </c>
      <c r="M71">
        <f>MONTH(Table1[[#This Row],[Date Created Conversion]])</f>
        <v>8</v>
      </c>
      <c r="N71">
        <f>YEAR(Table1[[#This Row],[Date Created Conversion]])</f>
        <v>2011</v>
      </c>
      <c r="O71" t="b">
        <v>0</v>
      </c>
      <c r="P71">
        <v>178</v>
      </c>
      <c r="Q71" t="b">
        <v>1</v>
      </c>
      <c r="R71" t="s">
        <v>8266</v>
      </c>
      <c r="S71" s="6">
        <f>Table1[[#This Row],[pledged]]/Table1[[#This Row],[goal]]</f>
        <v>1.109423</v>
      </c>
      <c r="T71" s="8">
        <f>IF(Table1[[#This Row],[pledged]]=0,"no backers",Table1[[#This Row],[pledged]]/Table1[[#This Row],[backers_count]])</f>
        <v>62.327134831460668</v>
      </c>
      <c r="U71" t="str">
        <f>LEFT(Table1[[#This Row],[Category and Sub-Category]],FIND("/",Table1[[#This Row],[Category and Sub-Category]])-1)</f>
        <v>film &amp; video</v>
      </c>
      <c r="V71" t="str">
        <f>RIGHT(Table1[[#This Row],[Category and Sub-Category]],LEN(Table1[[#This Row],[Category and Sub-Category]])-FIND("/",Table1[[#This Row],[Category and Sub-Category]]))</f>
        <v>shorts</v>
      </c>
    </row>
    <row r="72" spans="1:22" ht="43.2" x14ac:dyDescent="0.3">
      <c r="A72">
        <v>70</v>
      </c>
      <c r="B72" s="3" t="s">
        <v>72</v>
      </c>
      <c r="C72" s="3" t="s">
        <v>4181</v>
      </c>
      <c r="D72" s="1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>((Table1[[#This Row],[deadline]]/60)/60/24)+DATE(1970,1,1)</f>
        <v>40790.896354166667</v>
      </c>
      <c r="K72">
        <v>1309987845</v>
      </c>
      <c r="L72" s="11">
        <f>((Table1[[#This Row],[launched_at]]/60)/60/24)+DATE(1970,1,1)</f>
        <v>40730.896354166667</v>
      </c>
      <c r="M72">
        <f>MONTH(Table1[[#This Row],[Date Created Conversion]])</f>
        <v>7</v>
      </c>
      <c r="N72">
        <f>YEAR(Table1[[#This Row],[Date Created Conversion]])</f>
        <v>2011</v>
      </c>
      <c r="O72" t="b">
        <v>0</v>
      </c>
      <c r="P72">
        <v>17</v>
      </c>
      <c r="Q72" t="b">
        <v>1</v>
      </c>
      <c r="R72" t="s">
        <v>8266</v>
      </c>
      <c r="S72" s="6">
        <f>Table1[[#This Row],[pledged]]/Table1[[#This Row],[goal]]</f>
        <v>1.272</v>
      </c>
      <c r="T72" s="8">
        <f>IF(Table1[[#This Row],[pledged]]=0,"no backers",Table1[[#This Row],[pledged]]/Table1[[#This Row],[backers_count]])</f>
        <v>37.411764705882355</v>
      </c>
      <c r="U72" t="str">
        <f>LEFT(Table1[[#This Row],[Category and Sub-Category]],FIND("/",Table1[[#This Row],[Category and Sub-Category]])-1)</f>
        <v>film &amp; video</v>
      </c>
      <c r="V72" t="str">
        <f>RIGHT(Table1[[#This Row],[Category and Sub-Category]],LEN(Table1[[#This Row],[Category and Sub-Category]])-FIND("/",Table1[[#This Row],[Category and Sub-Category]]))</f>
        <v>shorts</v>
      </c>
    </row>
    <row r="73" spans="1:22" ht="43.2" x14ac:dyDescent="0.3">
      <c r="A73">
        <v>71</v>
      </c>
      <c r="B73" s="3" t="s">
        <v>73</v>
      </c>
      <c r="C73" s="3" t="s">
        <v>4182</v>
      </c>
      <c r="D73" s="12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>((Table1[[#This Row],[deadline]]/60)/60/24)+DATE(1970,1,1)</f>
        <v>41057.271493055552</v>
      </c>
      <c r="K73">
        <v>1333002657</v>
      </c>
      <c r="L73" s="11">
        <f>((Table1[[#This Row],[launched_at]]/60)/60/24)+DATE(1970,1,1)</f>
        <v>40997.271493055552</v>
      </c>
      <c r="M73">
        <f>MONTH(Table1[[#This Row],[Date Created Conversion]])</f>
        <v>3</v>
      </c>
      <c r="N73">
        <f>YEAR(Table1[[#This Row],[Date Created Conversion]])</f>
        <v>2012</v>
      </c>
      <c r="O73" t="b">
        <v>0</v>
      </c>
      <c r="P73">
        <v>32</v>
      </c>
      <c r="Q73" t="b">
        <v>1</v>
      </c>
      <c r="R73" t="s">
        <v>8266</v>
      </c>
      <c r="S73" s="6">
        <f>Table1[[#This Row],[pledged]]/Table1[[#This Row],[goal]]</f>
        <v>1.2394444444444443</v>
      </c>
      <c r="T73" s="8">
        <f>IF(Table1[[#This Row],[pledged]]=0,"no backers",Table1[[#This Row],[pledged]]/Table1[[#This Row],[backers_count]])</f>
        <v>69.71875</v>
      </c>
      <c r="U73" t="str">
        <f>LEFT(Table1[[#This Row],[Category and Sub-Category]],FIND("/",Table1[[#This Row],[Category and Sub-Category]])-1)</f>
        <v>film &amp; video</v>
      </c>
      <c r="V73" t="str">
        <f>RIGHT(Table1[[#This Row],[Category and Sub-Category]],LEN(Table1[[#This Row],[Category and Sub-Category]])-FIND("/",Table1[[#This Row],[Category and Sub-Category]]))</f>
        <v>shorts</v>
      </c>
    </row>
    <row r="74" spans="1:22" ht="43.2" x14ac:dyDescent="0.3">
      <c r="A74">
        <v>72</v>
      </c>
      <c r="B74" s="3" t="s">
        <v>74</v>
      </c>
      <c r="C74" s="3" t="s">
        <v>4183</v>
      </c>
      <c r="D74" s="12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>((Table1[[#This Row],[deadline]]/60)/60/24)+DATE(1970,1,1)</f>
        <v>41228</v>
      </c>
      <c r="K74">
        <v>1351210481</v>
      </c>
      <c r="L74" s="11">
        <f>((Table1[[#This Row],[launched_at]]/60)/60/24)+DATE(1970,1,1)</f>
        <v>41208.010196759256</v>
      </c>
      <c r="M74">
        <f>MONTH(Table1[[#This Row],[Date Created Conversion]])</f>
        <v>10</v>
      </c>
      <c r="N74">
        <f>YEAR(Table1[[#This Row],[Date Created Conversion]])</f>
        <v>2012</v>
      </c>
      <c r="O74" t="b">
        <v>0</v>
      </c>
      <c r="P74">
        <v>41</v>
      </c>
      <c r="Q74" t="b">
        <v>1</v>
      </c>
      <c r="R74" t="s">
        <v>8266</v>
      </c>
      <c r="S74" s="6">
        <f>Table1[[#This Row],[pledged]]/Table1[[#This Row],[goal]]</f>
        <v>1.084090909090909</v>
      </c>
      <c r="T74" s="8">
        <f>IF(Table1[[#This Row],[pledged]]=0,"no backers",Table1[[#This Row],[pledged]]/Table1[[#This Row],[backers_count]])</f>
        <v>58.170731707317074</v>
      </c>
      <c r="U74" t="str">
        <f>LEFT(Table1[[#This Row],[Category and Sub-Category]],FIND("/",Table1[[#This Row],[Category and Sub-Category]])-1)</f>
        <v>film &amp; video</v>
      </c>
      <c r="V74" t="str">
        <f>RIGHT(Table1[[#This Row],[Category and Sub-Category]],LEN(Table1[[#This Row],[Category and Sub-Category]])-FIND("/",Table1[[#This Row],[Category and Sub-Category]]))</f>
        <v>shorts</v>
      </c>
    </row>
    <row r="75" spans="1:22" ht="43.2" x14ac:dyDescent="0.3">
      <c r="A75">
        <v>73</v>
      </c>
      <c r="B75" s="3" t="s">
        <v>75</v>
      </c>
      <c r="C75" s="3" t="s">
        <v>4184</v>
      </c>
      <c r="D75" s="12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>((Table1[[#This Row],[deadline]]/60)/60/24)+DATE(1970,1,1)</f>
        <v>40666.165972222225</v>
      </c>
      <c r="K75">
        <v>1297620584</v>
      </c>
      <c r="L75" s="11">
        <f>((Table1[[#This Row],[launched_at]]/60)/60/24)+DATE(1970,1,1)</f>
        <v>40587.75675925926</v>
      </c>
      <c r="M75">
        <f>MONTH(Table1[[#This Row],[Date Created Conversion]])</f>
        <v>2</v>
      </c>
      <c r="N75">
        <f>YEAR(Table1[[#This Row],[Date Created Conversion]])</f>
        <v>2011</v>
      </c>
      <c r="O75" t="b">
        <v>0</v>
      </c>
      <c r="P75">
        <v>18</v>
      </c>
      <c r="Q75" t="b">
        <v>1</v>
      </c>
      <c r="R75" t="s">
        <v>8266</v>
      </c>
      <c r="S75" s="6">
        <f>Table1[[#This Row],[pledged]]/Table1[[#This Row],[goal]]</f>
        <v>1</v>
      </c>
      <c r="T75" s="8">
        <f>IF(Table1[[#This Row],[pledged]]=0,"no backers",Table1[[#This Row],[pledged]]/Table1[[#This Row],[backers_count]])</f>
        <v>50</v>
      </c>
      <c r="U75" t="str">
        <f>LEFT(Table1[[#This Row],[Category and Sub-Category]],FIND("/",Table1[[#This Row],[Category and Sub-Category]])-1)</f>
        <v>film &amp; video</v>
      </c>
      <c r="V75" t="str">
        <f>RIGHT(Table1[[#This Row],[Category and Sub-Category]],LEN(Table1[[#This Row],[Category and Sub-Category]])-FIND("/",Table1[[#This Row],[Category and Sub-Category]]))</f>
        <v>shorts</v>
      </c>
    </row>
    <row r="76" spans="1:22" ht="43.2" x14ac:dyDescent="0.3">
      <c r="A76">
        <v>74</v>
      </c>
      <c r="B76" s="3" t="s">
        <v>76</v>
      </c>
      <c r="C76" s="3" t="s">
        <v>4185</v>
      </c>
      <c r="D76" s="12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>((Table1[[#This Row],[deadline]]/60)/60/24)+DATE(1970,1,1)</f>
        <v>42390.487210648149</v>
      </c>
      <c r="K76">
        <v>1450784495</v>
      </c>
      <c r="L76" s="11">
        <f>((Table1[[#This Row],[launched_at]]/60)/60/24)+DATE(1970,1,1)</f>
        <v>42360.487210648149</v>
      </c>
      <c r="M76">
        <f>MONTH(Table1[[#This Row],[Date Created Conversion]])</f>
        <v>12</v>
      </c>
      <c r="N76">
        <f>YEAR(Table1[[#This Row],[Date Created Conversion]])</f>
        <v>2015</v>
      </c>
      <c r="O76" t="b">
        <v>0</v>
      </c>
      <c r="P76">
        <v>29</v>
      </c>
      <c r="Q76" t="b">
        <v>1</v>
      </c>
      <c r="R76" t="s">
        <v>8266</v>
      </c>
      <c r="S76" s="6">
        <f>Table1[[#This Row],[pledged]]/Table1[[#This Row],[goal]]</f>
        <v>1.1293199999999999</v>
      </c>
      <c r="T76" s="8">
        <f>IF(Table1[[#This Row],[pledged]]=0,"no backers",Table1[[#This Row],[pledged]]/Table1[[#This Row],[backers_count]])</f>
        <v>19.471034482758618</v>
      </c>
      <c r="U76" t="str">
        <f>LEFT(Table1[[#This Row],[Category and Sub-Category]],FIND("/",Table1[[#This Row],[Category and Sub-Category]])-1)</f>
        <v>film &amp; video</v>
      </c>
      <c r="V76" t="str">
        <f>RIGHT(Table1[[#This Row],[Category and Sub-Category]],LEN(Table1[[#This Row],[Category and Sub-Category]])-FIND("/",Table1[[#This Row],[Category and Sub-Category]]))</f>
        <v>shorts</v>
      </c>
    </row>
    <row r="77" spans="1:22" ht="43.2" x14ac:dyDescent="0.3">
      <c r="A77">
        <v>75</v>
      </c>
      <c r="B77" s="3" t="s">
        <v>77</v>
      </c>
      <c r="C77" s="3" t="s">
        <v>4186</v>
      </c>
      <c r="D77" s="12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>((Table1[[#This Row],[deadline]]/60)/60/24)+DATE(1970,1,1)</f>
        <v>41387.209166666667</v>
      </c>
      <c r="K77">
        <v>1364101272</v>
      </c>
      <c r="L77" s="11">
        <f>((Table1[[#This Row],[launched_at]]/60)/60/24)+DATE(1970,1,1)</f>
        <v>41357.209166666667</v>
      </c>
      <c r="M77">
        <f>MONTH(Table1[[#This Row],[Date Created Conversion]])</f>
        <v>3</v>
      </c>
      <c r="N77">
        <f>YEAR(Table1[[#This Row],[Date Created Conversion]])</f>
        <v>2013</v>
      </c>
      <c r="O77" t="b">
        <v>0</v>
      </c>
      <c r="P77">
        <v>47</v>
      </c>
      <c r="Q77" t="b">
        <v>1</v>
      </c>
      <c r="R77" t="s">
        <v>8266</v>
      </c>
      <c r="S77" s="6">
        <f>Table1[[#This Row],[pledged]]/Table1[[#This Row],[goal]]</f>
        <v>1.1542857142857144</v>
      </c>
      <c r="T77" s="8">
        <f>IF(Table1[[#This Row],[pledged]]=0,"no backers",Table1[[#This Row],[pledged]]/Table1[[#This Row],[backers_count]])</f>
        <v>85.957446808510639</v>
      </c>
      <c r="U77" t="str">
        <f>LEFT(Table1[[#This Row],[Category and Sub-Category]],FIND("/",Table1[[#This Row],[Category and Sub-Category]])-1)</f>
        <v>film &amp; video</v>
      </c>
      <c r="V77" t="str">
        <f>RIGHT(Table1[[#This Row],[Category and Sub-Category]],LEN(Table1[[#This Row],[Category and Sub-Category]])-FIND("/",Table1[[#This Row],[Category and Sub-Category]]))</f>
        <v>shorts</v>
      </c>
    </row>
    <row r="78" spans="1:22" ht="43.2" x14ac:dyDescent="0.3">
      <c r="A78">
        <v>76</v>
      </c>
      <c r="B78" s="3" t="s">
        <v>78</v>
      </c>
      <c r="C78" s="3" t="s">
        <v>4187</v>
      </c>
      <c r="D78" s="12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>((Table1[[#This Row],[deadline]]/60)/60/24)+DATE(1970,1,1)</f>
        <v>40904.733310185184</v>
      </c>
      <c r="K78">
        <v>1319819758</v>
      </c>
      <c r="L78" s="11">
        <f>((Table1[[#This Row],[launched_at]]/60)/60/24)+DATE(1970,1,1)</f>
        <v>40844.691643518519</v>
      </c>
      <c r="M78">
        <f>MONTH(Table1[[#This Row],[Date Created Conversion]])</f>
        <v>10</v>
      </c>
      <c r="N78">
        <f>YEAR(Table1[[#This Row],[Date Created Conversion]])</f>
        <v>2011</v>
      </c>
      <c r="O78" t="b">
        <v>0</v>
      </c>
      <c r="P78">
        <v>15</v>
      </c>
      <c r="Q78" t="b">
        <v>1</v>
      </c>
      <c r="R78" t="s">
        <v>8266</v>
      </c>
      <c r="S78" s="6">
        <f>Table1[[#This Row],[pledged]]/Table1[[#This Row],[goal]]</f>
        <v>1.5333333333333334</v>
      </c>
      <c r="T78" s="8">
        <f>IF(Table1[[#This Row],[pledged]]=0,"no backers",Table1[[#This Row],[pledged]]/Table1[[#This Row],[backers_count]])</f>
        <v>30.666666666666668</v>
      </c>
      <c r="U78" t="str">
        <f>LEFT(Table1[[#This Row],[Category and Sub-Category]],FIND("/",Table1[[#This Row],[Category and Sub-Category]])-1)</f>
        <v>film &amp; video</v>
      </c>
      <c r="V78" t="str">
        <f>RIGHT(Table1[[#This Row],[Category and Sub-Category]],LEN(Table1[[#This Row],[Category and Sub-Category]])-FIND("/",Table1[[#This Row],[Category and Sub-Category]]))</f>
        <v>shorts</v>
      </c>
    </row>
    <row r="79" spans="1:22" ht="43.2" x14ac:dyDescent="0.3">
      <c r="A79">
        <v>77</v>
      </c>
      <c r="B79" s="3" t="s">
        <v>79</v>
      </c>
      <c r="C79" s="3" t="s">
        <v>4188</v>
      </c>
      <c r="D79" s="12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>((Table1[[#This Row],[deadline]]/60)/60/24)+DATE(1970,1,1)</f>
        <v>41050.124305555553</v>
      </c>
      <c r="K79">
        <v>1332991717</v>
      </c>
      <c r="L79" s="11">
        <f>((Table1[[#This Row],[launched_at]]/60)/60/24)+DATE(1970,1,1)</f>
        <v>40997.144872685189</v>
      </c>
      <c r="M79">
        <f>MONTH(Table1[[#This Row],[Date Created Conversion]])</f>
        <v>3</v>
      </c>
      <c r="N79">
        <f>YEAR(Table1[[#This Row],[Date Created Conversion]])</f>
        <v>2012</v>
      </c>
      <c r="O79" t="b">
        <v>0</v>
      </c>
      <c r="P79">
        <v>26</v>
      </c>
      <c r="Q79" t="b">
        <v>1</v>
      </c>
      <c r="R79" t="s">
        <v>8266</v>
      </c>
      <c r="S79" s="6">
        <f>Table1[[#This Row],[pledged]]/Table1[[#This Row],[goal]]</f>
        <v>3.9249999999999998</v>
      </c>
      <c r="T79" s="8">
        <f>IF(Table1[[#This Row],[pledged]]=0,"no backers",Table1[[#This Row],[pledged]]/Table1[[#This Row],[backers_count]])</f>
        <v>60.384615384615387</v>
      </c>
      <c r="U79" t="str">
        <f>LEFT(Table1[[#This Row],[Category and Sub-Category]],FIND("/",Table1[[#This Row],[Category and Sub-Category]])-1)</f>
        <v>film &amp; video</v>
      </c>
      <c r="V79" t="str">
        <f>RIGHT(Table1[[#This Row],[Category and Sub-Category]],LEN(Table1[[#This Row],[Category and Sub-Category]])-FIND("/",Table1[[#This Row],[Category and Sub-Category]]))</f>
        <v>shorts</v>
      </c>
    </row>
    <row r="80" spans="1:22" ht="86.4" x14ac:dyDescent="0.3">
      <c r="A80">
        <v>78</v>
      </c>
      <c r="B80" s="3" t="s">
        <v>80</v>
      </c>
      <c r="C80" s="3" t="s">
        <v>4189</v>
      </c>
      <c r="D80" s="12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>((Table1[[#This Row],[deadline]]/60)/60/24)+DATE(1970,1,1)</f>
        <v>42614.730567129634</v>
      </c>
      <c r="K80">
        <v>1471887121</v>
      </c>
      <c r="L80" s="11">
        <f>((Table1[[#This Row],[launched_at]]/60)/60/24)+DATE(1970,1,1)</f>
        <v>42604.730567129634</v>
      </c>
      <c r="M80">
        <f>MONTH(Table1[[#This Row],[Date Created Conversion]])</f>
        <v>8</v>
      </c>
      <c r="N80">
        <f>YEAR(Table1[[#This Row],[Date Created Conversion]])</f>
        <v>2016</v>
      </c>
      <c r="O80" t="b">
        <v>0</v>
      </c>
      <c r="P80">
        <v>35</v>
      </c>
      <c r="Q80" t="b">
        <v>1</v>
      </c>
      <c r="R80" t="s">
        <v>8266</v>
      </c>
      <c r="S80" s="6">
        <f>Table1[[#This Row],[pledged]]/Table1[[#This Row],[goal]]</f>
        <v>27.02</v>
      </c>
      <c r="T80" s="8">
        <f>IF(Table1[[#This Row],[pledged]]=0,"no backers",Table1[[#This Row],[pledged]]/Table1[[#This Row],[backers_count]])</f>
        <v>38.6</v>
      </c>
      <c r="U80" t="str">
        <f>LEFT(Table1[[#This Row],[Category and Sub-Category]],FIND("/",Table1[[#This Row],[Category and Sub-Category]])-1)</f>
        <v>film &amp; video</v>
      </c>
      <c r="V80" t="str">
        <f>RIGHT(Table1[[#This Row],[Category and Sub-Category]],LEN(Table1[[#This Row],[Category and Sub-Category]])-FIND("/",Table1[[#This Row],[Category and Sub-Category]]))</f>
        <v>shorts</v>
      </c>
    </row>
    <row r="81" spans="1:22" ht="43.2" x14ac:dyDescent="0.3">
      <c r="A81">
        <v>79</v>
      </c>
      <c r="B81" s="3" t="s">
        <v>81</v>
      </c>
      <c r="C81" s="3" t="s">
        <v>4190</v>
      </c>
      <c r="D81" s="12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>((Table1[[#This Row],[deadline]]/60)/60/24)+DATE(1970,1,1)</f>
        <v>41754.776539351849</v>
      </c>
      <c r="K81">
        <v>1395859093</v>
      </c>
      <c r="L81" s="11">
        <f>((Table1[[#This Row],[launched_at]]/60)/60/24)+DATE(1970,1,1)</f>
        <v>41724.776539351849</v>
      </c>
      <c r="M81">
        <f>MONTH(Table1[[#This Row],[Date Created Conversion]])</f>
        <v>3</v>
      </c>
      <c r="N81">
        <f>YEAR(Table1[[#This Row],[Date Created Conversion]])</f>
        <v>2014</v>
      </c>
      <c r="O81" t="b">
        <v>0</v>
      </c>
      <c r="P81">
        <v>41</v>
      </c>
      <c r="Q81" t="b">
        <v>1</v>
      </c>
      <c r="R81" t="s">
        <v>8266</v>
      </c>
      <c r="S81" s="6">
        <f>Table1[[#This Row],[pledged]]/Table1[[#This Row],[goal]]</f>
        <v>1.27</v>
      </c>
      <c r="T81" s="8">
        <f>IF(Table1[[#This Row],[pledged]]=0,"no backers",Table1[[#This Row],[pledged]]/Table1[[#This Row],[backers_count]])</f>
        <v>40.268292682926827</v>
      </c>
      <c r="U81" t="str">
        <f>LEFT(Table1[[#This Row],[Category and Sub-Category]],FIND("/",Table1[[#This Row],[Category and Sub-Category]])-1)</f>
        <v>film &amp; video</v>
      </c>
      <c r="V81" t="str">
        <f>RIGHT(Table1[[#This Row],[Category and Sub-Category]],LEN(Table1[[#This Row],[Category and Sub-Category]])-FIND("/",Table1[[#This Row],[Category and Sub-Category]]))</f>
        <v>shorts</v>
      </c>
    </row>
    <row r="82" spans="1:22" ht="43.2" x14ac:dyDescent="0.3">
      <c r="A82">
        <v>80</v>
      </c>
      <c r="B82" s="3" t="s">
        <v>82</v>
      </c>
      <c r="C82" s="3" t="s">
        <v>4191</v>
      </c>
      <c r="D82" s="1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>((Table1[[#This Row],[deadline]]/60)/60/24)+DATE(1970,1,1)</f>
        <v>41618.083981481483</v>
      </c>
      <c r="K82">
        <v>1383616856</v>
      </c>
      <c r="L82" s="11">
        <f>((Table1[[#This Row],[launched_at]]/60)/60/24)+DATE(1970,1,1)</f>
        <v>41583.083981481483</v>
      </c>
      <c r="M82">
        <f>MONTH(Table1[[#This Row],[Date Created Conversion]])</f>
        <v>11</v>
      </c>
      <c r="N82">
        <f>YEAR(Table1[[#This Row],[Date Created Conversion]])</f>
        <v>2013</v>
      </c>
      <c r="O82" t="b">
        <v>0</v>
      </c>
      <c r="P82">
        <v>47</v>
      </c>
      <c r="Q82" t="b">
        <v>1</v>
      </c>
      <c r="R82" t="s">
        <v>8266</v>
      </c>
      <c r="S82" s="6">
        <f>Table1[[#This Row],[pledged]]/Table1[[#This Row],[goal]]</f>
        <v>1.0725</v>
      </c>
      <c r="T82" s="8">
        <f>IF(Table1[[#This Row],[pledged]]=0,"no backers",Table1[[#This Row],[pledged]]/Table1[[#This Row],[backers_count]])</f>
        <v>273.82978723404256</v>
      </c>
      <c r="U82" t="str">
        <f>LEFT(Table1[[#This Row],[Category and Sub-Category]],FIND("/",Table1[[#This Row],[Category and Sub-Category]])-1)</f>
        <v>film &amp; video</v>
      </c>
      <c r="V82" t="str">
        <f>RIGHT(Table1[[#This Row],[Category and Sub-Category]],LEN(Table1[[#This Row],[Category and Sub-Category]])-FIND("/",Table1[[#This Row],[Category and Sub-Category]]))</f>
        <v>shorts</v>
      </c>
    </row>
    <row r="83" spans="1:22" ht="43.2" x14ac:dyDescent="0.3">
      <c r="A83">
        <v>81</v>
      </c>
      <c r="B83" s="3" t="s">
        <v>83</v>
      </c>
      <c r="C83" s="3" t="s">
        <v>4192</v>
      </c>
      <c r="D83" s="12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>((Table1[[#This Row],[deadline]]/60)/60/24)+DATE(1970,1,1)</f>
        <v>41104.126388888886</v>
      </c>
      <c r="K83">
        <v>1341892127</v>
      </c>
      <c r="L83" s="11">
        <f>((Table1[[#This Row],[launched_at]]/60)/60/24)+DATE(1970,1,1)</f>
        <v>41100.158877314818</v>
      </c>
      <c r="M83">
        <f>MONTH(Table1[[#This Row],[Date Created Conversion]])</f>
        <v>7</v>
      </c>
      <c r="N83">
        <f>YEAR(Table1[[#This Row],[Date Created Conversion]])</f>
        <v>2012</v>
      </c>
      <c r="O83" t="b">
        <v>0</v>
      </c>
      <c r="P83">
        <v>28</v>
      </c>
      <c r="Q83" t="b">
        <v>1</v>
      </c>
      <c r="R83" t="s">
        <v>8266</v>
      </c>
      <c r="S83" s="6">
        <f>Table1[[#This Row],[pledged]]/Table1[[#This Row],[goal]]</f>
        <v>1.98</v>
      </c>
      <c r="T83" s="8">
        <f>IF(Table1[[#This Row],[pledged]]=0,"no backers",Table1[[#This Row],[pledged]]/Table1[[#This Row],[backers_count]])</f>
        <v>53.035714285714285</v>
      </c>
      <c r="U83" t="str">
        <f>LEFT(Table1[[#This Row],[Category and Sub-Category]],FIND("/",Table1[[#This Row],[Category and Sub-Category]])-1)</f>
        <v>film &amp; video</v>
      </c>
      <c r="V83" t="str">
        <f>RIGHT(Table1[[#This Row],[Category and Sub-Category]],LEN(Table1[[#This Row],[Category and Sub-Category]])-FIND("/",Table1[[#This Row],[Category and Sub-Category]]))</f>
        <v>shorts</v>
      </c>
    </row>
    <row r="84" spans="1:22" ht="43.2" x14ac:dyDescent="0.3">
      <c r="A84">
        <v>82</v>
      </c>
      <c r="B84" s="3" t="s">
        <v>84</v>
      </c>
      <c r="C84" s="3" t="s">
        <v>4193</v>
      </c>
      <c r="D84" s="12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>((Table1[[#This Row],[deadline]]/60)/60/24)+DATE(1970,1,1)</f>
        <v>40825.820150462961</v>
      </c>
      <c r="K84">
        <v>1315597261</v>
      </c>
      <c r="L84" s="11">
        <f>((Table1[[#This Row],[launched_at]]/60)/60/24)+DATE(1970,1,1)</f>
        <v>40795.820150462961</v>
      </c>
      <c r="M84">
        <f>MONTH(Table1[[#This Row],[Date Created Conversion]])</f>
        <v>9</v>
      </c>
      <c r="N84">
        <f>YEAR(Table1[[#This Row],[Date Created Conversion]])</f>
        <v>2011</v>
      </c>
      <c r="O84" t="b">
        <v>0</v>
      </c>
      <c r="P84">
        <v>100</v>
      </c>
      <c r="Q84" t="b">
        <v>1</v>
      </c>
      <c r="R84" t="s">
        <v>8266</v>
      </c>
      <c r="S84" s="6">
        <f>Table1[[#This Row],[pledged]]/Table1[[#This Row],[goal]]</f>
        <v>1.0001249999999999</v>
      </c>
      <c r="T84" s="8">
        <f>IF(Table1[[#This Row],[pledged]]=0,"no backers",Table1[[#This Row],[pledged]]/Table1[[#This Row],[backers_count]])</f>
        <v>40.005000000000003</v>
      </c>
      <c r="U84" t="str">
        <f>LEFT(Table1[[#This Row],[Category and Sub-Category]],FIND("/",Table1[[#This Row],[Category and Sub-Category]])-1)</f>
        <v>film &amp; video</v>
      </c>
      <c r="V84" t="str">
        <f>RIGHT(Table1[[#This Row],[Category and Sub-Category]],LEN(Table1[[#This Row],[Category and Sub-Category]])-FIND("/",Table1[[#This Row],[Category and Sub-Category]]))</f>
        <v>shorts</v>
      </c>
    </row>
    <row r="85" spans="1:22" ht="43.2" x14ac:dyDescent="0.3">
      <c r="A85">
        <v>83</v>
      </c>
      <c r="B85" s="3" t="s">
        <v>85</v>
      </c>
      <c r="C85" s="3" t="s">
        <v>4194</v>
      </c>
      <c r="D85" s="12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>((Table1[[#This Row],[deadline]]/60)/60/24)+DATE(1970,1,1)</f>
        <v>42057.479166666672</v>
      </c>
      <c r="K85">
        <v>1423320389</v>
      </c>
      <c r="L85" s="11">
        <f>((Table1[[#This Row],[launched_at]]/60)/60/24)+DATE(1970,1,1)</f>
        <v>42042.615613425922</v>
      </c>
      <c r="M85">
        <f>MONTH(Table1[[#This Row],[Date Created Conversion]])</f>
        <v>2</v>
      </c>
      <c r="N85">
        <f>YEAR(Table1[[#This Row],[Date Created Conversion]])</f>
        <v>2015</v>
      </c>
      <c r="O85" t="b">
        <v>0</v>
      </c>
      <c r="P85">
        <v>13</v>
      </c>
      <c r="Q85" t="b">
        <v>1</v>
      </c>
      <c r="R85" t="s">
        <v>8266</v>
      </c>
      <c r="S85" s="6">
        <f>Table1[[#This Row],[pledged]]/Table1[[#This Row],[goal]]</f>
        <v>1.0249999999999999</v>
      </c>
      <c r="T85" s="8">
        <f>IF(Table1[[#This Row],[pledged]]=0,"no backers",Table1[[#This Row],[pledged]]/Table1[[#This Row],[backers_count]])</f>
        <v>15.76923076923077</v>
      </c>
      <c r="U85" t="str">
        <f>LEFT(Table1[[#This Row],[Category and Sub-Category]],FIND("/",Table1[[#This Row],[Category and Sub-Category]])-1)</f>
        <v>film &amp; video</v>
      </c>
      <c r="V85" t="str">
        <f>RIGHT(Table1[[#This Row],[Category and Sub-Category]],LEN(Table1[[#This Row],[Category and Sub-Category]])-FIND("/",Table1[[#This Row],[Category and Sub-Category]]))</f>
        <v>shorts</v>
      </c>
    </row>
    <row r="86" spans="1:22" ht="43.2" x14ac:dyDescent="0.3">
      <c r="A86">
        <v>84</v>
      </c>
      <c r="B86" s="3" t="s">
        <v>86</v>
      </c>
      <c r="C86" s="3" t="s">
        <v>4195</v>
      </c>
      <c r="D86" s="12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>((Table1[[#This Row],[deadline]]/60)/60/24)+DATE(1970,1,1)</f>
        <v>40678.757939814815</v>
      </c>
      <c r="K86">
        <v>1302891086</v>
      </c>
      <c r="L86" s="11">
        <f>((Table1[[#This Row],[launched_at]]/60)/60/24)+DATE(1970,1,1)</f>
        <v>40648.757939814815</v>
      </c>
      <c r="M86">
        <f>MONTH(Table1[[#This Row],[Date Created Conversion]])</f>
        <v>4</v>
      </c>
      <c r="N86">
        <f>YEAR(Table1[[#This Row],[Date Created Conversion]])</f>
        <v>2011</v>
      </c>
      <c r="O86" t="b">
        <v>0</v>
      </c>
      <c r="P86">
        <v>7</v>
      </c>
      <c r="Q86" t="b">
        <v>1</v>
      </c>
      <c r="R86" t="s">
        <v>8266</v>
      </c>
      <c r="S86" s="6">
        <f>Table1[[#This Row],[pledged]]/Table1[[#This Row],[goal]]</f>
        <v>1</v>
      </c>
      <c r="T86" s="8">
        <f>IF(Table1[[#This Row],[pledged]]=0,"no backers",Table1[[#This Row],[pledged]]/Table1[[#This Row],[backers_count]])</f>
        <v>71.428571428571431</v>
      </c>
      <c r="U86" t="str">
        <f>LEFT(Table1[[#This Row],[Category and Sub-Category]],FIND("/",Table1[[#This Row],[Category and Sub-Category]])-1)</f>
        <v>film &amp; video</v>
      </c>
      <c r="V86" t="str">
        <f>RIGHT(Table1[[#This Row],[Category and Sub-Category]],LEN(Table1[[#This Row],[Category and Sub-Category]])-FIND("/",Table1[[#This Row],[Category and Sub-Category]]))</f>
        <v>shorts</v>
      </c>
    </row>
    <row r="87" spans="1:22" ht="43.2" x14ac:dyDescent="0.3">
      <c r="A87">
        <v>85</v>
      </c>
      <c r="B87" s="3" t="s">
        <v>87</v>
      </c>
      <c r="C87" s="3" t="s">
        <v>4196</v>
      </c>
      <c r="D87" s="12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>((Table1[[#This Row],[deadline]]/60)/60/24)+DATE(1970,1,1)</f>
        <v>40809.125428240739</v>
      </c>
      <c r="K87">
        <v>1314154837</v>
      </c>
      <c r="L87" s="11">
        <f>((Table1[[#This Row],[launched_at]]/60)/60/24)+DATE(1970,1,1)</f>
        <v>40779.125428240739</v>
      </c>
      <c r="M87">
        <f>MONTH(Table1[[#This Row],[Date Created Conversion]])</f>
        <v>8</v>
      </c>
      <c r="N87">
        <f>YEAR(Table1[[#This Row],[Date Created Conversion]])</f>
        <v>2011</v>
      </c>
      <c r="O87" t="b">
        <v>0</v>
      </c>
      <c r="P87">
        <v>21</v>
      </c>
      <c r="Q87" t="b">
        <v>1</v>
      </c>
      <c r="R87" t="s">
        <v>8266</v>
      </c>
      <c r="S87" s="6">
        <f>Table1[[#This Row],[pledged]]/Table1[[#This Row],[goal]]</f>
        <v>1.2549999999999999</v>
      </c>
      <c r="T87" s="8">
        <f>IF(Table1[[#This Row],[pledged]]=0,"no backers",Table1[[#This Row],[pledged]]/Table1[[#This Row],[backers_count]])</f>
        <v>71.714285714285708</v>
      </c>
      <c r="U87" t="str">
        <f>LEFT(Table1[[#This Row],[Category and Sub-Category]],FIND("/",Table1[[#This Row],[Category and Sub-Category]])-1)</f>
        <v>film &amp; video</v>
      </c>
      <c r="V87" t="str">
        <f>RIGHT(Table1[[#This Row],[Category and Sub-Category]],LEN(Table1[[#This Row],[Category and Sub-Category]])-FIND("/",Table1[[#This Row],[Category and Sub-Category]]))</f>
        <v>shorts</v>
      </c>
    </row>
    <row r="88" spans="1:22" ht="57.6" x14ac:dyDescent="0.3">
      <c r="A88">
        <v>86</v>
      </c>
      <c r="B88" s="3" t="s">
        <v>88</v>
      </c>
      <c r="C88" s="3" t="s">
        <v>4197</v>
      </c>
      <c r="D88" s="12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>((Table1[[#This Row],[deadline]]/60)/60/24)+DATE(1970,1,1)</f>
        <v>42365.59774305555</v>
      </c>
      <c r="K88">
        <v>1444828845</v>
      </c>
      <c r="L88" s="11">
        <f>((Table1[[#This Row],[launched_at]]/60)/60/24)+DATE(1970,1,1)</f>
        <v>42291.556076388893</v>
      </c>
      <c r="M88">
        <f>MONTH(Table1[[#This Row],[Date Created Conversion]])</f>
        <v>10</v>
      </c>
      <c r="N88">
        <f>YEAR(Table1[[#This Row],[Date Created Conversion]])</f>
        <v>2015</v>
      </c>
      <c r="O88" t="b">
        <v>0</v>
      </c>
      <c r="P88">
        <v>17</v>
      </c>
      <c r="Q88" t="b">
        <v>1</v>
      </c>
      <c r="R88" t="s">
        <v>8266</v>
      </c>
      <c r="S88" s="6">
        <f>Table1[[#This Row],[pledged]]/Table1[[#This Row],[goal]]</f>
        <v>1.0646666666666667</v>
      </c>
      <c r="T88" s="8">
        <f>IF(Table1[[#This Row],[pledged]]=0,"no backers",Table1[[#This Row],[pledged]]/Table1[[#This Row],[backers_count]])</f>
        <v>375.76470588235293</v>
      </c>
      <c r="U88" t="str">
        <f>LEFT(Table1[[#This Row],[Category and Sub-Category]],FIND("/",Table1[[#This Row],[Category and Sub-Category]])-1)</f>
        <v>film &amp; video</v>
      </c>
      <c r="V88" t="str">
        <f>RIGHT(Table1[[#This Row],[Category and Sub-Category]],LEN(Table1[[#This Row],[Category and Sub-Category]])-FIND("/",Table1[[#This Row],[Category and Sub-Category]]))</f>
        <v>shorts</v>
      </c>
    </row>
    <row r="89" spans="1:22" ht="43.2" x14ac:dyDescent="0.3">
      <c r="A89">
        <v>87</v>
      </c>
      <c r="B89" s="3" t="s">
        <v>89</v>
      </c>
      <c r="C89" s="3" t="s">
        <v>4198</v>
      </c>
      <c r="D89" s="12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>((Table1[[#This Row],[deadline]]/60)/60/24)+DATE(1970,1,1)</f>
        <v>40332.070138888892</v>
      </c>
      <c r="K89">
        <v>1274705803</v>
      </c>
      <c r="L89" s="11">
        <f>((Table1[[#This Row],[launched_at]]/60)/60/24)+DATE(1970,1,1)</f>
        <v>40322.53938657407</v>
      </c>
      <c r="M89">
        <f>MONTH(Table1[[#This Row],[Date Created Conversion]])</f>
        <v>5</v>
      </c>
      <c r="N89">
        <f>YEAR(Table1[[#This Row],[Date Created Conversion]])</f>
        <v>2010</v>
      </c>
      <c r="O89" t="b">
        <v>0</v>
      </c>
      <c r="P89">
        <v>25</v>
      </c>
      <c r="Q89" t="b">
        <v>1</v>
      </c>
      <c r="R89" t="s">
        <v>8266</v>
      </c>
      <c r="S89" s="6">
        <f>Table1[[#This Row],[pledged]]/Table1[[#This Row],[goal]]</f>
        <v>1.046</v>
      </c>
      <c r="T89" s="8">
        <f>IF(Table1[[#This Row],[pledged]]=0,"no backers",Table1[[#This Row],[pledged]]/Table1[[#This Row],[backers_count]])</f>
        <v>104.6</v>
      </c>
      <c r="U89" t="str">
        <f>LEFT(Table1[[#This Row],[Category and Sub-Category]],FIND("/",Table1[[#This Row],[Category and Sub-Category]])-1)</f>
        <v>film &amp; video</v>
      </c>
      <c r="V89" t="str">
        <f>RIGHT(Table1[[#This Row],[Category and Sub-Category]],LEN(Table1[[#This Row],[Category and Sub-Category]])-FIND("/",Table1[[#This Row],[Category and Sub-Category]]))</f>
        <v>shorts</v>
      </c>
    </row>
    <row r="90" spans="1:22" ht="43.2" x14ac:dyDescent="0.3">
      <c r="A90">
        <v>88</v>
      </c>
      <c r="B90" s="3" t="s">
        <v>90</v>
      </c>
      <c r="C90" s="3" t="s">
        <v>4199</v>
      </c>
      <c r="D90" s="12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>((Table1[[#This Row],[deadline]]/60)/60/24)+DATE(1970,1,1)</f>
        <v>41812.65892361111</v>
      </c>
      <c r="K90">
        <v>1401205731</v>
      </c>
      <c r="L90" s="11">
        <f>((Table1[[#This Row],[launched_at]]/60)/60/24)+DATE(1970,1,1)</f>
        <v>41786.65892361111</v>
      </c>
      <c r="M90">
        <f>MONTH(Table1[[#This Row],[Date Created Conversion]])</f>
        <v>5</v>
      </c>
      <c r="N90">
        <f>YEAR(Table1[[#This Row],[Date Created Conversion]])</f>
        <v>2014</v>
      </c>
      <c r="O90" t="b">
        <v>0</v>
      </c>
      <c r="P90">
        <v>60</v>
      </c>
      <c r="Q90" t="b">
        <v>1</v>
      </c>
      <c r="R90" t="s">
        <v>8266</v>
      </c>
      <c r="S90" s="6">
        <f>Table1[[#This Row],[pledged]]/Table1[[#This Row],[goal]]</f>
        <v>1.0285714285714285</v>
      </c>
      <c r="T90" s="8">
        <f>IF(Table1[[#This Row],[pledged]]=0,"no backers",Table1[[#This Row],[pledged]]/Table1[[#This Row],[backers_count]])</f>
        <v>60</v>
      </c>
      <c r="U90" t="str">
        <f>LEFT(Table1[[#This Row],[Category and Sub-Category]],FIND("/",Table1[[#This Row],[Category and Sub-Category]])-1)</f>
        <v>film &amp; video</v>
      </c>
      <c r="V90" t="str">
        <f>RIGHT(Table1[[#This Row],[Category and Sub-Category]],LEN(Table1[[#This Row],[Category and Sub-Category]])-FIND("/",Table1[[#This Row],[Category and Sub-Category]]))</f>
        <v>shorts</v>
      </c>
    </row>
    <row r="91" spans="1:22" ht="43.2" x14ac:dyDescent="0.3">
      <c r="A91">
        <v>89</v>
      </c>
      <c r="B91" s="3" t="s">
        <v>91</v>
      </c>
      <c r="C91" s="3" t="s">
        <v>4200</v>
      </c>
      <c r="D91" s="12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>((Table1[[#This Row],[deadline]]/60)/60/24)+DATE(1970,1,1)</f>
        <v>41427.752222222225</v>
      </c>
      <c r="K91">
        <v>1368036192</v>
      </c>
      <c r="L91" s="11">
        <f>((Table1[[#This Row],[launched_at]]/60)/60/24)+DATE(1970,1,1)</f>
        <v>41402.752222222225</v>
      </c>
      <c r="M91">
        <f>MONTH(Table1[[#This Row],[Date Created Conversion]])</f>
        <v>5</v>
      </c>
      <c r="N91">
        <f>YEAR(Table1[[#This Row],[Date Created Conversion]])</f>
        <v>2013</v>
      </c>
      <c r="O91" t="b">
        <v>0</v>
      </c>
      <c r="P91">
        <v>56</v>
      </c>
      <c r="Q91" t="b">
        <v>1</v>
      </c>
      <c r="R91" t="s">
        <v>8266</v>
      </c>
      <c r="S91" s="6">
        <f>Table1[[#This Row],[pledged]]/Table1[[#This Row],[goal]]</f>
        <v>1.1506666666666667</v>
      </c>
      <c r="T91" s="8">
        <f>IF(Table1[[#This Row],[pledged]]=0,"no backers",Table1[[#This Row],[pledged]]/Table1[[#This Row],[backers_count]])</f>
        <v>123.28571428571429</v>
      </c>
      <c r="U91" t="str">
        <f>LEFT(Table1[[#This Row],[Category and Sub-Category]],FIND("/",Table1[[#This Row],[Category and Sub-Category]])-1)</f>
        <v>film &amp; video</v>
      </c>
      <c r="V91" t="str">
        <f>RIGHT(Table1[[#This Row],[Category and Sub-Category]],LEN(Table1[[#This Row],[Category and Sub-Category]])-FIND("/",Table1[[#This Row],[Category and Sub-Category]]))</f>
        <v>shorts</v>
      </c>
    </row>
    <row r="92" spans="1:22" ht="28.8" x14ac:dyDescent="0.3">
      <c r="A92">
        <v>90</v>
      </c>
      <c r="B92" s="3" t="s">
        <v>92</v>
      </c>
      <c r="C92" s="3" t="s">
        <v>4201</v>
      </c>
      <c r="D92" s="1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>((Table1[[#This Row],[deadline]]/60)/60/24)+DATE(1970,1,1)</f>
        <v>40736.297442129631</v>
      </c>
      <c r="K92">
        <v>1307862499</v>
      </c>
      <c r="L92" s="11">
        <f>((Table1[[#This Row],[launched_at]]/60)/60/24)+DATE(1970,1,1)</f>
        <v>40706.297442129631</v>
      </c>
      <c r="M92">
        <f>MONTH(Table1[[#This Row],[Date Created Conversion]])</f>
        <v>6</v>
      </c>
      <c r="N92">
        <f>YEAR(Table1[[#This Row],[Date Created Conversion]])</f>
        <v>2011</v>
      </c>
      <c r="O92" t="b">
        <v>0</v>
      </c>
      <c r="P92">
        <v>16</v>
      </c>
      <c r="Q92" t="b">
        <v>1</v>
      </c>
      <c r="R92" t="s">
        <v>8266</v>
      </c>
      <c r="S92" s="6">
        <f>Table1[[#This Row],[pledged]]/Table1[[#This Row],[goal]]</f>
        <v>1.004</v>
      </c>
      <c r="T92" s="8">
        <f>IF(Table1[[#This Row],[pledged]]=0,"no backers",Table1[[#This Row],[pledged]]/Table1[[#This Row],[backers_count]])</f>
        <v>31.375</v>
      </c>
      <c r="U92" t="str">
        <f>LEFT(Table1[[#This Row],[Category and Sub-Category]],FIND("/",Table1[[#This Row],[Category and Sub-Category]])-1)</f>
        <v>film &amp; video</v>
      </c>
      <c r="V92" t="str">
        <f>RIGHT(Table1[[#This Row],[Category and Sub-Category]],LEN(Table1[[#This Row],[Category and Sub-Category]])-FIND("/",Table1[[#This Row],[Category and Sub-Category]]))</f>
        <v>shorts</v>
      </c>
    </row>
    <row r="93" spans="1:22" ht="43.2" x14ac:dyDescent="0.3">
      <c r="A93">
        <v>91</v>
      </c>
      <c r="B93" s="3" t="s">
        <v>93</v>
      </c>
      <c r="C93" s="3" t="s">
        <v>4202</v>
      </c>
      <c r="D93" s="12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>((Table1[[#This Row],[deadline]]/60)/60/24)+DATE(1970,1,1)</f>
        <v>40680.402361111112</v>
      </c>
      <c r="K93">
        <v>1300354764</v>
      </c>
      <c r="L93" s="11">
        <f>((Table1[[#This Row],[launched_at]]/60)/60/24)+DATE(1970,1,1)</f>
        <v>40619.402361111112</v>
      </c>
      <c r="M93">
        <f>MONTH(Table1[[#This Row],[Date Created Conversion]])</f>
        <v>3</v>
      </c>
      <c r="N93">
        <f>YEAR(Table1[[#This Row],[Date Created Conversion]])</f>
        <v>2011</v>
      </c>
      <c r="O93" t="b">
        <v>0</v>
      </c>
      <c r="P93">
        <v>46</v>
      </c>
      <c r="Q93" t="b">
        <v>1</v>
      </c>
      <c r="R93" t="s">
        <v>8266</v>
      </c>
      <c r="S93" s="6">
        <f>Table1[[#This Row],[pledged]]/Table1[[#This Row],[goal]]</f>
        <v>1.2</v>
      </c>
      <c r="T93" s="8">
        <f>IF(Table1[[#This Row],[pledged]]=0,"no backers",Table1[[#This Row],[pledged]]/Table1[[#This Row],[backers_count]])</f>
        <v>78.260869565217391</v>
      </c>
      <c r="U93" t="str">
        <f>LEFT(Table1[[#This Row],[Category and Sub-Category]],FIND("/",Table1[[#This Row],[Category and Sub-Category]])-1)</f>
        <v>film &amp; video</v>
      </c>
      <c r="V93" t="str">
        <f>RIGHT(Table1[[#This Row],[Category and Sub-Category]],LEN(Table1[[#This Row],[Category and Sub-Category]])-FIND("/",Table1[[#This Row],[Category and Sub-Category]]))</f>
        <v>shorts</v>
      </c>
    </row>
    <row r="94" spans="1:22" ht="43.2" x14ac:dyDescent="0.3">
      <c r="A94">
        <v>92</v>
      </c>
      <c r="B94" s="3" t="s">
        <v>94</v>
      </c>
      <c r="C94" s="3" t="s">
        <v>4203</v>
      </c>
      <c r="D94" s="12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>((Table1[[#This Row],[deadline]]/60)/60/24)+DATE(1970,1,1)</f>
        <v>42767.333333333328</v>
      </c>
      <c r="K94">
        <v>1481949983</v>
      </c>
      <c r="L94" s="11">
        <f>((Table1[[#This Row],[launched_at]]/60)/60/24)+DATE(1970,1,1)</f>
        <v>42721.198877314819</v>
      </c>
      <c r="M94">
        <f>MONTH(Table1[[#This Row],[Date Created Conversion]])</f>
        <v>12</v>
      </c>
      <c r="N94">
        <f>YEAR(Table1[[#This Row],[Date Created Conversion]])</f>
        <v>2016</v>
      </c>
      <c r="O94" t="b">
        <v>0</v>
      </c>
      <c r="P94">
        <v>43</v>
      </c>
      <c r="Q94" t="b">
        <v>1</v>
      </c>
      <c r="R94" t="s">
        <v>8266</v>
      </c>
      <c r="S94" s="6">
        <f>Table1[[#This Row],[pledged]]/Table1[[#This Row],[goal]]</f>
        <v>1.052</v>
      </c>
      <c r="T94" s="8">
        <f>IF(Table1[[#This Row],[pledged]]=0,"no backers",Table1[[#This Row],[pledged]]/Table1[[#This Row],[backers_count]])</f>
        <v>122.32558139534883</v>
      </c>
      <c r="U94" t="str">
        <f>LEFT(Table1[[#This Row],[Category and Sub-Category]],FIND("/",Table1[[#This Row],[Category and Sub-Category]])-1)</f>
        <v>film &amp; video</v>
      </c>
      <c r="V94" t="str">
        <f>RIGHT(Table1[[#This Row],[Category and Sub-Category]],LEN(Table1[[#This Row],[Category and Sub-Category]])-FIND("/",Table1[[#This Row],[Category and Sub-Category]]))</f>
        <v>shorts</v>
      </c>
    </row>
    <row r="95" spans="1:22" ht="57.6" x14ac:dyDescent="0.3">
      <c r="A95">
        <v>93</v>
      </c>
      <c r="B95" s="3" t="s">
        <v>95</v>
      </c>
      <c r="C95" s="3" t="s">
        <v>4204</v>
      </c>
      <c r="D95" s="12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>((Table1[[#This Row],[deadline]]/60)/60/24)+DATE(1970,1,1)</f>
        <v>41093.875</v>
      </c>
      <c r="K95">
        <v>1338928537</v>
      </c>
      <c r="L95" s="11">
        <f>((Table1[[#This Row],[launched_at]]/60)/60/24)+DATE(1970,1,1)</f>
        <v>41065.858067129629</v>
      </c>
      <c r="M95">
        <f>MONTH(Table1[[#This Row],[Date Created Conversion]])</f>
        <v>6</v>
      </c>
      <c r="N95">
        <f>YEAR(Table1[[#This Row],[Date Created Conversion]])</f>
        <v>2012</v>
      </c>
      <c r="O95" t="b">
        <v>0</v>
      </c>
      <c r="P95">
        <v>15</v>
      </c>
      <c r="Q95" t="b">
        <v>1</v>
      </c>
      <c r="R95" t="s">
        <v>8266</v>
      </c>
      <c r="S95" s="6">
        <f>Table1[[#This Row],[pledged]]/Table1[[#This Row],[goal]]</f>
        <v>1.1060000000000001</v>
      </c>
      <c r="T95" s="8">
        <f>IF(Table1[[#This Row],[pledged]]=0,"no backers",Table1[[#This Row],[pledged]]/Table1[[#This Row],[backers_count]])</f>
        <v>73.733333333333334</v>
      </c>
      <c r="U95" t="str">
        <f>LEFT(Table1[[#This Row],[Category and Sub-Category]],FIND("/",Table1[[#This Row],[Category and Sub-Category]])-1)</f>
        <v>film &amp; video</v>
      </c>
      <c r="V95" t="str">
        <f>RIGHT(Table1[[#This Row],[Category and Sub-Category]],LEN(Table1[[#This Row],[Category and Sub-Category]])-FIND("/",Table1[[#This Row],[Category and Sub-Category]]))</f>
        <v>shorts</v>
      </c>
    </row>
    <row r="96" spans="1:22" ht="43.2" x14ac:dyDescent="0.3">
      <c r="A96">
        <v>94</v>
      </c>
      <c r="B96" s="3" t="s">
        <v>96</v>
      </c>
      <c r="C96" s="3" t="s">
        <v>4205</v>
      </c>
      <c r="D96" s="12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>((Table1[[#This Row],[deadline]]/60)/60/24)+DATE(1970,1,1)</f>
        <v>41736.717847222222</v>
      </c>
      <c r="K96">
        <v>1395162822</v>
      </c>
      <c r="L96" s="11">
        <f>((Table1[[#This Row],[launched_at]]/60)/60/24)+DATE(1970,1,1)</f>
        <v>41716.717847222222</v>
      </c>
      <c r="M96">
        <f>MONTH(Table1[[#This Row],[Date Created Conversion]])</f>
        <v>3</v>
      </c>
      <c r="N96">
        <f>YEAR(Table1[[#This Row],[Date Created Conversion]])</f>
        <v>2014</v>
      </c>
      <c r="O96" t="b">
        <v>0</v>
      </c>
      <c r="P96">
        <v>12</v>
      </c>
      <c r="Q96" t="b">
        <v>1</v>
      </c>
      <c r="R96" t="s">
        <v>8266</v>
      </c>
      <c r="S96" s="6">
        <f>Table1[[#This Row],[pledged]]/Table1[[#This Row],[goal]]</f>
        <v>1.04</v>
      </c>
      <c r="T96" s="8">
        <f>IF(Table1[[#This Row],[pledged]]=0,"no backers",Table1[[#This Row],[pledged]]/Table1[[#This Row],[backers_count]])</f>
        <v>21.666666666666668</v>
      </c>
      <c r="U96" t="str">
        <f>LEFT(Table1[[#This Row],[Category and Sub-Category]],FIND("/",Table1[[#This Row],[Category and Sub-Category]])-1)</f>
        <v>film &amp; video</v>
      </c>
      <c r="V96" t="str">
        <f>RIGHT(Table1[[#This Row],[Category and Sub-Category]],LEN(Table1[[#This Row],[Category and Sub-Category]])-FIND("/",Table1[[#This Row],[Category and Sub-Category]]))</f>
        <v>shorts</v>
      </c>
    </row>
    <row r="97" spans="1:22" ht="43.2" x14ac:dyDescent="0.3">
      <c r="A97">
        <v>95</v>
      </c>
      <c r="B97" s="3" t="s">
        <v>97</v>
      </c>
      <c r="C97" s="3" t="s">
        <v>4206</v>
      </c>
      <c r="D97" s="12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>((Table1[[#This Row],[deadline]]/60)/60/24)+DATE(1970,1,1)</f>
        <v>40965.005104166667</v>
      </c>
      <c r="K97">
        <v>1327622841</v>
      </c>
      <c r="L97" s="11">
        <f>((Table1[[#This Row],[launched_at]]/60)/60/24)+DATE(1970,1,1)</f>
        <v>40935.005104166667</v>
      </c>
      <c r="M97">
        <f>MONTH(Table1[[#This Row],[Date Created Conversion]])</f>
        <v>1</v>
      </c>
      <c r="N97">
        <f>YEAR(Table1[[#This Row],[Date Created Conversion]])</f>
        <v>2012</v>
      </c>
      <c r="O97" t="b">
        <v>0</v>
      </c>
      <c r="P97">
        <v>21</v>
      </c>
      <c r="Q97" t="b">
        <v>1</v>
      </c>
      <c r="R97" t="s">
        <v>8266</v>
      </c>
      <c r="S97" s="6">
        <f>Table1[[#This Row],[pledged]]/Table1[[#This Row],[goal]]</f>
        <v>1.3142857142857143</v>
      </c>
      <c r="T97" s="8">
        <f>IF(Table1[[#This Row],[pledged]]=0,"no backers",Table1[[#This Row],[pledged]]/Table1[[#This Row],[backers_count]])</f>
        <v>21.904761904761905</v>
      </c>
      <c r="U97" t="str">
        <f>LEFT(Table1[[#This Row],[Category and Sub-Category]],FIND("/",Table1[[#This Row],[Category and Sub-Category]])-1)</f>
        <v>film &amp; video</v>
      </c>
      <c r="V97" t="str">
        <f>RIGHT(Table1[[#This Row],[Category and Sub-Category]],LEN(Table1[[#This Row],[Category and Sub-Category]])-FIND("/",Table1[[#This Row],[Category and Sub-Category]]))</f>
        <v>shorts</v>
      </c>
    </row>
    <row r="98" spans="1:22" ht="57.6" x14ac:dyDescent="0.3">
      <c r="A98">
        <v>96</v>
      </c>
      <c r="B98" s="3" t="s">
        <v>98</v>
      </c>
      <c r="C98" s="3" t="s">
        <v>4207</v>
      </c>
      <c r="D98" s="12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>((Table1[[#This Row],[deadline]]/60)/60/24)+DATE(1970,1,1)</f>
        <v>40391.125</v>
      </c>
      <c r="K98">
        <v>1274889241</v>
      </c>
      <c r="L98" s="11">
        <f>((Table1[[#This Row],[launched_at]]/60)/60/24)+DATE(1970,1,1)</f>
        <v>40324.662511574075</v>
      </c>
      <c r="M98">
        <f>MONTH(Table1[[#This Row],[Date Created Conversion]])</f>
        <v>5</v>
      </c>
      <c r="N98">
        <f>YEAR(Table1[[#This Row],[Date Created Conversion]])</f>
        <v>2010</v>
      </c>
      <c r="O98" t="b">
        <v>0</v>
      </c>
      <c r="P98">
        <v>34</v>
      </c>
      <c r="Q98" t="b">
        <v>1</v>
      </c>
      <c r="R98" t="s">
        <v>8266</v>
      </c>
      <c r="S98" s="6">
        <f>Table1[[#This Row],[pledged]]/Table1[[#This Row],[goal]]</f>
        <v>1.1466666666666667</v>
      </c>
      <c r="T98" s="8">
        <f>IF(Table1[[#This Row],[pledged]]=0,"no backers",Table1[[#This Row],[pledged]]/Table1[[#This Row],[backers_count]])</f>
        <v>50.588235294117645</v>
      </c>
      <c r="U98" t="str">
        <f>LEFT(Table1[[#This Row],[Category and Sub-Category]],FIND("/",Table1[[#This Row],[Category and Sub-Category]])-1)</f>
        <v>film &amp; video</v>
      </c>
      <c r="V98" t="str">
        <f>RIGHT(Table1[[#This Row],[Category and Sub-Category]],LEN(Table1[[#This Row],[Category and Sub-Category]])-FIND("/",Table1[[#This Row],[Category and Sub-Category]]))</f>
        <v>shorts</v>
      </c>
    </row>
    <row r="99" spans="1:22" ht="43.2" x14ac:dyDescent="0.3">
      <c r="A99">
        <v>97</v>
      </c>
      <c r="B99" s="3" t="s">
        <v>99</v>
      </c>
      <c r="C99" s="3" t="s">
        <v>4208</v>
      </c>
      <c r="D99" s="12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>((Table1[[#This Row],[deadline]]/60)/60/24)+DATE(1970,1,1)</f>
        <v>40736.135208333333</v>
      </c>
      <c r="K99">
        <v>1307848482</v>
      </c>
      <c r="L99" s="11">
        <f>((Table1[[#This Row],[launched_at]]/60)/60/24)+DATE(1970,1,1)</f>
        <v>40706.135208333333</v>
      </c>
      <c r="M99">
        <f>MONTH(Table1[[#This Row],[Date Created Conversion]])</f>
        <v>6</v>
      </c>
      <c r="N99">
        <f>YEAR(Table1[[#This Row],[Date Created Conversion]])</f>
        <v>2011</v>
      </c>
      <c r="O99" t="b">
        <v>0</v>
      </c>
      <c r="P99">
        <v>8</v>
      </c>
      <c r="Q99" t="b">
        <v>1</v>
      </c>
      <c r="R99" t="s">
        <v>8266</v>
      </c>
      <c r="S99" s="6">
        <f>Table1[[#This Row],[pledged]]/Table1[[#This Row],[goal]]</f>
        <v>1.0625</v>
      </c>
      <c r="T99" s="8">
        <f>IF(Table1[[#This Row],[pledged]]=0,"no backers",Table1[[#This Row],[pledged]]/Table1[[#This Row],[backers_count]])</f>
        <v>53.125</v>
      </c>
      <c r="U99" t="str">
        <f>LEFT(Table1[[#This Row],[Category and Sub-Category]],FIND("/",Table1[[#This Row],[Category and Sub-Category]])-1)</f>
        <v>film &amp; video</v>
      </c>
      <c r="V99" t="str">
        <f>RIGHT(Table1[[#This Row],[Category and Sub-Category]],LEN(Table1[[#This Row],[Category and Sub-Category]])-FIND("/",Table1[[#This Row],[Category and Sub-Category]]))</f>
        <v>shorts</v>
      </c>
    </row>
    <row r="100" spans="1:22" ht="43.2" x14ac:dyDescent="0.3">
      <c r="A100">
        <v>98</v>
      </c>
      <c r="B100" s="3" t="s">
        <v>100</v>
      </c>
      <c r="C100" s="3" t="s">
        <v>4209</v>
      </c>
      <c r="D100" s="12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>((Table1[[#This Row],[deadline]]/60)/60/24)+DATE(1970,1,1)</f>
        <v>41250.979166666664</v>
      </c>
      <c r="K100">
        <v>1351796674</v>
      </c>
      <c r="L100" s="11">
        <f>((Table1[[#This Row],[launched_at]]/60)/60/24)+DATE(1970,1,1)</f>
        <v>41214.79483796296</v>
      </c>
      <c r="M100">
        <f>MONTH(Table1[[#This Row],[Date Created Conversion]])</f>
        <v>11</v>
      </c>
      <c r="N100">
        <f>YEAR(Table1[[#This Row],[Date Created Conversion]])</f>
        <v>2012</v>
      </c>
      <c r="O100" t="b">
        <v>0</v>
      </c>
      <c r="P100">
        <v>60</v>
      </c>
      <c r="Q100" t="b">
        <v>1</v>
      </c>
      <c r="R100" t="s">
        <v>8266</v>
      </c>
      <c r="S100" s="6">
        <f>Table1[[#This Row],[pledged]]/Table1[[#This Row],[goal]]</f>
        <v>1.0625</v>
      </c>
      <c r="T100" s="8">
        <f>IF(Table1[[#This Row],[pledged]]=0,"no backers",Table1[[#This Row],[pledged]]/Table1[[#This Row],[backers_count]])</f>
        <v>56.666666666666664</v>
      </c>
      <c r="U100" t="str">
        <f>LEFT(Table1[[#This Row],[Category and Sub-Category]],FIND("/",Table1[[#This Row],[Category and Sub-Category]])-1)</f>
        <v>film &amp; video</v>
      </c>
      <c r="V100" t="str">
        <f>RIGHT(Table1[[#This Row],[Category and Sub-Category]],LEN(Table1[[#This Row],[Category and Sub-Category]])-FIND("/",Table1[[#This Row],[Category and Sub-Category]]))</f>
        <v>shorts</v>
      </c>
    </row>
    <row r="101" spans="1:22" ht="28.8" x14ac:dyDescent="0.3">
      <c r="A101">
        <v>99</v>
      </c>
      <c r="B101" s="3" t="s">
        <v>101</v>
      </c>
      <c r="C101" s="3" t="s">
        <v>4210</v>
      </c>
      <c r="D101" s="12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>((Table1[[#This Row],[deadline]]/60)/60/24)+DATE(1970,1,1)</f>
        <v>41661.902766203704</v>
      </c>
      <c r="K101">
        <v>1387834799</v>
      </c>
      <c r="L101" s="11">
        <f>((Table1[[#This Row],[launched_at]]/60)/60/24)+DATE(1970,1,1)</f>
        <v>41631.902766203704</v>
      </c>
      <c r="M101">
        <f>MONTH(Table1[[#This Row],[Date Created Conversion]])</f>
        <v>12</v>
      </c>
      <c r="N101">
        <f>YEAR(Table1[[#This Row],[Date Created Conversion]])</f>
        <v>2013</v>
      </c>
      <c r="O101" t="b">
        <v>0</v>
      </c>
      <c r="P101">
        <v>39</v>
      </c>
      <c r="Q101" t="b">
        <v>1</v>
      </c>
      <c r="R101" t="s">
        <v>8266</v>
      </c>
      <c r="S101" s="6">
        <f>Table1[[#This Row],[pledged]]/Table1[[#This Row],[goal]]</f>
        <v>1.0601933333333333</v>
      </c>
      <c r="T101" s="8">
        <f>IF(Table1[[#This Row],[pledged]]=0,"no backers",Table1[[#This Row],[pledged]]/Table1[[#This Row],[backers_count]])</f>
        <v>40.776666666666664</v>
      </c>
      <c r="U101" t="str">
        <f>LEFT(Table1[[#This Row],[Category and Sub-Category]],FIND("/",Table1[[#This Row],[Category and Sub-Category]])-1)</f>
        <v>film &amp; video</v>
      </c>
      <c r="V101" t="str">
        <f>RIGHT(Table1[[#This Row],[Category and Sub-Category]],LEN(Table1[[#This Row],[Category and Sub-Category]])-FIND("/",Table1[[#This Row],[Category and Sub-Category]]))</f>
        <v>shorts</v>
      </c>
    </row>
    <row r="102" spans="1:22" ht="43.2" x14ac:dyDescent="0.3">
      <c r="A102">
        <v>100</v>
      </c>
      <c r="B102" s="3" t="s">
        <v>102</v>
      </c>
      <c r="C102" s="3" t="s">
        <v>4211</v>
      </c>
      <c r="D102" s="1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>((Table1[[#This Row],[deadline]]/60)/60/24)+DATE(1970,1,1)</f>
        <v>41217.794976851852</v>
      </c>
      <c r="K102">
        <v>1350324286</v>
      </c>
      <c r="L102" s="11">
        <f>((Table1[[#This Row],[launched_at]]/60)/60/24)+DATE(1970,1,1)</f>
        <v>41197.753310185188</v>
      </c>
      <c r="M102">
        <f>MONTH(Table1[[#This Row],[Date Created Conversion]])</f>
        <v>10</v>
      </c>
      <c r="N102">
        <f>YEAR(Table1[[#This Row],[Date Created Conversion]])</f>
        <v>2012</v>
      </c>
      <c r="O102" t="b">
        <v>0</v>
      </c>
      <c r="P102">
        <v>26</v>
      </c>
      <c r="Q102" t="b">
        <v>1</v>
      </c>
      <c r="R102" t="s">
        <v>8266</v>
      </c>
      <c r="S102" s="6">
        <f>Table1[[#This Row],[pledged]]/Table1[[#This Row],[goal]]</f>
        <v>1</v>
      </c>
      <c r="T102" s="8">
        <f>IF(Table1[[#This Row],[pledged]]=0,"no backers",Table1[[#This Row],[pledged]]/Table1[[#This Row],[backers_count]])</f>
        <v>192.30769230769232</v>
      </c>
      <c r="U102" t="str">
        <f>LEFT(Table1[[#This Row],[Category and Sub-Category]],FIND("/",Table1[[#This Row],[Category and Sub-Category]])-1)</f>
        <v>film &amp; video</v>
      </c>
      <c r="V102" t="str">
        <f>RIGHT(Table1[[#This Row],[Category and Sub-Category]],LEN(Table1[[#This Row],[Category and Sub-Category]])-FIND("/",Table1[[#This Row],[Category and Sub-Category]]))</f>
        <v>shorts</v>
      </c>
    </row>
    <row r="103" spans="1:22" ht="43.2" x14ac:dyDescent="0.3">
      <c r="A103">
        <v>101</v>
      </c>
      <c r="B103" s="3" t="s">
        <v>103</v>
      </c>
      <c r="C103" s="3" t="s">
        <v>4212</v>
      </c>
      <c r="D103" s="12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>((Table1[[#This Row],[deadline]]/60)/60/24)+DATE(1970,1,1)</f>
        <v>41298.776736111111</v>
      </c>
      <c r="K103">
        <v>1356979110</v>
      </c>
      <c r="L103" s="11">
        <f>((Table1[[#This Row],[launched_at]]/60)/60/24)+DATE(1970,1,1)</f>
        <v>41274.776736111111</v>
      </c>
      <c r="M103">
        <f>MONTH(Table1[[#This Row],[Date Created Conversion]])</f>
        <v>12</v>
      </c>
      <c r="N103">
        <f>YEAR(Table1[[#This Row],[Date Created Conversion]])</f>
        <v>2012</v>
      </c>
      <c r="O103" t="b">
        <v>0</v>
      </c>
      <c r="P103">
        <v>35</v>
      </c>
      <c r="Q103" t="b">
        <v>1</v>
      </c>
      <c r="R103" t="s">
        <v>8266</v>
      </c>
      <c r="S103" s="6">
        <f>Table1[[#This Row],[pledged]]/Table1[[#This Row],[goal]]</f>
        <v>1</v>
      </c>
      <c r="T103" s="8">
        <f>IF(Table1[[#This Row],[pledged]]=0,"no backers",Table1[[#This Row],[pledged]]/Table1[[#This Row],[backers_count]])</f>
        <v>100</v>
      </c>
      <c r="U103" t="str">
        <f>LEFT(Table1[[#This Row],[Category and Sub-Category]],FIND("/",Table1[[#This Row],[Category and Sub-Category]])-1)</f>
        <v>film &amp; video</v>
      </c>
      <c r="V103" t="str">
        <f>RIGHT(Table1[[#This Row],[Category and Sub-Category]],LEN(Table1[[#This Row],[Category and Sub-Category]])-FIND("/",Table1[[#This Row],[Category and Sub-Category]]))</f>
        <v>shorts</v>
      </c>
    </row>
    <row r="104" spans="1:22" ht="43.2" x14ac:dyDescent="0.3">
      <c r="A104">
        <v>102</v>
      </c>
      <c r="B104" s="3" t="s">
        <v>104</v>
      </c>
      <c r="C104" s="3" t="s">
        <v>4213</v>
      </c>
      <c r="D104" s="12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>((Table1[[#This Row],[deadline]]/60)/60/24)+DATE(1970,1,1)</f>
        <v>40535.131168981483</v>
      </c>
      <c r="K104">
        <v>1290481733</v>
      </c>
      <c r="L104" s="11">
        <f>((Table1[[#This Row],[launched_at]]/60)/60/24)+DATE(1970,1,1)</f>
        <v>40505.131168981483</v>
      </c>
      <c r="M104">
        <f>MONTH(Table1[[#This Row],[Date Created Conversion]])</f>
        <v>11</v>
      </c>
      <c r="N104">
        <f>YEAR(Table1[[#This Row],[Date Created Conversion]])</f>
        <v>2010</v>
      </c>
      <c r="O104" t="b">
        <v>0</v>
      </c>
      <c r="P104">
        <v>65</v>
      </c>
      <c r="Q104" t="b">
        <v>1</v>
      </c>
      <c r="R104" t="s">
        <v>8266</v>
      </c>
      <c r="S104" s="6">
        <f>Table1[[#This Row],[pledged]]/Table1[[#This Row],[goal]]</f>
        <v>1.2775000000000001</v>
      </c>
      <c r="T104" s="8">
        <f>IF(Table1[[#This Row],[pledged]]=0,"no backers",Table1[[#This Row],[pledged]]/Table1[[#This Row],[backers_count]])</f>
        <v>117.92307692307692</v>
      </c>
      <c r="U104" t="str">
        <f>LEFT(Table1[[#This Row],[Category and Sub-Category]],FIND("/",Table1[[#This Row],[Category and Sub-Category]])-1)</f>
        <v>film &amp; video</v>
      </c>
      <c r="V104" t="str">
        <f>RIGHT(Table1[[#This Row],[Category and Sub-Category]],LEN(Table1[[#This Row],[Category and Sub-Category]])-FIND("/",Table1[[#This Row],[Category and Sub-Category]]))</f>
        <v>shorts</v>
      </c>
    </row>
    <row r="105" spans="1:22" ht="43.2" x14ac:dyDescent="0.3">
      <c r="A105">
        <v>103</v>
      </c>
      <c r="B105" s="3" t="s">
        <v>105</v>
      </c>
      <c r="C105" s="3" t="s">
        <v>4214</v>
      </c>
      <c r="D105" s="12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>((Table1[[#This Row],[deadline]]/60)/60/24)+DATE(1970,1,1)</f>
        <v>41705.805902777778</v>
      </c>
      <c r="K105">
        <v>1392232830</v>
      </c>
      <c r="L105" s="11">
        <f>((Table1[[#This Row],[launched_at]]/60)/60/24)+DATE(1970,1,1)</f>
        <v>41682.805902777778</v>
      </c>
      <c r="M105">
        <f>MONTH(Table1[[#This Row],[Date Created Conversion]])</f>
        <v>2</v>
      </c>
      <c r="N105">
        <f>YEAR(Table1[[#This Row],[Date Created Conversion]])</f>
        <v>2014</v>
      </c>
      <c r="O105" t="b">
        <v>0</v>
      </c>
      <c r="P105">
        <v>49</v>
      </c>
      <c r="Q105" t="b">
        <v>1</v>
      </c>
      <c r="R105" t="s">
        <v>8266</v>
      </c>
      <c r="S105" s="6">
        <f>Table1[[#This Row],[pledged]]/Table1[[#This Row],[goal]]</f>
        <v>1.0515384615384615</v>
      </c>
      <c r="T105" s="8">
        <f>IF(Table1[[#This Row],[pledged]]=0,"no backers",Table1[[#This Row],[pledged]]/Table1[[#This Row],[backers_count]])</f>
        <v>27.897959183673468</v>
      </c>
      <c r="U105" t="str">
        <f>LEFT(Table1[[#This Row],[Category and Sub-Category]],FIND("/",Table1[[#This Row],[Category and Sub-Category]])-1)</f>
        <v>film &amp; video</v>
      </c>
      <c r="V105" t="str">
        <f>RIGHT(Table1[[#This Row],[Category and Sub-Category]],LEN(Table1[[#This Row],[Category and Sub-Category]])-FIND("/",Table1[[#This Row],[Category and Sub-Category]]))</f>
        <v>shorts</v>
      </c>
    </row>
    <row r="106" spans="1:22" ht="28.8" x14ac:dyDescent="0.3">
      <c r="A106">
        <v>104</v>
      </c>
      <c r="B106" s="3" t="s">
        <v>106</v>
      </c>
      <c r="C106" s="3" t="s">
        <v>4215</v>
      </c>
      <c r="D106" s="12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>((Table1[[#This Row],[deadline]]/60)/60/24)+DATE(1970,1,1)</f>
        <v>40636.041666666664</v>
      </c>
      <c r="K106">
        <v>1299775266</v>
      </c>
      <c r="L106" s="11">
        <f>((Table1[[#This Row],[launched_at]]/60)/60/24)+DATE(1970,1,1)</f>
        <v>40612.695208333331</v>
      </c>
      <c r="M106">
        <f>MONTH(Table1[[#This Row],[Date Created Conversion]])</f>
        <v>3</v>
      </c>
      <c r="N106">
        <f>YEAR(Table1[[#This Row],[Date Created Conversion]])</f>
        <v>2011</v>
      </c>
      <c r="O106" t="b">
        <v>0</v>
      </c>
      <c r="P106">
        <v>10</v>
      </c>
      <c r="Q106" t="b">
        <v>1</v>
      </c>
      <c r="R106" t="s">
        <v>8266</v>
      </c>
      <c r="S106" s="6">
        <f>Table1[[#This Row],[pledged]]/Table1[[#This Row],[goal]]</f>
        <v>1.2</v>
      </c>
      <c r="T106" s="8">
        <f>IF(Table1[[#This Row],[pledged]]=0,"no backers",Table1[[#This Row],[pledged]]/Table1[[#This Row],[backers_count]])</f>
        <v>60</v>
      </c>
      <c r="U106" t="str">
        <f>LEFT(Table1[[#This Row],[Category and Sub-Category]],FIND("/",Table1[[#This Row],[Category and Sub-Category]])-1)</f>
        <v>film &amp; video</v>
      </c>
      <c r="V106" t="str">
        <f>RIGHT(Table1[[#This Row],[Category and Sub-Category]],LEN(Table1[[#This Row],[Category and Sub-Category]])-FIND("/",Table1[[#This Row],[Category and Sub-Category]]))</f>
        <v>shorts</v>
      </c>
    </row>
    <row r="107" spans="1:22" ht="43.2" x14ac:dyDescent="0.3">
      <c r="A107">
        <v>105</v>
      </c>
      <c r="B107" s="3" t="s">
        <v>107</v>
      </c>
      <c r="C107" s="3" t="s">
        <v>4216</v>
      </c>
      <c r="D107" s="12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>((Table1[[#This Row],[deadline]]/60)/60/24)+DATE(1970,1,1)</f>
        <v>42504</v>
      </c>
      <c r="K107">
        <v>1461605020</v>
      </c>
      <c r="L107" s="11">
        <f>((Table1[[#This Row],[launched_at]]/60)/60/24)+DATE(1970,1,1)</f>
        <v>42485.724768518514</v>
      </c>
      <c r="M107">
        <f>MONTH(Table1[[#This Row],[Date Created Conversion]])</f>
        <v>4</v>
      </c>
      <c r="N107">
        <f>YEAR(Table1[[#This Row],[Date Created Conversion]])</f>
        <v>2016</v>
      </c>
      <c r="O107" t="b">
        <v>0</v>
      </c>
      <c r="P107">
        <v>60</v>
      </c>
      <c r="Q107" t="b">
        <v>1</v>
      </c>
      <c r="R107" t="s">
        <v>8266</v>
      </c>
      <c r="S107" s="6">
        <f>Table1[[#This Row],[pledged]]/Table1[[#This Row],[goal]]</f>
        <v>1.074090909090909</v>
      </c>
      <c r="T107" s="8">
        <f>IF(Table1[[#This Row],[pledged]]=0,"no backers",Table1[[#This Row],[pledged]]/Table1[[#This Row],[backers_count]])</f>
        <v>39.383333333333333</v>
      </c>
      <c r="U107" t="str">
        <f>LEFT(Table1[[#This Row],[Category and Sub-Category]],FIND("/",Table1[[#This Row],[Category and Sub-Category]])-1)</f>
        <v>film &amp; video</v>
      </c>
      <c r="V107" t="str">
        <f>RIGHT(Table1[[#This Row],[Category and Sub-Category]],LEN(Table1[[#This Row],[Category and Sub-Category]])-FIND("/",Table1[[#This Row],[Category and Sub-Category]]))</f>
        <v>shorts</v>
      </c>
    </row>
    <row r="108" spans="1:22" x14ac:dyDescent="0.3">
      <c r="A108">
        <v>106</v>
      </c>
      <c r="B108" s="3" t="s">
        <v>108</v>
      </c>
      <c r="C108" s="3" t="s">
        <v>4217</v>
      </c>
      <c r="D108" s="12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>((Table1[[#This Row],[deadline]]/60)/60/24)+DATE(1970,1,1)</f>
        <v>41001.776631944449</v>
      </c>
      <c r="K108">
        <v>1332182301</v>
      </c>
      <c r="L108" s="11">
        <f>((Table1[[#This Row],[launched_at]]/60)/60/24)+DATE(1970,1,1)</f>
        <v>40987.776631944449</v>
      </c>
      <c r="M108">
        <f>MONTH(Table1[[#This Row],[Date Created Conversion]])</f>
        <v>3</v>
      </c>
      <c r="N108">
        <f>YEAR(Table1[[#This Row],[Date Created Conversion]])</f>
        <v>2012</v>
      </c>
      <c r="O108" t="b">
        <v>0</v>
      </c>
      <c r="P108">
        <v>27</v>
      </c>
      <c r="Q108" t="b">
        <v>1</v>
      </c>
      <c r="R108" t="s">
        <v>8266</v>
      </c>
      <c r="S108" s="6">
        <f>Table1[[#This Row],[pledged]]/Table1[[#This Row],[goal]]</f>
        <v>1.0049999999999999</v>
      </c>
      <c r="T108" s="8">
        <f>IF(Table1[[#This Row],[pledged]]=0,"no backers",Table1[[#This Row],[pledged]]/Table1[[#This Row],[backers_count]])</f>
        <v>186.11111111111111</v>
      </c>
      <c r="U108" t="str">
        <f>LEFT(Table1[[#This Row],[Category and Sub-Category]],FIND("/",Table1[[#This Row],[Category and Sub-Category]])-1)</f>
        <v>film &amp; video</v>
      </c>
      <c r="V108" t="str">
        <f>RIGHT(Table1[[#This Row],[Category and Sub-Category]],LEN(Table1[[#This Row],[Category and Sub-Category]])-FIND("/",Table1[[#This Row],[Category and Sub-Category]]))</f>
        <v>shorts</v>
      </c>
    </row>
    <row r="109" spans="1:22" ht="43.2" x14ac:dyDescent="0.3">
      <c r="A109">
        <v>107</v>
      </c>
      <c r="B109" s="3" t="s">
        <v>109</v>
      </c>
      <c r="C109" s="3" t="s">
        <v>4218</v>
      </c>
      <c r="D109" s="12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>((Table1[[#This Row],[deadline]]/60)/60/24)+DATE(1970,1,1)</f>
        <v>40657.982488425929</v>
      </c>
      <c r="K109">
        <v>1301787287</v>
      </c>
      <c r="L109" s="11">
        <f>((Table1[[#This Row],[launched_at]]/60)/60/24)+DATE(1970,1,1)</f>
        <v>40635.982488425929</v>
      </c>
      <c r="M109">
        <f>MONTH(Table1[[#This Row],[Date Created Conversion]])</f>
        <v>4</v>
      </c>
      <c r="N109">
        <f>YEAR(Table1[[#This Row],[Date Created Conversion]])</f>
        <v>2011</v>
      </c>
      <c r="O109" t="b">
        <v>0</v>
      </c>
      <c r="P109">
        <v>69</v>
      </c>
      <c r="Q109" t="b">
        <v>1</v>
      </c>
      <c r="R109" t="s">
        <v>8266</v>
      </c>
      <c r="S109" s="6">
        <f>Table1[[#This Row],[pledged]]/Table1[[#This Row],[goal]]</f>
        <v>1.0246666666666666</v>
      </c>
      <c r="T109" s="8">
        <f>IF(Table1[[#This Row],[pledged]]=0,"no backers",Table1[[#This Row],[pledged]]/Table1[[#This Row],[backers_count]])</f>
        <v>111.37681159420291</v>
      </c>
      <c r="U109" t="str">
        <f>LEFT(Table1[[#This Row],[Category and Sub-Category]],FIND("/",Table1[[#This Row],[Category and Sub-Category]])-1)</f>
        <v>film &amp; video</v>
      </c>
      <c r="V109" t="str">
        <f>RIGHT(Table1[[#This Row],[Category and Sub-Category]],LEN(Table1[[#This Row],[Category and Sub-Category]])-FIND("/",Table1[[#This Row],[Category and Sub-Category]]))</f>
        <v>shorts</v>
      </c>
    </row>
    <row r="110" spans="1:22" ht="43.2" x14ac:dyDescent="0.3">
      <c r="A110">
        <v>108</v>
      </c>
      <c r="B110" s="3" t="s">
        <v>110</v>
      </c>
      <c r="C110" s="3" t="s">
        <v>4219</v>
      </c>
      <c r="D110" s="12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>((Table1[[#This Row],[deadline]]/60)/60/24)+DATE(1970,1,1)</f>
        <v>41425.613078703704</v>
      </c>
      <c r="K110">
        <v>1364827370</v>
      </c>
      <c r="L110" s="11">
        <f>((Table1[[#This Row],[launched_at]]/60)/60/24)+DATE(1970,1,1)</f>
        <v>41365.613078703704</v>
      </c>
      <c r="M110">
        <f>MONTH(Table1[[#This Row],[Date Created Conversion]])</f>
        <v>4</v>
      </c>
      <c r="N110">
        <f>YEAR(Table1[[#This Row],[Date Created Conversion]])</f>
        <v>2013</v>
      </c>
      <c r="O110" t="b">
        <v>0</v>
      </c>
      <c r="P110">
        <v>47</v>
      </c>
      <c r="Q110" t="b">
        <v>1</v>
      </c>
      <c r="R110" t="s">
        <v>8266</v>
      </c>
      <c r="S110" s="6">
        <f>Table1[[#This Row],[pledged]]/Table1[[#This Row],[goal]]</f>
        <v>2.4666666666666668</v>
      </c>
      <c r="T110" s="8">
        <f>IF(Table1[[#This Row],[pledged]]=0,"no backers",Table1[[#This Row],[pledged]]/Table1[[#This Row],[backers_count]])</f>
        <v>78.723404255319153</v>
      </c>
      <c r="U110" t="str">
        <f>LEFT(Table1[[#This Row],[Category and Sub-Category]],FIND("/",Table1[[#This Row],[Category and Sub-Category]])-1)</f>
        <v>film &amp; video</v>
      </c>
      <c r="V110" t="str">
        <f>RIGHT(Table1[[#This Row],[Category and Sub-Category]],LEN(Table1[[#This Row],[Category and Sub-Category]])-FIND("/",Table1[[#This Row],[Category and Sub-Category]]))</f>
        <v>shorts</v>
      </c>
    </row>
    <row r="111" spans="1:22" ht="43.2" x14ac:dyDescent="0.3">
      <c r="A111">
        <v>109</v>
      </c>
      <c r="B111" s="3" t="s">
        <v>111</v>
      </c>
      <c r="C111" s="3" t="s">
        <v>4220</v>
      </c>
      <c r="D111" s="12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>((Table1[[#This Row],[deadline]]/60)/60/24)+DATE(1970,1,1)</f>
        <v>40600.025810185187</v>
      </c>
      <c r="K111">
        <v>1296088630</v>
      </c>
      <c r="L111" s="11">
        <f>((Table1[[#This Row],[launched_at]]/60)/60/24)+DATE(1970,1,1)</f>
        <v>40570.025810185187</v>
      </c>
      <c r="M111">
        <f>MONTH(Table1[[#This Row],[Date Created Conversion]])</f>
        <v>1</v>
      </c>
      <c r="N111">
        <f>YEAR(Table1[[#This Row],[Date Created Conversion]])</f>
        <v>2011</v>
      </c>
      <c r="O111" t="b">
        <v>0</v>
      </c>
      <c r="P111">
        <v>47</v>
      </c>
      <c r="Q111" t="b">
        <v>1</v>
      </c>
      <c r="R111" t="s">
        <v>8266</v>
      </c>
      <c r="S111" s="6">
        <f>Table1[[#This Row],[pledged]]/Table1[[#This Row],[goal]]</f>
        <v>2.1949999999999998</v>
      </c>
      <c r="T111" s="8">
        <f>IF(Table1[[#This Row],[pledged]]=0,"no backers",Table1[[#This Row],[pledged]]/Table1[[#This Row],[backers_count]])</f>
        <v>46.702127659574465</v>
      </c>
      <c r="U111" t="str">
        <f>LEFT(Table1[[#This Row],[Category and Sub-Category]],FIND("/",Table1[[#This Row],[Category and Sub-Category]])-1)</f>
        <v>film &amp; video</v>
      </c>
      <c r="V111" t="str">
        <f>RIGHT(Table1[[#This Row],[Category and Sub-Category]],LEN(Table1[[#This Row],[Category and Sub-Category]])-FIND("/",Table1[[#This Row],[Category and Sub-Category]]))</f>
        <v>shorts</v>
      </c>
    </row>
    <row r="112" spans="1:22" ht="43.2" x14ac:dyDescent="0.3">
      <c r="A112">
        <v>110</v>
      </c>
      <c r="B112" s="3" t="s">
        <v>112</v>
      </c>
      <c r="C112" s="3" t="s">
        <v>4221</v>
      </c>
      <c r="D112" s="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>((Table1[[#This Row],[deadline]]/60)/60/24)+DATE(1970,1,1)</f>
        <v>41592.249305555553</v>
      </c>
      <c r="K112">
        <v>1381445253</v>
      </c>
      <c r="L112" s="11">
        <f>((Table1[[#This Row],[launched_at]]/60)/60/24)+DATE(1970,1,1)</f>
        <v>41557.949687500004</v>
      </c>
      <c r="M112">
        <f>MONTH(Table1[[#This Row],[Date Created Conversion]])</f>
        <v>10</v>
      </c>
      <c r="N112">
        <f>YEAR(Table1[[#This Row],[Date Created Conversion]])</f>
        <v>2013</v>
      </c>
      <c r="O112" t="b">
        <v>0</v>
      </c>
      <c r="P112">
        <v>26</v>
      </c>
      <c r="Q112" t="b">
        <v>1</v>
      </c>
      <c r="R112" t="s">
        <v>8266</v>
      </c>
      <c r="S112" s="6">
        <f>Table1[[#This Row],[pledged]]/Table1[[#This Row],[goal]]</f>
        <v>1.3076923076923077</v>
      </c>
      <c r="T112" s="8">
        <f>IF(Table1[[#This Row],[pledged]]=0,"no backers",Table1[[#This Row],[pledged]]/Table1[[#This Row],[backers_count]])</f>
        <v>65.384615384615387</v>
      </c>
      <c r="U112" t="str">
        <f>LEFT(Table1[[#This Row],[Category and Sub-Category]],FIND("/",Table1[[#This Row],[Category and Sub-Category]])-1)</f>
        <v>film &amp; video</v>
      </c>
      <c r="V112" t="str">
        <f>RIGHT(Table1[[#This Row],[Category and Sub-Category]],LEN(Table1[[#This Row],[Category and Sub-Category]])-FIND("/",Table1[[#This Row],[Category and Sub-Category]]))</f>
        <v>shorts</v>
      </c>
    </row>
    <row r="113" spans="1:22" ht="43.2" x14ac:dyDescent="0.3">
      <c r="A113">
        <v>111</v>
      </c>
      <c r="B113" s="3" t="s">
        <v>113</v>
      </c>
      <c r="C113" s="3" t="s">
        <v>4222</v>
      </c>
      <c r="D113" s="12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>((Table1[[#This Row],[deadline]]/60)/60/24)+DATE(1970,1,1)</f>
        <v>42155.333182870367</v>
      </c>
      <c r="K113">
        <v>1430467187</v>
      </c>
      <c r="L113" s="11">
        <f>((Table1[[#This Row],[launched_at]]/60)/60/24)+DATE(1970,1,1)</f>
        <v>42125.333182870367</v>
      </c>
      <c r="M113">
        <f>MONTH(Table1[[#This Row],[Date Created Conversion]])</f>
        <v>5</v>
      </c>
      <c r="N113">
        <f>YEAR(Table1[[#This Row],[Date Created Conversion]])</f>
        <v>2015</v>
      </c>
      <c r="O113" t="b">
        <v>0</v>
      </c>
      <c r="P113">
        <v>53</v>
      </c>
      <c r="Q113" t="b">
        <v>1</v>
      </c>
      <c r="R113" t="s">
        <v>8266</v>
      </c>
      <c r="S113" s="6">
        <f>Table1[[#This Row],[pledged]]/Table1[[#This Row],[goal]]</f>
        <v>1.5457142857142858</v>
      </c>
      <c r="T113" s="8">
        <f>IF(Table1[[#This Row],[pledged]]=0,"no backers",Table1[[#This Row],[pledged]]/Table1[[#This Row],[backers_count]])</f>
        <v>102.0754716981132</v>
      </c>
      <c r="U113" t="str">
        <f>LEFT(Table1[[#This Row],[Category and Sub-Category]],FIND("/",Table1[[#This Row],[Category and Sub-Category]])-1)</f>
        <v>film &amp; video</v>
      </c>
      <c r="V113" t="str">
        <f>RIGHT(Table1[[#This Row],[Category and Sub-Category]],LEN(Table1[[#This Row],[Category and Sub-Category]])-FIND("/",Table1[[#This Row],[Category and Sub-Category]]))</f>
        <v>shorts</v>
      </c>
    </row>
    <row r="114" spans="1:22" ht="43.2" x14ac:dyDescent="0.3">
      <c r="A114">
        <v>112</v>
      </c>
      <c r="B114" s="3" t="s">
        <v>114</v>
      </c>
      <c r="C114" s="3" t="s">
        <v>4223</v>
      </c>
      <c r="D114" s="12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>((Table1[[#This Row],[deadline]]/60)/60/24)+DATE(1970,1,1)</f>
        <v>41742.083333333336</v>
      </c>
      <c r="K114">
        <v>1395277318</v>
      </c>
      <c r="L114" s="11">
        <f>((Table1[[#This Row],[launched_at]]/60)/60/24)+DATE(1970,1,1)</f>
        <v>41718.043032407404</v>
      </c>
      <c r="M114">
        <f>MONTH(Table1[[#This Row],[Date Created Conversion]])</f>
        <v>3</v>
      </c>
      <c r="N114">
        <f>YEAR(Table1[[#This Row],[Date Created Conversion]])</f>
        <v>2014</v>
      </c>
      <c r="O114" t="b">
        <v>0</v>
      </c>
      <c r="P114">
        <v>81</v>
      </c>
      <c r="Q114" t="b">
        <v>1</v>
      </c>
      <c r="R114" t="s">
        <v>8266</v>
      </c>
      <c r="S114" s="6">
        <f>Table1[[#This Row],[pledged]]/Table1[[#This Row],[goal]]</f>
        <v>1.04</v>
      </c>
      <c r="T114" s="8">
        <f>IF(Table1[[#This Row],[pledged]]=0,"no backers",Table1[[#This Row],[pledged]]/Table1[[#This Row],[backers_count]])</f>
        <v>64.197530864197532</v>
      </c>
      <c r="U114" t="str">
        <f>LEFT(Table1[[#This Row],[Category and Sub-Category]],FIND("/",Table1[[#This Row],[Category and Sub-Category]])-1)</f>
        <v>film &amp; video</v>
      </c>
      <c r="V114" t="str">
        <f>RIGHT(Table1[[#This Row],[Category and Sub-Category]],LEN(Table1[[#This Row],[Category and Sub-Category]])-FIND("/",Table1[[#This Row],[Category and Sub-Category]]))</f>
        <v>shorts</v>
      </c>
    </row>
    <row r="115" spans="1:22" ht="28.8" x14ac:dyDescent="0.3">
      <c r="A115">
        <v>113</v>
      </c>
      <c r="B115" s="3" t="s">
        <v>115</v>
      </c>
      <c r="C115" s="3" t="s">
        <v>4224</v>
      </c>
      <c r="D115" s="12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>((Table1[[#This Row],[deadline]]/60)/60/24)+DATE(1970,1,1)</f>
        <v>40761.625</v>
      </c>
      <c r="K115">
        <v>1311963128</v>
      </c>
      <c r="L115" s="11">
        <f>((Table1[[#This Row],[launched_at]]/60)/60/24)+DATE(1970,1,1)</f>
        <v>40753.758425925924</v>
      </c>
      <c r="M115">
        <f>MONTH(Table1[[#This Row],[Date Created Conversion]])</f>
        <v>7</v>
      </c>
      <c r="N115">
        <f>YEAR(Table1[[#This Row],[Date Created Conversion]])</f>
        <v>2011</v>
      </c>
      <c r="O115" t="b">
        <v>0</v>
      </c>
      <c r="P115">
        <v>78</v>
      </c>
      <c r="Q115" t="b">
        <v>1</v>
      </c>
      <c r="R115" t="s">
        <v>8266</v>
      </c>
      <c r="S115" s="6">
        <f>Table1[[#This Row],[pledged]]/Table1[[#This Row],[goal]]</f>
        <v>1.41</v>
      </c>
      <c r="T115" s="8">
        <f>IF(Table1[[#This Row],[pledged]]=0,"no backers",Table1[[#This Row],[pledged]]/Table1[[#This Row],[backers_count]])</f>
        <v>90.384615384615387</v>
      </c>
      <c r="U115" t="str">
        <f>LEFT(Table1[[#This Row],[Category and Sub-Category]],FIND("/",Table1[[#This Row],[Category and Sub-Category]])-1)</f>
        <v>film &amp; video</v>
      </c>
      <c r="V115" t="str">
        <f>RIGHT(Table1[[#This Row],[Category and Sub-Category]],LEN(Table1[[#This Row],[Category and Sub-Category]])-FIND("/",Table1[[#This Row],[Category and Sub-Category]]))</f>
        <v>shorts</v>
      </c>
    </row>
    <row r="116" spans="1:22" ht="43.2" x14ac:dyDescent="0.3">
      <c r="A116">
        <v>114</v>
      </c>
      <c r="B116" s="3" t="s">
        <v>116</v>
      </c>
      <c r="C116" s="3" t="s">
        <v>4225</v>
      </c>
      <c r="D116" s="12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>((Table1[[#This Row],[deadline]]/60)/60/24)+DATE(1970,1,1)</f>
        <v>40921.27416666667</v>
      </c>
      <c r="K116">
        <v>1321252488</v>
      </c>
      <c r="L116" s="11">
        <f>((Table1[[#This Row],[launched_at]]/60)/60/24)+DATE(1970,1,1)</f>
        <v>40861.27416666667</v>
      </c>
      <c r="M116">
        <f>MONTH(Table1[[#This Row],[Date Created Conversion]])</f>
        <v>11</v>
      </c>
      <c r="N116">
        <f>YEAR(Table1[[#This Row],[Date Created Conversion]])</f>
        <v>2011</v>
      </c>
      <c r="O116" t="b">
        <v>0</v>
      </c>
      <c r="P116">
        <v>35</v>
      </c>
      <c r="Q116" t="b">
        <v>1</v>
      </c>
      <c r="R116" t="s">
        <v>8266</v>
      </c>
      <c r="S116" s="6">
        <f>Table1[[#This Row],[pledged]]/Table1[[#This Row],[goal]]</f>
        <v>1.0333333333333334</v>
      </c>
      <c r="T116" s="8">
        <f>IF(Table1[[#This Row],[pledged]]=0,"no backers",Table1[[#This Row],[pledged]]/Table1[[#This Row],[backers_count]])</f>
        <v>88.571428571428569</v>
      </c>
      <c r="U116" t="str">
        <f>LEFT(Table1[[#This Row],[Category and Sub-Category]],FIND("/",Table1[[#This Row],[Category and Sub-Category]])-1)</f>
        <v>film &amp; video</v>
      </c>
      <c r="V116" t="str">
        <f>RIGHT(Table1[[#This Row],[Category and Sub-Category]],LEN(Table1[[#This Row],[Category and Sub-Category]])-FIND("/",Table1[[#This Row],[Category and Sub-Category]]))</f>
        <v>shorts</v>
      </c>
    </row>
    <row r="117" spans="1:22" x14ac:dyDescent="0.3">
      <c r="A117">
        <v>115</v>
      </c>
      <c r="B117" s="3" t="s">
        <v>117</v>
      </c>
      <c r="C117" s="3" t="s">
        <v>4226</v>
      </c>
      <c r="D117" s="12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>((Table1[[#This Row],[deadline]]/60)/60/24)+DATE(1970,1,1)</f>
        <v>40943.738935185182</v>
      </c>
      <c r="K117">
        <v>1326217444</v>
      </c>
      <c r="L117" s="11">
        <f>((Table1[[#This Row],[launched_at]]/60)/60/24)+DATE(1970,1,1)</f>
        <v>40918.738935185182</v>
      </c>
      <c r="M117">
        <f>MONTH(Table1[[#This Row],[Date Created Conversion]])</f>
        <v>1</v>
      </c>
      <c r="N117">
        <f>YEAR(Table1[[#This Row],[Date Created Conversion]])</f>
        <v>2012</v>
      </c>
      <c r="O117" t="b">
        <v>0</v>
      </c>
      <c r="P117">
        <v>22</v>
      </c>
      <c r="Q117" t="b">
        <v>1</v>
      </c>
      <c r="R117" t="s">
        <v>8266</v>
      </c>
      <c r="S117" s="6">
        <f>Table1[[#This Row],[pledged]]/Table1[[#This Row],[goal]]</f>
        <v>1.4044444444444444</v>
      </c>
      <c r="T117" s="8">
        <f>IF(Table1[[#This Row],[pledged]]=0,"no backers",Table1[[#This Row],[pledged]]/Table1[[#This Row],[backers_count]])</f>
        <v>28.727272727272727</v>
      </c>
      <c r="U117" t="str">
        <f>LEFT(Table1[[#This Row],[Category and Sub-Category]],FIND("/",Table1[[#This Row],[Category and Sub-Category]])-1)</f>
        <v>film &amp; video</v>
      </c>
      <c r="V117" t="str">
        <f>RIGHT(Table1[[#This Row],[Category and Sub-Category]],LEN(Table1[[#This Row],[Category and Sub-Category]])-FIND("/",Table1[[#This Row],[Category and Sub-Category]]))</f>
        <v>shorts</v>
      </c>
    </row>
    <row r="118" spans="1:22" ht="43.2" x14ac:dyDescent="0.3">
      <c r="A118">
        <v>116</v>
      </c>
      <c r="B118" s="3" t="s">
        <v>118</v>
      </c>
      <c r="C118" s="3" t="s">
        <v>4227</v>
      </c>
      <c r="D118" s="12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>((Table1[[#This Row],[deadline]]/60)/60/24)+DATE(1970,1,1)</f>
        <v>40641.455497685187</v>
      </c>
      <c r="K118">
        <v>1298289355</v>
      </c>
      <c r="L118" s="11">
        <f>((Table1[[#This Row],[launched_at]]/60)/60/24)+DATE(1970,1,1)</f>
        <v>40595.497164351851</v>
      </c>
      <c r="M118">
        <f>MONTH(Table1[[#This Row],[Date Created Conversion]])</f>
        <v>2</v>
      </c>
      <c r="N118">
        <f>YEAR(Table1[[#This Row],[Date Created Conversion]])</f>
        <v>2011</v>
      </c>
      <c r="O118" t="b">
        <v>0</v>
      </c>
      <c r="P118">
        <v>57</v>
      </c>
      <c r="Q118" t="b">
        <v>1</v>
      </c>
      <c r="R118" t="s">
        <v>8266</v>
      </c>
      <c r="S118" s="6">
        <f>Table1[[#This Row],[pledged]]/Table1[[#This Row],[goal]]</f>
        <v>1.1365714285714286</v>
      </c>
      <c r="T118" s="8">
        <f>IF(Table1[[#This Row],[pledged]]=0,"no backers",Table1[[#This Row],[pledged]]/Table1[[#This Row],[backers_count]])</f>
        <v>69.78947368421052</v>
      </c>
      <c r="U118" t="str">
        <f>LEFT(Table1[[#This Row],[Category and Sub-Category]],FIND("/",Table1[[#This Row],[Category and Sub-Category]])-1)</f>
        <v>film &amp; video</v>
      </c>
      <c r="V118" t="str">
        <f>RIGHT(Table1[[#This Row],[Category and Sub-Category]],LEN(Table1[[#This Row],[Category and Sub-Category]])-FIND("/",Table1[[#This Row],[Category and Sub-Category]]))</f>
        <v>shorts</v>
      </c>
    </row>
    <row r="119" spans="1:22" ht="57.6" x14ac:dyDescent="0.3">
      <c r="A119">
        <v>117</v>
      </c>
      <c r="B119" s="3" t="s">
        <v>119</v>
      </c>
      <c r="C119" s="3" t="s">
        <v>4228</v>
      </c>
      <c r="D119" s="12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>((Table1[[#This Row],[deadline]]/60)/60/24)+DATE(1970,1,1)</f>
        <v>40338.791666666664</v>
      </c>
      <c r="K119">
        <v>1268337744</v>
      </c>
      <c r="L119" s="11">
        <f>((Table1[[#This Row],[launched_at]]/60)/60/24)+DATE(1970,1,1)</f>
        <v>40248.834999999999</v>
      </c>
      <c r="M119">
        <f>MONTH(Table1[[#This Row],[Date Created Conversion]])</f>
        <v>3</v>
      </c>
      <c r="N119">
        <f>YEAR(Table1[[#This Row],[Date Created Conversion]])</f>
        <v>2010</v>
      </c>
      <c r="O119" t="b">
        <v>0</v>
      </c>
      <c r="P119">
        <v>27</v>
      </c>
      <c r="Q119" t="b">
        <v>1</v>
      </c>
      <c r="R119" t="s">
        <v>8266</v>
      </c>
      <c r="S119" s="6">
        <f>Table1[[#This Row],[pledged]]/Table1[[#This Row],[goal]]</f>
        <v>1.0049377777777779</v>
      </c>
      <c r="T119" s="8">
        <f>IF(Table1[[#This Row],[pledged]]=0,"no backers",Table1[[#This Row],[pledged]]/Table1[[#This Row],[backers_count]])</f>
        <v>167.48962962962963</v>
      </c>
      <c r="U119" t="str">
        <f>LEFT(Table1[[#This Row],[Category and Sub-Category]],FIND("/",Table1[[#This Row],[Category and Sub-Category]])-1)</f>
        <v>film &amp; video</v>
      </c>
      <c r="V119" t="str">
        <f>RIGHT(Table1[[#This Row],[Category and Sub-Category]],LEN(Table1[[#This Row],[Category and Sub-Category]])-FIND("/",Table1[[#This Row],[Category and Sub-Category]]))</f>
        <v>shorts</v>
      </c>
    </row>
    <row r="120" spans="1:22" ht="28.8" x14ac:dyDescent="0.3">
      <c r="A120">
        <v>118</v>
      </c>
      <c r="B120" s="3" t="s">
        <v>120</v>
      </c>
      <c r="C120" s="3" t="s">
        <v>4229</v>
      </c>
      <c r="D120" s="12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>((Table1[[#This Row],[deadline]]/60)/60/24)+DATE(1970,1,1)</f>
        <v>40753.053657407407</v>
      </c>
      <c r="K120">
        <v>1309310236</v>
      </c>
      <c r="L120" s="11">
        <f>((Table1[[#This Row],[launched_at]]/60)/60/24)+DATE(1970,1,1)</f>
        <v>40723.053657407407</v>
      </c>
      <c r="M120">
        <f>MONTH(Table1[[#This Row],[Date Created Conversion]])</f>
        <v>6</v>
      </c>
      <c r="N120">
        <f>YEAR(Table1[[#This Row],[Date Created Conversion]])</f>
        <v>2011</v>
      </c>
      <c r="O120" t="b">
        <v>0</v>
      </c>
      <c r="P120">
        <v>39</v>
      </c>
      <c r="Q120" t="b">
        <v>1</v>
      </c>
      <c r="R120" t="s">
        <v>8266</v>
      </c>
      <c r="S120" s="6">
        <f>Table1[[#This Row],[pledged]]/Table1[[#This Row],[goal]]</f>
        <v>1.1303159999999999</v>
      </c>
      <c r="T120" s="8">
        <f>IF(Table1[[#This Row],[pledged]]=0,"no backers",Table1[[#This Row],[pledged]]/Table1[[#This Row],[backers_count]])</f>
        <v>144.91230769230768</v>
      </c>
      <c r="U120" t="str">
        <f>LEFT(Table1[[#This Row],[Category and Sub-Category]],FIND("/",Table1[[#This Row],[Category and Sub-Category]])-1)</f>
        <v>film &amp; video</v>
      </c>
      <c r="V120" t="str">
        <f>RIGHT(Table1[[#This Row],[Category and Sub-Category]],LEN(Table1[[#This Row],[Category and Sub-Category]])-FIND("/",Table1[[#This Row],[Category and Sub-Category]]))</f>
        <v>shorts</v>
      </c>
    </row>
    <row r="121" spans="1:22" ht="43.2" x14ac:dyDescent="0.3">
      <c r="A121">
        <v>119</v>
      </c>
      <c r="B121" s="3" t="s">
        <v>121</v>
      </c>
      <c r="C121" s="3" t="s">
        <v>4230</v>
      </c>
      <c r="D121" s="12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>((Table1[[#This Row],[deadline]]/60)/60/24)+DATE(1970,1,1)</f>
        <v>40768.958333333336</v>
      </c>
      <c r="K121">
        <v>1310693986</v>
      </c>
      <c r="L121" s="11">
        <f>((Table1[[#This Row],[launched_at]]/60)/60/24)+DATE(1970,1,1)</f>
        <v>40739.069282407407</v>
      </c>
      <c r="M121">
        <f>MONTH(Table1[[#This Row],[Date Created Conversion]])</f>
        <v>7</v>
      </c>
      <c r="N121">
        <f>YEAR(Table1[[#This Row],[Date Created Conversion]])</f>
        <v>2011</v>
      </c>
      <c r="O121" t="b">
        <v>0</v>
      </c>
      <c r="P121">
        <v>37</v>
      </c>
      <c r="Q121" t="b">
        <v>1</v>
      </c>
      <c r="R121" t="s">
        <v>8266</v>
      </c>
      <c r="S121" s="6">
        <f>Table1[[#This Row],[pledged]]/Table1[[#This Row],[goal]]</f>
        <v>1.0455692307692308</v>
      </c>
      <c r="T121" s="8">
        <f>IF(Table1[[#This Row],[pledged]]=0,"no backers",Table1[[#This Row],[pledged]]/Table1[[#This Row],[backers_count]])</f>
        <v>91.840540540540545</v>
      </c>
      <c r="U121" t="str">
        <f>LEFT(Table1[[#This Row],[Category and Sub-Category]],FIND("/",Table1[[#This Row],[Category and Sub-Category]])-1)</f>
        <v>film &amp; video</v>
      </c>
      <c r="V121" t="str">
        <f>RIGHT(Table1[[#This Row],[Category and Sub-Category]],LEN(Table1[[#This Row],[Category and Sub-Category]])-FIND("/",Table1[[#This Row],[Category and Sub-Category]]))</f>
        <v>shorts</v>
      </c>
    </row>
    <row r="122" spans="1:22" ht="57.6" x14ac:dyDescent="0.3">
      <c r="A122">
        <v>120</v>
      </c>
      <c r="B122" s="3" t="s">
        <v>122</v>
      </c>
      <c r="C122" s="3" t="s">
        <v>4231</v>
      </c>
      <c r="D122" s="1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>((Table1[[#This Row],[deadline]]/60)/60/24)+DATE(1970,1,1)</f>
        <v>42646.049849537041</v>
      </c>
      <c r="K122">
        <v>1472865107</v>
      </c>
      <c r="L122" s="11">
        <f>((Table1[[#This Row],[launched_at]]/60)/60/24)+DATE(1970,1,1)</f>
        <v>42616.049849537041</v>
      </c>
      <c r="M122">
        <f>MONTH(Table1[[#This Row],[Date Created Conversion]])</f>
        <v>9</v>
      </c>
      <c r="N122">
        <f>YEAR(Table1[[#This Row],[Date Created Conversion]])</f>
        <v>2016</v>
      </c>
      <c r="O122" t="b">
        <v>0</v>
      </c>
      <c r="P122">
        <v>1</v>
      </c>
      <c r="Q122" t="b">
        <v>0</v>
      </c>
      <c r="R122" t="s">
        <v>8267</v>
      </c>
      <c r="S122" s="6">
        <f>Table1[[#This Row],[pledged]]/Table1[[#This Row],[goal]]</f>
        <v>1.4285714285714287E-4</v>
      </c>
      <c r="T122" s="8">
        <f>IF(Table1[[#This Row],[pledged]]=0,"no backers",Table1[[#This Row],[pledged]]/Table1[[#This Row],[backers_count]])</f>
        <v>10</v>
      </c>
      <c r="U122" t="str">
        <f>LEFT(Table1[[#This Row],[Category and Sub-Category]],FIND("/",Table1[[#This Row],[Category and Sub-Category]])-1)</f>
        <v>film &amp; video</v>
      </c>
      <c r="V122" t="str">
        <f>RIGHT(Table1[[#This Row],[Category and Sub-Category]],LEN(Table1[[#This Row],[Category and Sub-Category]])-FIND("/",Table1[[#This Row],[Category and Sub-Category]]))</f>
        <v>science fiction</v>
      </c>
    </row>
    <row r="123" spans="1:22" ht="57.6" x14ac:dyDescent="0.3">
      <c r="A123">
        <v>121</v>
      </c>
      <c r="B123" s="3" t="s">
        <v>123</v>
      </c>
      <c r="C123" s="3" t="s">
        <v>4232</v>
      </c>
      <c r="D123" s="12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>((Table1[[#This Row],[deadline]]/60)/60/24)+DATE(1970,1,1)</f>
        <v>42112.427777777775</v>
      </c>
      <c r="K123">
        <v>1427993710</v>
      </c>
      <c r="L123" s="11">
        <f>((Table1[[#This Row],[launched_at]]/60)/60/24)+DATE(1970,1,1)</f>
        <v>42096.704976851848</v>
      </c>
      <c r="M123">
        <f>MONTH(Table1[[#This Row],[Date Created Conversion]])</f>
        <v>4</v>
      </c>
      <c r="N123">
        <f>YEAR(Table1[[#This Row],[Date Created Conversion]])</f>
        <v>2015</v>
      </c>
      <c r="O123" t="b">
        <v>0</v>
      </c>
      <c r="P123">
        <v>1</v>
      </c>
      <c r="Q123" t="b">
        <v>0</v>
      </c>
      <c r="R123" t="s">
        <v>8267</v>
      </c>
      <c r="S123" s="6">
        <f>Table1[[#This Row],[pledged]]/Table1[[#This Row],[goal]]</f>
        <v>3.3333333333333332E-4</v>
      </c>
      <c r="T123" s="8">
        <f>IF(Table1[[#This Row],[pledged]]=0,"no backers",Table1[[#This Row],[pledged]]/Table1[[#This Row],[backers_count]])</f>
        <v>1</v>
      </c>
      <c r="U123" t="str">
        <f>LEFT(Table1[[#This Row],[Category and Sub-Category]],FIND("/",Table1[[#This Row],[Category and Sub-Category]])-1)</f>
        <v>film &amp; video</v>
      </c>
      <c r="V123" t="str">
        <f>RIGHT(Table1[[#This Row],[Category and Sub-Category]],LEN(Table1[[#This Row],[Category and Sub-Category]])-FIND("/",Table1[[#This Row],[Category and Sub-Category]]))</f>
        <v>science fiction</v>
      </c>
    </row>
    <row r="124" spans="1:22" ht="28.8" x14ac:dyDescent="0.3">
      <c r="A124">
        <v>122</v>
      </c>
      <c r="B124" s="3" t="s">
        <v>124</v>
      </c>
      <c r="C124" s="3" t="s">
        <v>4233</v>
      </c>
      <c r="D124" s="12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>((Table1[[#This Row],[deadline]]/60)/60/24)+DATE(1970,1,1)</f>
        <v>42653.431793981479</v>
      </c>
      <c r="K124">
        <v>1470910907</v>
      </c>
      <c r="L124" s="11">
        <f>((Table1[[#This Row],[launched_at]]/60)/60/24)+DATE(1970,1,1)</f>
        <v>42593.431793981479</v>
      </c>
      <c r="M124">
        <f>MONTH(Table1[[#This Row],[Date Created Conversion]])</f>
        <v>8</v>
      </c>
      <c r="N124">
        <f>YEAR(Table1[[#This Row],[Date Created Conversion]])</f>
        <v>2016</v>
      </c>
      <c r="O124" t="b">
        <v>0</v>
      </c>
      <c r="P124">
        <v>0</v>
      </c>
      <c r="Q124" t="b">
        <v>0</v>
      </c>
      <c r="R124" t="s">
        <v>8267</v>
      </c>
      <c r="S124" s="6">
        <f>Table1[[#This Row],[pledged]]/Table1[[#This Row],[goal]]</f>
        <v>0</v>
      </c>
      <c r="T124" s="8" t="str">
        <f>IF(Table1[[#This Row],[pledged]]=0,"no backers",Table1[[#This Row],[pledged]]/Table1[[#This Row],[backers_count]])</f>
        <v>no backers</v>
      </c>
      <c r="U124" t="str">
        <f>LEFT(Table1[[#This Row],[Category and Sub-Category]],FIND("/",Table1[[#This Row],[Category and Sub-Category]])-1)</f>
        <v>film &amp; video</v>
      </c>
      <c r="V124" t="str">
        <f>RIGHT(Table1[[#This Row],[Category and Sub-Category]],LEN(Table1[[#This Row],[Category and Sub-Category]])-FIND("/",Table1[[#This Row],[Category and Sub-Category]]))</f>
        <v>science fiction</v>
      </c>
    </row>
    <row r="125" spans="1:22" ht="43.2" x14ac:dyDescent="0.3">
      <c r="A125">
        <v>123</v>
      </c>
      <c r="B125" s="3" t="s">
        <v>125</v>
      </c>
      <c r="C125" s="3" t="s">
        <v>4234</v>
      </c>
      <c r="D125" s="12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>((Table1[[#This Row],[deadline]]/60)/60/24)+DATE(1970,1,1)</f>
        <v>41940.916666666664</v>
      </c>
      <c r="K125">
        <v>1411411564</v>
      </c>
      <c r="L125" s="11">
        <f>((Table1[[#This Row],[launched_at]]/60)/60/24)+DATE(1970,1,1)</f>
        <v>41904.781990740739</v>
      </c>
      <c r="M125">
        <f>MONTH(Table1[[#This Row],[Date Created Conversion]])</f>
        <v>9</v>
      </c>
      <c r="N125">
        <f>YEAR(Table1[[#This Row],[Date Created Conversion]])</f>
        <v>2014</v>
      </c>
      <c r="O125" t="b">
        <v>0</v>
      </c>
      <c r="P125">
        <v>6</v>
      </c>
      <c r="Q125" t="b">
        <v>0</v>
      </c>
      <c r="R125" t="s">
        <v>8267</v>
      </c>
      <c r="S125" s="6">
        <f>Table1[[#This Row],[pledged]]/Table1[[#This Row],[goal]]</f>
        <v>2.7454545454545453E-3</v>
      </c>
      <c r="T125" s="8">
        <f>IF(Table1[[#This Row],[pledged]]=0,"no backers",Table1[[#This Row],[pledged]]/Table1[[#This Row],[backers_count]])</f>
        <v>25.166666666666668</v>
      </c>
      <c r="U125" t="str">
        <f>LEFT(Table1[[#This Row],[Category and Sub-Category]],FIND("/",Table1[[#This Row],[Category and Sub-Category]])-1)</f>
        <v>film &amp; video</v>
      </c>
      <c r="V125" t="str">
        <f>RIGHT(Table1[[#This Row],[Category and Sub-Category]],LEN(Table1[[#This Row],[Category and Sub-Category]])-FIND("/",Table1[[#This Row],[Category and Sub-Category]]))</f>
        <v>science fiction</v>
      </c>
    </row>
    <row r="126" spans="1:22" ht="43.2" x14ac:dyDescent="0.3">
      <c r="A126">
        <v>124</v>
      </c>
      <c r="B126" s="3" t="s">
        <v>126</v>
      </c>
      <c r="C126" s="3" t="s">
        <v>4235</v>
      </c>
      <c r="D126" s="12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>((Table1[[#This Row],[deadline]]/60)/60/24)+DATE(1970,1,1)</f>
        <v>42139.928726851853</v>
      </c>
      <c r="K126">
        <v>1429568242</v>
      </c>
      <c r="L126" s="11">
        <f>((Table1[[#This Row],[launched_at]]/60)/60/24)+DATE(1970,1,1)</f>
        <v>42114.928726851853</v>
      </c>
      <c r="M126">
        <f>MONTH(Table1[[#This Row],[Date Created Conversion]])</f>
        <v>4</v>
      </c>
      <c r="N126">
        <f>YEAR(Table1[[#This Row],[Date Created Conversion]])</f>
        <v>2015</v>
      </c>
      <c r="O126" t="b">
        <v>0</v>
      </c>
      <c r="P126">
        <v>0</v>
      </c>
      <c r="Q126" t="b">
        <v>0</v>
      </c>
      <c r="R126" t="s">
        <v>8267</v>
      </c>
      <c r="S126" s="6">
        <f>Table1[[#This Row],[pledged]]/Table1[[#This Row],[goal]]</f>
        <v>0</v>
      </c>
      <c r="T126" s="8" t="str">
        <f>IF(Table1[[#This Row],[pledged]]=0,"no backers",Table1[[#This Row],[pledged]]/Table1[[#This Row],[backers_count]])</f>
        <v>no backers</v>
      </c>
      <c r="U126" t="str">
        <f>LEFT(Table1[[#This Row],[Category and Sub-Category]],FIND("/",Table1[[#This Row],[Category and Sub-Category]])-1)</f>
        <v>film &amp; video</v>
      </c>
      <c r="V126" t="str">
        <f>RIGHT(Table1[[#This Row],[Category and Sub-Category]],LEN(Table1[[#This Row],[Category and Sub-Category]])-FIND("/",Table1[[#This Row],[Category and Sub-Category]]))</f>
        <v>science fiction</v>
      </c>
    </row>
    <row r="127" spans="1:22" ht="43.2" x14ac:dyDescent="0.3">
      <c r="A127">
        <v>125</v>
      </c>
      <c r="B127" s="3" t="s">
        <v>127</v>
      </c>
      <c r="C127" s="3" t="s">
        <v>4236</v>
      </c>
      <c r="D127" s="12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>((Table1[[#This Row],[deadline]]/60)/60/24)+DATE(1970,1,1)</f>
        <v>42769.993981481486</v>
      </c>
      <c r="K127">
        <v>1480981880</v>
      </c>
      <c r="L127" s="11">
        <f>((Table1[[#This Row],[launched_at]]/60)/60/24)+DATE(1970,1,1)</f>
        <v>42709.993981481486</v>
      </c>
      <c r="M127">
        <f>MONTH(Table1[[#This Row],[Date Created Conversion]])</f>
        <v>12</v>
      </c>
      <c r="N127">
        <f>YEAR(Table1[[#This Row],[Date Created Conversion]])</f>
        <v>2016</v>
      </c>
      <c r="O127" t="b">
        <v>0</v>
      </c>
      <c r="P127">
        <v>6</v>
      </c>
      <c r="Q127" t="b">
        <v>0</v>
      </c>
      <c r="R127" t="s">
        <v>8267</v>
      </c>
      <c r="S127" s="6">
        <f>Table1[[#This Row],[pledged]]/Table1[[#This Row],[goal]]</f>
        <v>0.14000000000000001</v>
      </c>
      <c r="T127" s="8">
        <f>IF(Table1[[#This Row],[pledged]]=0,"no backers",Table1[[#This Row],[pledged]]/Table1[[#This Row],[backers_count]])</f>
        <v>11.666666666666666</v>
      </c>
      <c r="U127" t="str">
        <f>LEFT(Table1[[#This Row],[Category and Sub-Category]],FIND("/",Table1[[#This Row],[Category and Sub-Category]])-1)</f>
        <v>film &amp; video</v>
      </c>
      <c r="V127" t="str">
        <f>RIGHT(Table1[[#This Row],[Category and Sub-Category]],LEN(Table1[[#This Row],[Category and Sub-Category]])-FIND("/",Table1[[#This Row],[Category and Sub-Category]]))</f>
        <v>science fiction</v>
      </c>
    </row>
    <row r="128" spans="1:22" ht="43.2" x14ac:dyDescent="0.3">
      <c r="A128">
        <v>126</v>
      </c>
      <c r="B128" s="3" t="s">
        <v>128</v>
      </c>
      <c r="C128" s="3" t="s">
        <v>4237</v>
      </c>
      <c r="D128" s="12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>((Table1[[#This Row],[deadline]]/60)/60/24)+DATE(1970,1,1)</f>
        <v>42166.083333333328</v>
      </c>
      <c r="K128">
        <v>1431353337</v>
      </c>
      <c r="L128" s="11">
        <f>((Table1[[#This Row],[launched_at]]/60)/60/24)+DATE(1970,1,1)</f>
        <v>42135.589548611111</v>
      </c>
      <c r="M128">
        <f>MONTH(Table1[[#This Row],[Date Created Conversion]])</f>
        <v>5</v>
      </c>
      <c r="N128">
        <f>YEAR(Table1[[#This Row],[Date Created Conversion]])</f>
        <v>2015</v>
      </c>
      <c r="O128" t="b">
        <v>0</v>
      </c>
      <c r="P128">
        <v>13</v>
      </c>
      <c r="Q128" t="b">
        <v>0</v>
      </c>
      <c r="R128" t="s">
        <v>8267</v>
      </c>
      <c r="S128" s="6">
        <f>Table1[[#This Row],[pledged]]/Table1[[#This Row],[goal]]</f>
        <v>5.5480000000000002E-2</v>
      </c>
      <c r="T128" s="8">
        <f>IF(Table1[[#This Row],[pledged]]=0,"no backers",Table1[[#This Row],[pledged]]/Table1[[#This Row],[backers_count]])</f>
        <v>106.69230769230769</v>
      </c>
      <c r="U128" t="str">
        <f>LEFT(Table1[[#This Row],[Category and Sub-Category]],FIND("/",Table1[[#This Row],[Category and Sub-Category]])-1)</f>
        <v>film &amp; video</v>
      </c>
      <c r="V128" t="str">
        <f>RIGHT(Table1[[#This Row],[Category and Sub-Category]],LEN(Table1[[#This Row],[Category and Sub-Category]])-FIND("/",Table1[[#This Row],[Category and Sub-Category]]))</f>
        <v>science fiction</v>
      </c>
    </row>
    <row r="129" spans="1:22" ht="43.2" x14ac:dyDescent="0.3">
      <c r="A129">
        <v>127</v>
      </c>
      <c r="B129" s="3" t="s">
        <v>129</v>
      </c>
      <c r="C129" s="3" t="s">
        <v>4238</v>
      </c>
      <c r="D129" s="12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>((Table1[[#This Row],[deadline]]/60)/60/24)+DATE(1970,1,1)</f>
        <v>42097.582650462966</v>
      </c>
      <c r="K129">
        <v>1425481141</v>
      </c>
      <c r="L129" s="11">
        <f>((Table1[[#This Row],[launched_at]]/60)/60/24)+DATE(1970,1,1)</f>
        <v>42067.62431712963</v>
      </c>
      <c r="M129">
        <f>MONTH(Table1[[#This Row],[Date Created Conversion]])</f>
        <v>3</v>
      </c>
      <c r="N129">
        <f>YEAR(Table1[[#This Row],[Date Created Conversion]])</f>
        <v>2015</v>
      </c>
      <c r="O129" t="b">
        <v>0</v>
      </c>
      <c r="P129">
        <v>4</v>
      </c>
      <c r="Q129" t="b">
        <v>0</v>
      </c>
      <c r="R129" t="s">
        <v>8267</v>
      </c>
      <c r="S129" s="6">
        <f>Table1[[#This Row],[pledged]]/Table1[[#This Row],[goal]]</f>
        <v>2.375E-2</v>
      </c>
      <c r="T129" s="8">
        <f>IF(Table1[[#This Row],[pledged]]=0,"no backers",Table1[[#This Row],[pledged]]/Table1[[#This Row],[backers_count]])</f>
        <v>47.5</v>
      </c>
      <c r="U129" t="str">
        <f>LEFT(Table1[[#This Row],[Category and Sub-Category]],FIND("/",Table1[[#This Row],[Category and Sub-Category]])-1)</f>
        <v>film &amp; video</v>
      </c>
      <c r="V129" t="str">
        <f>RIGHT(Table1[[#This Row],[Category and Sub-Category]],LEN(Table1[[#This Row],[Category and Sub-Category]])-FIND("/",Table1[[#This Row],[Category and Sub-Category]]))</f>
        <v>science fiction</v>
      </c>
    </row>
    <row r="130" spans="1:22" ht="28.8" x14ac:dyDescent="0.3">
      <c r="A130">
        <v>128</v>
      </c>
      <c r="B130" s="3" t="s">
        <v>130</v>
      </c>
      <c r="C130" s="3" t="s">
        <v>4239</v>
      </c>
      <c r="D130" s="12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>((Table1[[#This Row],[deadline]]/60)/60/24)+DATE(1970,1,1)</f>
        <v>42663.22792824074</v>
      </c>
      <c r="K130">
        <v>1473917293</v>
      </c>
      <c r="L130" s="11">
        <f>((Table1[[#This Row],[launched_at]]/60)/60/24)+DATE(1970,1,1)</f>
        <v>42628.22792824074</v>
      </c>
      <c r="M130">
        <f>MONTH(Table1[[#This Row],[Date Created Conversion]])</f>
        <v>9</v>
      </c>
      <c r="N130">
        <f>YEAR(Table1[[#This Row],[Date Created Conversion]])</f>
        <v>2016</v>
      </c>
      <c r="O130" t="b">
        <v>0</v>
      </c>
      <c r="P130">
        <v>6</v>
      </c>
      <c r="Q130" t="b">
        <v>0</v>
      </c>
      <c r="R130" t="s">
        <v>8267</v>
      </c>
      <c r="S130" s="6">
        <f>Table1[[#This Row],[pledged]]/Table1[[#This Row],[goal]]</f>
        <v>1.8669999999999999E-2</v>
      </c>
      <c r="T130" s="8">
        <f>IF(Table1[[#This Row],[pledged]]=0,"no backers",Table1[[#This Row],[pledged]]/Table1[[#This Row],[backers_count]])</f>
        <v>311.16666666666669</v>
      </c>
      <c r="U130" t="str">
        <f>LEFT(Table1[[#This Row],[Category and Sub-Category]],FIND("/",Table1[[#This Row],[Category and Sub-Category]])-1)</f>
        <v>film &amp; video</v>
      </c>
      <c r="V130" t="str">
        <f>RIGHT(Table1[[#This Row],[Category and Sub-Category]],LEN(Table1[[#This Row],[Category and Sub-Category]])-FIND("/",Table1[[#This Row],[Category and Sub-Category]]))</f>
        <v>science fiction</v>
      </c>
    </row>
    <row r="131" spans="1:22" ht="57.6" x14ac:dyDescent="0.3">
      <c r="A131">
        <v>129</v>
      </c>
      <c r="B131" s="3" t="s">
        <v>131</v>
      </c>
      <c r="C131" s="3" t="s">
        <v>4240</v>
      </c>
      <c r="D131" s="12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>((Table1[[#This Row],[deadline]]/60)/60/24)+DATE(1970,1,1)</f>
        <v>41942.937303240738</v>
      </c>
      <c r="K131">
        <v>1409524183</v>
      </c>
      <c r="L131" s="11">
        <f>((Table1[[#This Row],[launched_at]]/60)/60/24)+DATE(1970,1,1)</f>
        <v>41882.937303240738</v>
      </c>
      <c r="M131">
        <f>MONTH(Table1[[#This Row],[Date Created Conversion]])</f>
        <v>8</v>
      </c>
      <c r="N131">
        <f>YEAR(Table1[[#This Row],[Date Created Conversion]])</f>
        <v>2014</v>
      </c>
      <c r="O131" t="b">
        <v>0</v>
      </c>
      <c r="P131">
        <v>0</v>
      </c>
      <c r="Q131" t="b">
        <v>0</v>
      </c>
      <c r="R131" t="s">
        <v>8267</v>
      </c>
      <c r="S131" s="6">
        <f>Table1[[#This Row],[pledged]]/Table1[[#This Row],[goal]]</f>
        <v>0</v>
      </c>
      <c r="T131" s="8" t="str">
        <f>IF(Table1[[#This Row],[pledged]]=0,"no backers",Table1[[#This Row],[pledged]]/Table1[[#This Row],[backers_count]])</f>
        <v>no backers</v>
      </c>
      <c r="U131" t="str">
        <f>LEFT(Table1[[#This Row],[Category and Sub-Category]],FIND("/",Table1[[#This Row],[Category and Sub-Category]])-1)</f>
        <v>film &amp; video</v>
      </c>
      <c r="V131" t="str">
        <f>RIGHT(Table1[[#This Row],[Category and Sub-Category]],LEN(Table1[[#This Row],[Category and Sub-Category]])-FIND("/",Table1[[#This Row],[Category and Sub-Category]]))</f>
        <v>science fiction</v>
      </c>
    </row>
    <row r="132" spans="1:22" ht="43.2" x14ac:dyDescent="0.3">
      <c r="A132">
        <v>130</v>
      </c>
      <c r="B132" s="3" t="s">
        <v>132</v>
      </c>
      <c r="C132" s="3" t="s">
        <v>4241</v>
      </c>
      <c r="D132" s="1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>((Table1[[#This Row],[deadline]]/60)/60/24)+DATE(1970,1,1)</f>
        <v>41806.844444444447</v>
      </c>
      <c r="K132">
        <v>1400536692</v>
      </c>
      <c r="L132" s="11">
        <f>((Table1[[#This Row],[launched_at]]/60)/60/24)+DATE(1970,1,1)</f>
        <v>41778.915416666663</v>
      </c>
      <c r="M132">
        <f>MONTH(Table1[[#This Row],[Date Created Conversion]])</f>
        <v>5</v>
      </c>
      <c r="N132">
        <f>YEAR(Table1[[#This Row],[Date Created Conversion]])</f>
        <v>2014</v>
      </c>
      <c r="O132" t="b">
        <v>0</v>
      </c>
      <c r="P132">
        <v>0</v>
      </c>
      <c r="Q132" t="b">
        <v>0</v>
      </c>
      <c r="R132" t="s">
        <v>8267</v>
      </c>
      <c r="S132" s="6">
        <f>Table1[[#This Row],[pledged]]/Table1[[#This Row],[goal]]</f>
        <v>0</v>
      </c>
      <c r="T132" s="8" t="str">
        <f>IF(Table1[[#This Row],[pledged]]=0,"no backers",Table1[[#This Row],[pledged]]/Table1[[#This Row],[backers_count]])</f>
        <v>no backers</v>
      </c>
      <c r="U132" t="str">
        <f>LEFT(Table1[[#This Row],[Category and Sub-Category]],FIND("/",Table1[[#This Row],[Category and Sub-Category]])-1)</f>
        <v>film &amp; video</v>
      </c>
      <c r="V132" t="str">
        <f>RIGHT(Table1[[#This Row],[Category and Sub-Category]],LEN(Table1[[#This Row],[Category and Sub-Category]])-FIND("/",Table1[[#This Row],[Category and Sub-Category]]))</f>
        <v>science fiction</v>
      </c>
    </row>
    <row r="133" spans="1:22" x14ac:dyDescent="0.3">
      <c r="A133">
        <v>131</v>
      </c>
      <c r="B133" s="3" t="s">
        <v>133</v>
      </c>
      <c r="C133" s="3" t="s">
        <v>4242</v>
      </c>
      <c r="D133" s="12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>((Table1[[#This Row],[deadline]]/60)/60/24)+DATE(1970,1,1)</f>
        <v>42557</v>
      </c>
      <c r="K133">
        <v>1466453161</v>
      </c>
      <c r="L133" s="11">
        <f>((Table1[[#This Row],[launched_at]]/60)/60/24)+DATE(1970,1,1)</f>
        <v>42541.837511574078</v>
      </c>
      <c r="M133">
        <f>MONTH(Table1[[#This Row],[Date Created Conversion]])</f>
        <v>6</v>
      </c>
      <c r="N133">
        <f>YEAR(Table1[[#This Row],[Date Created Conversion]])</f>
        <v>2016</v>
      </c>
      <c r="O133" t="b">
        <v>0</v>
      </c>
      <c r="P133">
        <v>0</v>
      </c>
      <c r="Q133" t="b">
        <v>0</v>
      </c>
      <c r="R133" t="s">
        <v>8267</v>
      </c>
      <c r="S133" s="6">
        <f>Table1[[#This Row],[pledged]]/Table1[[#This Row],[goal]]</f>
        <v>0</v>
      </c>
      <c r="T133" s="8" t="str">
        <f>IF(Table1[[#This Row],[pledged]]=0,"no backers",Table1[[#This Row],[pledged]]/Table1[[#This Row],[backers_count]])</f>
        <v>no backers</v>
      </c>
      <c r="U133" t="str">
        <f>LEFT(Table1[[#This Row],[Category and Sub-Category]],FIND("/",Table1[[#This Row],[Category and Sub-Category]])-1)</f>
        <v>film &amp; video</v>
      </c>
      <c r="V133" t="str">
        <f>RIGHT(Table1[[#This Row],[Category and Sub-Category]],LEN(Table1[[#This Row],[Category and Sub-Category]])-FIND("/",Table1[[#This Row],[Category and Sub-Category]]))</f>
        <v>science fiction</v>
      </c>
    </row>
    <row r="134" spans="1:22" ht="43.2" x14ac:dyDescent="0.3">
      <c r="A134">
        <v>132</v>
      </c>
      <c r="B134" s="3" t="s">
        <v>134</v>
      </c>
      <c r="C134" s="3" t="s">
        <v>4243</v>
      </c>
      <c r="D134" s="12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>((Table1[[#This Row],[deadline]]/60)/60/24)+DATE(1970,1,1)</f>
        <v>41950.854247685187</v>
      </c>
      <c r="K134">
        <v>1411500607</v>
      </c>
      <c r="L134" s="11">
        <f>((Table1[[#This Row],[launched_at]]/60)/60/24)+DATE(1970,1,1)</f>
        <v>41905.812581018516</v>
      </c>
      <c r="M134">
        <f>MONTH(Table1[[#This Row],[Date Created Conversion]])</f>
        <v>9</v>
      </c>
      <c r="N134">
        <f>YEAR(Table1[[#This Row],[Date Created Conversion]])</f>
        <v>2014</v>
      </c>
      <c r="O134" t="b">
        <v>0</v>
      </c>
      <c r="P134">
        <v>81</v>
      </c>
      <c r="Q134" t="b">
        <v>0</v>
      </c>
      <c r="R134" t="s">
        <v>8267</v>
      </c>
      <c r="S134" s="6">
        <f>Table1[[#This Row],[pledged]]/Table1[[#This Row],[goal]]</f>
        <v>9.5687499999999995E-2</v>
      </c>
      <c r="T134" s="8">
        <f>IF(Table1[[#This Row],[pledged]]=0,"no backers",Table1[[#This Row],[pledged]]/Table1[[#This Row],[backers_count]])</f>
        <v>94.506172839506178</v>
      </c>
      <c r="U134" t="str">
        <f>LEFT(Table1[[#This Row],[Category and Sub-Category]],FIND("/",Table1[[#This Row],[Category and Sub-Category]])-1)</f>
        <v>film &amp; video</v>
      </c>
      <c r="V134" t="str">
        <f>RIGHT(Table1[[#This Row],[Category and Sub-Category]],LEN(Table1[[#This Row],[Category and Sub-Category]])-FIND("/",Table1[[#This Row],[Category and Sub-Category]]))</f>
        <v>science fiction</v>
      </c>
    </row>
    <row r="135" spans="1:22" ht="28.8" x14ac:dyDescent="0.3">
      <c r="A135">
        <v>133</v>
      </c>
      <c r="B135" s="3" t="s">
        <v>135</v>
      </c>
      <c r="C135" s="3" t="s">
        <v>4244</v>
      </c>
      <c r="D135" s="12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>((Table1[[#This Row],[deadline]]/60)/60/24)+DATE(1970,1,1)</f>
        <v>42521.729861111111</v>
      </c>
      <c r="K135">
        <v>1462130584</v>
      </c>
      <c r="L135" s="11">
        <f>((Table1[[#This Row],[launched_at]]/60)/60/24)+DATE(1970,1,1)</f>
        <v>42491.80768518518</v>
      </c>
      <c r="M135">
        <f>MONTH(Table1[[#This Row],[Date Created Conversion]])</f>
        <v>5</v>
      </c>
      <c r="N135">
        <f>YEAR(Table1[[#This Row],[Date Created Conversion]])</f>
        <v>2016</v>
      </c>
      <c r="O135" t="b">
        <v>0</v>
      </c>
      <c r="P135">
        <v>0</v>
      </c>
      <c r="Q135" t="b">
        <v>0</v>
      </c>
      <c r="R135" t="s">
        <v>8267</v>
      </c>
      <c r="S135" s="6">
        <f>Table1[[#This Row],[pledged]]/Table1[[#This Row],[goal]]</f>
        <v>0</v>
      </c>
      <c r="T135" s="8" t="str">
        <f>IF(Table1[[#This Row],[pledged]]=0,"no backers",Table1[[#This Row],[pledged]]/Table1[[#This Row],[backers_count]])</f>
        <v>no backers</v>
      </c>
      <c r="U135" t="str">
        <f>LEFT(Table1[[#This Row],[Category and Sub-Category]],FIND("/",Table1[[#This Row],[Category and Sub-Category]])-1)</f>
        <v>film &amp; video</v>
      </c>
      <c r="V135" t="str">
        <f>RIGHT(Table1[[#This Row],[Category and Sub-Category]],LEN(Table1[[#This Row],[Category and Sub-Category]])-FIND("/",Table1[[#This Row],[Category and Sub-Category]]))</f>
        <v>science fiction</v>
      </c>
    </row>
    <row r="136" spans="1:22" ht="28.8" x14ac:dyDescent="0.3">
      <c r="A136">
        <v>134</v>
      </c>
      <c r="B136" s="3" t="s">
        <v>136</v>
      </c>
      <c r="C136" s="3" t="s">
        <v>4245</v>
      </c>
      <c r="D136" s="12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>((Table1[[#This Row],[deadline]]/60)/60/24)+DATE(1970,1,1)</f>
        <v>42251.708333333328</v>
      </c>
      <c r="K136">
        <v>1438811418</v>
      </c>
      <c r="L136" s="11">
        <f>((Table1[[#This Row],[launched_at]]/60)/60/24)+DATE(1970,1,1)</f>
        <v>42221.909930555557</v>
      </c>
      <c r="M136">
        <f>MONTH(Table1[[#This Row],[Date Created Conversion]])</f>
        <v>8</v>
      </c>
      <c r="N136">
        <f>YEAR(Table1[[#This Row],[Date Created Conversion]])</f>
        <v>2015</v>
      </c>
      <c r="O136" t="b">
        <v>0</v>
      </c>
      <c r="P136">
        <v>0</v>
      </c>
      <c r="Q136" t="b">
        <v>0</v>
      </c>
      <c r="R136" t="s">
        <v>8267</v>
      </c>
      <c r="S136" s="6">
        <f>Table1[[#This Row],[pledged]]/Table1[[#This Row],[goal]]</f>
        <v>0</v>
      </c>
      <c r="T136" s="8" t="str">
        <f>IF(Table1[[#This Row],[pledged]]=0,"no backers",Table1[[#This Row],[pledged]]/Table1[[#This Row],[backers_count]])</f>
        <v>no backers</v>
      </c>
      <c r="U136" t="str">
        <f>LEFT(Table1[[#This Row],[Category and Sub-Category]],FIND("/",Table1[[#This Row],[Category and Sub-Category]])-1)</f>
        <v>film &amp; video</v>
      </c>
      <c r="V136" t="str">
        <f>RIGHT(Table1[[#This Row],[Category and Sub-Category]],LEN(Table1[[#This Row],[Category and Sub-Category]])-FIND("/",Table1[[#This Row],[Category and Sub-Category]]))</f>
        <v>science fiction</v>
      </c>
    </row>
    <row r="137" spans="1:22" ht="43.2" x14ac:dyDescent="0.3">
      <c r="A137">
        <v>135</v>
      </c>
      <c r="B137" s="3" t="s">
        <v>137</v>
      </c>
      <c r="C137" s="3" t="s">
        <v>4246</v>
      </c>
      <c r="D137" s="12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>((Table1[[#This Row],[deadline]]/60)/60/24)+DATE(1970,1,1)</f>
        <v>41821.791666666664</v>
      </c>
      <c r="K137">
        <v>1401354597</v>
      </c>
      <c r="L137" s="11">
        <f>((Table1[[#This Row],[launched_at]]/60)/60/24)+DATE(1970,1,1)</f>
        <v>41788.381909722222</v>
      </c>
      <c r="M137">
        <f>MONTH(Table1[[#This Row],[Date Created Conversion]])</f>
        <v>5</v>
      </c>
      <c r="N137">
        <f>YEAR(Table1[[#This Row],[Date Created Conversion]])</f>
        <v>2014</v>
      </c>
      <c r="O137" t="b">
        <v>0</v>
      </c>
      <c r="P137">
        <v>5</v>
      </c>
      <c r="Q137" t="b">
        <v>0</v>
      </c>
      <c r="R137" t="s">
        <v>8267</v>
      </c>
      <c r="S137" s="6">
        <f>Table1[[#This Row],[pledged]]/Table1[[#This Row],[goal]]</f>
        <v>0.13433333333333333</v>
      </c>
      <c r="T137" s="8">
        <f>IF(Table1[[#This Row],[pledged]]=0,"no backers",Table1[[#This Row],[pledged]]/Table1[[#This Row],[backers_count]])</f>
        <v>80.599999999999994</v>
      </c>
      <c r="U137" t="str">
        <f>LEFT(Table1[[#This Row],[Category and Sub-Category]],FIND("/",Table1[[#This Row],[Category and Sub-Category]])-1)</f>
        <v>film &amp; video</v>
      </c>
      <c r="V137" t="str">
        <f>RIGHT(Table1[[#This Row],[Category and Sub-Category]],LEN(Table1[[#This Row],[Category and Sub-Category]])-FIND("/",Table1[[#This Row],[Category and Sub-Category]]))</f>
        <v>science fiction</v>
      </c>
    </row>
    <row r="138" spans="1:22" ht="57.6" x14ac:dyDescent="0.3">
      <c r="A138">
        <v>136</v>
      </c>
      <c r="B138" s="3" t="s">
        <v>138</v>
      </c>
      <c r="C138" s="3" t="s">
        <v>4232</v>
      </c>
      <c r="D138" s="12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>((Table1[[#This Row],[deadline]]/60)/60/24)+DATE(1970,1,1)</f>
        <v>42140.427777777775</v>
      </c>
      <c r="K138">
        <v>1427968234</v>
      </c>
      <c r="L138" s="11">
        <f>((Table1[[#This Row],[launched_at]]/60)/60/24)+DATE(1970,1,1)</f>
        <v>42096.410115740742</v>
      </c>
      <c r="M138">
        <f>MONTH(Table1[[#This Row],[Date Created Conversion]])</f>
        <v>4</v>
      </c>
      <c r="N138">
        <f>YEAR(Table1[[#This Row],[Date Created Conversion]])</f>
        <v>2015</v>
      </c>
      <c r="O138" t="b">
        <v>0</v>
      </c>
      <c r="P138">
        <v>0</v>
      </c>
      <c r="Q138" t="b">
        <v>0</v>
      </c>
      <c r="R138" t="s">
        <v>8267</v>
      </c>
      <c r="S138" s="6">
        <f>Table1[[#This Row],[pledged]]/Table1[[#This Row],[goal]]</f>
        <v>0</v>
      </c>
      <c r="T138" s="8" t="str">
        <f>IF(Table1[[#This Row],[pledged]]=0,"no backers",Table1[[#This Row],[pledged]]/Table1[[#This Row],[backers_count]])</f>
        <v>no backers</v>
      </c>
      <c r="U138" t="str">
        <f>LEFT(Table1[[#This Row],[Category and Sub-Category]],FIND("/",Table1[[#This Row],[Category and Sub-Category]])-1)</f>
        <v>film &amp; video</v>
      </c>
      <c r="V138" t="str">
        <f>RIGHT(Table1[[#This Row],[Category and Sub-Category]],LEN(Table1[[#This Row],[Category and Sub-Category]])-FIND("/",Table1[[#This Row],[Category and Sub-Category]]))</f>
        <v>science fiction</v>
      </c>
    </row>
    <row r="139" spans="1:22" ht="43.2" x14ac:dyDescent="0.3">
      <c r="A139">
        <v>137</v>
      </c>
      <c r="B139" s="3" t="s">
        <v>139</v>
      </c>
      <c r="C139" s="3" t="s">
        <v>4247</v>
      </c>
      <c r="D139" s="12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>((Table1[[#This Row],[deadline]]/60)/60/24)+DATE(1970,1,1)</f>
        <v>42289.573993055557</v>
      </c>
      <c r="K139">
        <v>1440337593</v>
      </c>
      <c r="L139" s="11">
        <f>((Table1[[#This Row],[launched_at]]/60)/60/24)+DATE(1970,1,1)</f>
        <v>42239.573993055557</v>
      </c>
      <c r="M139">
        <f>MONTH(Table1[[#This Row],[Date Created Conversion]])</f>
        <v>8</v>
      </c>
      <c r="N139">
        <f>YEAR(Table1[[#This Row],[Date Created Conversion]])</f>
        <v>2015</v>
      </c>
      <c r="O139" t="b">
        <v>0</v>
      </c>
      <c r="P139">
        <v>0</v>
      </c>
      <c r="Q139" t="b">
        <v>0</v>
      </c>
      <c r="R139" t="s">
        <v>8267</v>
      </c>
      <c r="S139" s="6">
        <f>Table1[[#This Row],[pledged]]/Table1[[#This Row],[goal]]</f>
        <v>0</v>
      </c>
      <c r="T139" s="8" t="str">
        <f>IF(Table1[[#This Row],[pledged]]=0,"no backers",Table1[[#This Row],[pledged]]/Table1[[#This Row],[backers_count]])</f>
        <v>no backers</v>
      </c>
      <c r="U139" t="str">
        <f>LEFT(Table1[[#This Row],[Category and Sub-Category]],FIND("/",Table1[[#This Row],[Category and Sub-Category]])-1)</f>
        <v>film &amp; video</v>
      </c>
      <c r="V139" t="str">
        <f>RIGHT(Table1[[#This Row],[Category and Sub-Category]],LEN(Table1[[#This Row],[Category and Sub-Category]])-FIND("/",Table1[[#This Row],[Category and Sub-Category]]))</f>
        <v>science fiction</v>
      </c>
    </row>
    <row r="140" spans="1:22" ht="43.2" x14ac:dyDescent="0.3">
      <c r="A140">
        <v>138</v>
      </c>
      <c r="B140" s="3" t="s">
        <v>140</v>
      </c>
      <c r="C140" s="3" t="s">
        <v>4248</v>
      </c>
      <c r="D140" s="12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>((Table1[[#This Row],[deadline]]/60)/60/24)+DATE(1970,1,1)</f>
        <v>42217.207638888889</v>
      </c>
      <c r="K140">
        <v>1435731041</v>
      </c>
      <c r="L140" s="11">
        <f>((Table1[[#This Row],[launched_at]]/60)/60/24)+DATE(1970,1,1)</f>
        <v>42186.257418981477</v>
      </c>
      <c r="M140">
        <f>MONTH(Table1[[#This Row],[Date Created Conversion]])</f>
        <v>7</v>
      </c>
      <c r="N140">
        <f>YEAR(Table1[[#This Row],[Date Created Conversion]])</f>
        <v>2015</v>
      </c>
      <c r="O140" t="b">
        <v>0</v>
      </c>
      <c r="P140">
        <v>58</v>
      </c>
      <c r="Q140" t="b">
        <v>0</v>
      </c>
      <c r="R140" t="s">
        <v>8267</v>
      </c>
      <c r="S140" s="6">
        <f>Table1[[#This Row],[pledged]]/Table1[[#This Row],[goal]]</f>
        <v>3.1413333333333335E-2</v>
      </c>
      <c r="T140" s="8">
        <f>IF(Table1[[#This Row],[pledged]]=0,"no backers",Table1[[#This Row],[pledged]]/Table1[[#This Row],[backers_count]])</f>
        <v>81.241379310344826</v>
      </c>
      <c r="U140" t="str">
        <f>LEFT(Table1[[#This Row],[Category and Sub-Category]],FIND("/",Table1[[#This Row],[Category and Sub-Category]])-1)</f>
        <v>film &amp; video</v>
      </c>
      <c r="V140" t="str">
        <f>RIGHT(Table1[[#This Row],[Category and Sub-Category]],LEN(Table1[[#This Row],[Category and Sub-Category]])-FIND("/",Table1[[#This Row],[Category and Sub-Category]]))</f>
        <v>science fiction</v>
      </c>
    </row>
    <row r="141" spans="1:22" ht="43.2" x14ac:dyDescent="0.3">
      <c r="A141">
        <v>139</v>
      </c>
      <c r="B141" s="3" t="s">
        <v>141</v>
      </c>
      <c r="C141" s="3" t="s">
        <v>4249</v>
      </c>
      <c r="D141" s="12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>((Table1[[#This Row],[deadline]]/60)/60/24)+DATE(1970,1,1)</f>
        <v>42197.920972222222</v>
      </c>
      <c r="K141">
        <v>1435874772</v>
      </c>
      <c r="L141" s="11">
        <f>((Table1[[#This Row],[launched_at]]/60)/60/24)+DATE(1970,1,1)</f>
        <v>42187.920972222222</v>
      </c>
      <c r="M141">
        <f>MONTH(Table1[[#This Row],[Date Created Conversion]])</f>
        <v>7</v>
      </c>
      <c r="N141">
        <f>YEAR(Table1[[#This Row],[Date Created Conversion]])</f>
        <v>2015</v>
      </c>
      <c r="O141" t="b">
        <v>0</v>
      </c>
      <c r="P141">
        <v>1</v>
      </c>
      <c r="Q141" t="b">
        <v>0</v>
      </c>
      <c r="R141" t="s">
        <v>8267</v>
      </c>
      <c r="S141" s="6">
        <f>Table1[[#This Row],[pledged]]/Table1[[#This Row],[goal]]</f>
        <v>1</v>
      </c>
      <c r="T141" s="8">
        <f>IF(Table1[[#This Row],[pledged]]=0,"no backers",Table1[[#This Row],[pledged]]/Table1[[#This Row],[backers_count]])</f>
        <v>500</v>
      </c>
      <c r="U141" t="str">
        <f>LEFT(Table1[[#This Row],[Category and Sub-Category]],FIND("/",Table1[[#This Row],[Category and Sub-Category]])-1)</f>
        <v>film &amp; video</v>
      </c>
      <c r="V141" t="str">
        <f>RIGHT(Table1[[#This Row],[Category and Sub-Category]],LEN(Table1[[#This Row],[Category and Sub-Category]])-FIND("/",Table1[[#This Row],[Category and Sub-Category]]))</f>
        <v>science fiction</v>
      </c>
    </row>
    <row r="142" spans="1:22" ht="43.2" x14ac:dyDescent="0.3">
      <c r="A142">
        <v>140</v>
      </c>
      <c r="B142" s="3" t="s">
        <v>142</v>
      </c>
      <c r="C142" s="3" t="s">
        <v>4250</v>
      </c>
      <c r="D142" s="1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>((Table1[[#This Row],[deadline]]/60)/60/24)+DATE(1970,1,1)</f>
        <v>42083.15662037037</v>
      </c>
      <c r="K142">
        <v>1424234732</v>
      </c>
      <c r="L142" s="11">
        <f>((Table1[[#This Row],[launched_at]]/60)/60/24)+DATE(1970,1,1)</f>
        <v>42053.198287037041</v>
      </c>
      <c r="M142">
        <f>MONTH(Table1[[#This Row],[Date Created Conversion]])</f>
        <v>2</v>
      </c>
      <c r="N142">
        <f>YEAR(Table1[[#This Row],[Date Created Conversion]])</f>
        <v>2015</v>
      </c>
      <c r="O142" t="b">
        <v>0</v>
      </c>
      <c r="P142">
        <v>0</v>
      </c>
      <c r="Q142" t="b">
        <v>0</v>
      </c>
      <c r="R142" t="s">
        <v>8267</v>
      </c>
      <c r="S142" s="6">
        <f>Table1[[#This Row],[pledged]]/Table1[[#This Row],[goal]]</f>
        <v>0</v>
      </c>
      <c r="T142" s="8" t="str">
        <f>IF(Table1[[#This Row],[pledged]]=0,"no backers",Table1[[#This Row],[pledged]]/Table1[[#This Row],[backers_count]])</f>
        <v>no backers</v>
      </c>
      <c r="U142" t="str">
        <f>LEFT(Table1[[#This Row],[Category and Sub-Category]],FIND("/",Table1[[#This Row],[Category and Sub-Category]])-1)</f>
        <v>film &amp; video</v>
      </c>
      <c r="V142" t="str">
        <f>RIGHT(Table1[[#This Row],[Category and Sub-Category]],LEN(Table1[[#This Row],[Category and Sub-Category]])-FIND("/",Table1[[#This Row],[Category and Sub-Category]]))</f>
        <v>science fiction</v>
      </c>
    </row>
    <row r="143" spans="1:22" ht="43.2" x14ac:dyDescent="0.3">
      <c r="A143">
        <v>141</v>
      </c>
      <c r="B143" s="3" t="s">
        <v>143</v>
      </c>
      <c r="C143" s="3" t="s">
        <v>4251</v>
      </c>
      <c r="D143" s="12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>((Table1[[#This Row],[deadline]]/60)/60/24)+DATE(1970,1,1)</f>
        <v>42155.153043981481</v>
      </c>
      <c r="K143">
        <v>1429155623</v>
      </c>
      <c r="L143" s="11">
        <f>((Table1[[#This Row],[launched_at]]/60)/60/24)+DATE(1970,1,1)</f>
        <v>42110.153043981481</v>
      </c>
      <c r="M143">
        <f>MONTH(Table1[[#This Row],[Date Created Conversion]])</f>
        <v>4</v>
      </c>
      <c r="N143">
        <f>YEAR(Table1[[#This Row],[Date Created Conversion]])</f>
        <v>2015</v>
      </c>
      <c r="O143" t="b">
        <v>0</v>
      </c>
      <c r="P143">
        <v>28</v>
      </c>
      <c r="Q143" t="b">
        <v>0</v>
      </c>
      <c r="R143" t="s">
        <v>8267</v>
      </c>
      <c r="S143" s="6">
        <f>Table1[[#This Row],[pledged]]/Table1[[#This Row],[goal]]</f>
        <v>0.10775</v>
      </c>
      <c r="T143" s="8">
        <f>IF(Table1[[#This Row],[pledged]]=0,"no backers",Table1[[#This Row],[pledged]]/Table1[[#This Row],[backers_count]])</f>
        <v>46.178571428571431</v>
      </c>
      <c r="U143" t="str">
        <f>LEFT(Table1[[#This Row],[Category and Sub-Category]],FIND("/",Table1[[#This Row],[Category and Sub-Category]])-1)</f>
        <v>film &amp; video</v>
      </c>
      <c r="V143" t="str">
        <f>RIGHT(Table1[[#This Row],[Category and Sub-Category]],LEN(Table1[[#This Row],[Category and Sub-Category]])-FIND("/",Table1[[#This Row],[Category and Sub-Category]]))</f>
        <v>science fiction</v>
      </c>
    </row>
    <row r="144" spans="1:22" ht="43.2" x14ac:dyDescent="0.3">
      <c r="A144">
        <v>142</v>
      </c>
      <c r="B144" s="3" t="s">
        <v>144</v>
      </c>
      <c r="C144" s="3" t="s">
        <v>4252</v>
      </c>
      <c r="D144" s="12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>((Table1[[#This Row],[deadline]]/60)/60/24)+DATE(1970,1,1)</f>
        <v>41959.934930555552</v>
      </c>
      <c r="K144">
        <v>1414358778</v>
      </c>
      <c r="L144" s="11">
        <f>((Table1[[#This Row],[launched_at]]/60)/60/24)+DATE(1970,1,1)</f>
        <v>41938.893263888887</v>
      </c>
      <c r="M144">
        <f>MONTH(Table1[[#This Row],[Date Created Conversion]])</f>
        <v>10</v>
      </c>
      <c r="N144">
        <f>YEAR(Table1[[#This Row],[Date Created Conversion]])</f>
        <v>2014</v>
      </c>
      <c r="O144" t="b">
        <v>0</v>
      </c>
      <c r="P144">
        <v>1</v>
      </c>
      <c r="Q144" t="b">
        <v>0</v>
      </c>
      <c r="R144" t="s">
        <v>8267</v>
      </c>
      <c r="S144" s="6">
        <f>Table1[[#This Row],[pledged]]/Table1[[#This Row],[goal]]</f>
        <v>3.3333333333333335E-3</v>
      </c>
      <c r="T144" s="8">
        <f>IF(Table1[[#This Row],[pledged]]=0,"no backers",Table1[[#This Row],[pledged]]/Table1[[#This Row],[backers_count]])</f>
        <v>10</v>
      </c>
      <c r="U144" t="str">
        <f>LEFT(Table1[[#This Row],[Category and Sub-Category]],FIND("/",Table1[[#This Row],[Category and Sub-Category]])-1)</f>
        <v>film &amp; video</v>
      </c>
      <c r="V144" t="str">
        <f>RIGHT(Table1[[#This Row],[Category and Sub-Category]],LEN(Table1[[#This Row],[Category and Sub-Category]])-FIND("/",Table1[[#This Row],[Category and Sub-Category]]))</f>
        <v>science fiction</v>
      </c>
    </row>
    <row r="145" spans="1:22" ht="43.2" x14ac:dyDescent="0.3">
      <c r="A145">
        <v>143</v>
      </c>
      <c r="B145" s="3" t="s">
        <v>145</v>
      </c>
      <c r="C145" s="3" t="s">
        <v>4253</v>
      </c>
      <c r="D145" s="12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>((Table1[[#This Row],[deadline]]/60)/60/24)+DATE(1970,1,1)</f>
        <v>42616.246527777781</v>
      </c>
      <c r="K145">
        <v>1467941542</v>
      </c>
      <c r="L145" s="11">
        <f>((Table1[[#This Row],[launched_at]]/60)/60/24)+DATE(1970,1,1)</f>
        <v>42559.064143518524</v>
      </c>
      <c r="M145">
        <f>MONTH(Table1[[#This Row],[Date Created Conversion]])</f>
        <v>7</v>
      </c>
      <c r="N145">
        <f>YEAR(Table1[[#This Row],[Date Created Conversion]])</f>
        <v>2016</v>
      </c>
      <c r="O145" t="b">
        <v>0</v>
      </c>
      <c r="P145">
        <v>0</v>
      </c>
      <c r="Q145" t="b">
        <v>0</v>
      </c>
      <c r="R145" t="s">
        <v>8267</v>
      </c>
      <c r="S145" s="6">
        <f>Table1[[#This Row],[pledged]]/Table1[[#This Row],[goal]]</f>
        <v>0</v>
      </c>
      <c r="T145" s="8" t="str">
        <f>IF(Table1[[#This Row],[pledged]]=0,"no backers",Table1[[#This Row],[pledged]]/Table1[[#This Row],[backers_count]])</f>
        <v>no backers</v>
      </c>
      <c r="U145" t="str">
        <f>LEFT(Table1[[#This Row],[Category and Sub-Category]],FIND("/",Table1[[#This Row],[Category and Sub-Category]])-1)</f>
        <v>film &amp; video</v>
      </c>
      <c r="V145" t="str">
        <f>RIGHT(Table1[[#This Row],[Category and Sub-Category]],LEN(Table1[[#This Row],[Category and Sub-Category]])-FIND("/",Table1[[#This Row],[Category and Sub-Category]]))</f>
        <v>science fiction</v>
      </c>
    </row>
    <row r="146" spans="1:22" ht="43.2" x14ac:dyDescent="0.3">
      <c r="A146">
        <v>144</v>
      </c>
      <c r="B146" s="3" t="s">
        <v>146</v>
      </c>
      <c r="C146" s="3" t="s">
        <v>4254</v>
      </c>
      <c r="D146" s="12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>((Table1[[#This Row],[deadline]]/60)/60/24)+DATE(1970,1,1)</f>
        <v>42107.72074074074</v>
      </c>
      <c r="K146">
        <v>1423765072</v>
      </c>
      <c r="L146" s="11">
        <f>((Table1[[#This Row],[launched_at]]/60)/60/24)+DATE(1970,1,1)</f>
        <v>42047.762407407412</v>
      </c>
      <c r="M146">
        <f>MONTH(Table1[[#This Row],[Date Created Conversion]])</f>
        <v>2</v>
      </c>
      <c r="N146">
        <f>YEAR(Table1[[#This Row],[Date Created Conversion]])</f>
        <v>2015</v>
      </c>
      <c r="O146" t="b">
        <v>0</v>
      </c>
      <c r="P146">
        <v>37</v>
      </c>
      <c r="Q146" t="b">
        <v>0</v>
      </c>
      <c r="R146" t="s">
        <v>8267</v>
      </c>
      <c r="S146" s="6">
        <f>Table1[[#This Row],[pledged]]/Table1[[#This Row],[goal]]</f>
        <v>0.27600000000000002</v>
      </c>
      <c r="T146" s="8">
        <f>IF(Table1[[#This Row],[pledged]]=0,"no backers",Table1[[#This Row],[pledged]]/Table1[[#This Row],[backers_count]])</f>
        <v>55.945945945945944</v>
      </c>
      <c r="U146" t="str">
        <f>LEFT(Table1[[#This Row],[Category and Sub-Category]],FIND("/",Table1[[#This Row],[Category and Sub-Category]])-1)</f>
        <v>film &amp; video</v>
      </c>
      <c r="V146" t="str">
        <f>RIGHT(Table1[[#This Row],[Category and Sub-Category]],LEN(Table1[[#This Row],[Category and Sub-Category]])-FIND("/",Table1[[#This Row],[Category and Sub-Category]]))</f>
        <v>science fiction</v>
      </c>
    </row>
    <row r="147" spans="1:22" ht="43.2" x14ac:dyDescent="0.3">
      <c r="A147">
        <v>145</v>
      </c>
      <c r="B147" s="3" t="s">
        <v>147</v>
      </c>
      <c r="C147" s="3" t="s">
        <v>4255</v>
      </c>
      <c r="D147" s="12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>((Table1[[#This Row],[deadline]]/60)/60/24)+DATE(1970,1,1)</f>
        <v>42227.542268518519</v>
      </c>
      <c r="K147">
        <v>1436965252</v>
      </c>
      <c r="L147" s="11">
        <f>((Table1[[#This Row],[launched_at]]/60)/60/24)+DATE(1970,1,1)</f>
        <v>42200.542268518519</v>
      </c>
      <c r="M147">
        <f>MONTH(Table1[[#This Row],[Date Created Conversion]])</f>
        <v>7</v>
      </c>
      <c r="N147">
        <f>YEAR(Table1[[#This Row],[Date Created Conversion]])</f>
        <v>2015</v>
      </c>
      <c r="O147" t="b">
        <v>0</v>
      </c>
      <c r="P147">
        <v>9</v>
      </c>
      <c r="Q147" t="b">
        <v>0</v>
      </c>
      <c r="R147" t="s">
        <v>8267</v>
      </c>
      <c r="S147" s="6">
        <f>Table1[[#This Row],[pledged]]/Table1[[#This Row],[goal]]</f>
        <v>7.5111111111111115E-2</v>
      </c>
      <c r="T147" s="8">
        <f>IF(Table1[[#This Row],[pledged]]=0,"no backers",Table1[[#This Row],[pledged]]/Table1[[#This Row],[backers_count]])</f>
        <v>37.555555555555557</v>
      </c>
      <c r="U147" t="str">
        <f>LEFT(Table1[[#This Row],[Category and Sub-Category]],FIND("/",Table1[[#This Row],[Category and Sub-Category]])-1)</f>
        <v>film &amp; video</v>
      </c>
      <c r="V147" t="str">
        <f>RIGHT(Table1[[#This Row],[Category and Sub-Category]],LEN(Table1[[#This Row],[Category and Sub-Category]])-FIND("/",Table1[[#This Row],[Category and Sub-Category]]))</f>
        <v>science fiction</v>
      </c>
    </row>
    <row r="148" spans="1:22" ht="43.2" x14ac:dyDescent="0.3">
      <c r="A148">
        <v>146</v>
      </c>
      <c r="B148" s="3" t="s">
        <v>148</v>
      </c>
      <c r="C148" s="3" t="s">
        <v>4256</v>
      </c>
      <c r="D148" s="12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>((Table1[[#This Row],[deadline]]/60)/60/24)+DATE(1970,1,1)</f>
        <v>42753.016180555554</v>
      </c>
      <c r="K148">
        <v>1479514998</v>
      </c>
      <c r="L148" s="11">
        <f>((Table1[[#This Row],[launched_at]]/60)/60/24)+DATE(1970,1,1)</f>
        <v>42693.016180555554</v>
      </c>
      <c r="M148">
        <f>MONTH(Table1[[#This Row],[Date Created Conversion]])</f>
        <v>11</v>
      </c>
      <c r="N148">
        <f>YEAR(Table1[[#This Row],[Date Created Conversion]])</f>
        <v>2016</v>
      </c>
      <c r="O148" t="b">
        <v>0</v>
      </c>
      <c r="P148">
        <v>3</v>
      </c>
      <c r="Q148" t="b">
        <v>0</v>
      </c>
      <c r="R148" t="s">
        <v>8267</v>
      </c>
      <c r="S148" s="6">
        <f>Table1[[#This Row],[pledged]]/Table1[[#This Row],[goal]]</f>
        <v>5.7499999999999999E-3</v>
      </c>
      <c r="T148" s="8">
        <f>IF(Table1[[#This Row],[pledged]]=0,"no backers",Table1[[#This Row],[pledged]]/Table1[[#This Row],[backers_count]])</f>
        <v>38.333333333333336</v>
      </c>
      <c r="U148" t="str">
        <f>LEFT(Table1[[#This Row],[Category and Sub-Category]],FIND("/",Table1[[#This Row],[Category and Sub-Category]])-1)</f>
        <v>film &amp; video</v>
      </c>
      <c r="V148" t="str">
        <f>RIGHT(Table1[[#This Row],[Category and Sub-Category]],LEN(Table1[[#This Row],[Category and Sub-Category]])-FIND("/",Table1[[#This Row],[Category and Sub-Category]]))</f>
        <v>science fiction</v>
      </c>
    </row>
    <row r="149" spans="1:22" ht="28.8" x14ac:dyDescent="0.3">
      <c r="A149">
        <v>147</v>
      </c>
      <c r="B149" s="3" t="s">
        <v>149</v>
      </c>
      <c r="C149" s="3" t="s">
        <v>4257</v>
      </c>
      <c r="D149" s="12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>((Table1[[#This Row],[deadline]]/60)/60/24)+DATE(1970,1,1)</f>
        <v>42012.762499999997</v>
      </c>
      <c r="K149">
        <v>1417026340</v>
      </c>
      <c r="L149" s="11">
        <f>((Table1[[#This Row],[launched_at]]/60)/60/24)+DATE(1970,1,1)</f>
        <v>41969.767824074079</v>
      </c>
      <c r="M149">
        <f>MONTH(Table1[[#This Row],[Date Created Conversion]])</f>
        <v>11</v>
      </c>
      <c r="N149">
        <f>YEAR(Table1[[#This Row],[Date Created Conversion]])</f>
        <v>2014</v>
      </c>
      <c r="O149" t="b">
        <v>0</v>
      </c>
      <c r="P149">
        <v>0</v>
      </c>
      <c r="Q149" t="b">
        <v>0</v>
      </c>
      <c r="R149" t="s">
        <v>8267</v>
      </c>
      <c r="S149" s="6">
        <f>Table1[[#This Row],[pledged]]/Table1[[#This Row],[goal]]</f>
        <v>0</v>
      </c>
      <c r="T149" s="8" t="str">
        <f>IF(Table1[[#This Row],[pledged]]=0,"no backers",Table1[[#This Row],[pledged]]/Table1[[#This Row],[backers_count]])</f>
        <v>no backers</v>
      </c>
      <c r="U149" t="str">
        <f>LEFT(Table1[[#This Row],[Category and Sub-Category]],FIND("/",Table1[[#This Row],[Category and Sub-Category]])-1)</f>
        <v>film &amp; video</v>
      </c>
      <c r="V149" t="str">
        <f>RIGHT(Table1[[#This Row],[Category and Sub-Category]],LEN(Table1[[#This Row],[Category and Sub-Category]])-FIND("/",Table1[[#This Row],[Category and Sub-Category]]))</f>
        <v>science fiction</v>
      </c>
    </row>
    <row r="150" spans="1:22" ht="43.2" x14ac:dyDescent="0.3">
      <c r="A150">
        <v>148</v>
      </c>
      <c r="B150" s="3" t="s">
        <v>150</v>
      </c>
      <c r="C150" s="3" t="s">
        <v>4258</v>
      </c>
      <c r="D150" s="12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>((Table1[[#This Row],[deadline]]/60)/60/24)+DATE(1970,1,1)</f>
        <v>42427.281666666662</v>
      </c>
      <c r="K150">
        <v>1453963536</v>
      </c>
      <c r="L150" s="11">
        <f>((Table1[[#This Row],[launched_at]]/60)/60/24)+DATE(1970,1,1)</f>
        <v>42397.281666666662</v>
      </c>
      <c r="M150">
        <f>MONTH(Table1[[#This Row],[Date Created Conversion]])</f>
        <v>1</v>
      </c>
      <c r="N150">
        <f>YEAR(Table1[[#This Row],[Date Created Conversion]])</f>
        <v>2016</v>
      </c>
      <c r="O150" t="b">
        <v>0</v>
      </c>
      <c r="P150">
        <v>2</v>
      </c>
      <c r="Q150" t="b">
        <v>0</v>
      </c>
      <c r="R150" t="s">
        <v>8267</v>
      </c>
      <c r="S150" s="6">
        <f>Table1[[#This Row],[pledged]]/Table1[[#This Row],[goal]]</f>
        <v>8.0000000000000004E-4</v>
      </c>
      <c r="T150" s="8">
        <f>IF(Table1[[#This Row],[pledged]]=0,"no backers",Table1[[#This Row],[pledged]]/Table1[[#This Row],[backers_count]])</f>
        <v>20</v>
      </c>
      <c r="U150" t="str">
        <f>LEFT(Table1[[#This Row],[Category and Sub-Category]],FIND("/",Table1[[#This Row],[Category and Sub-Category]])-1)</f>
        <v>film &amp; video</v>
      </c>
      <c r="V150" t="str">
        <f>RIGHT(Table1[[#This Row],[Category and Sub-Category]],LEN(Table1[[#This Row],[Category and Sub-Category]])-FIND("/",Table1[[#This Row],[Category and Sub-Category]]))</f>
        <v>science fiction</v>
      </c>
    </row>
    <row r="151" spans="1:22" ht="43.2" x14ac:dyDescent="0.3">
      <c r="A151">
        <v>149</v>
      </c>
      <c r="B151" s="3" t="s">
        <v>151</v>
      </c>
      <c r="C151" s="3" t="s">
        <v>4259</v>
      </c>
      <c r="D151" s="12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>((Table1[[#This Row],[deadline]]/60)/60/24)+DATE(1970,1,1)</f>
        <v>41998.333333333328</v>
      </c>
      <c r="K151">
        <v>1416888470</v>
      </c>
      <c r="L151" s="11">
        <f>((Table1[[#This Row],[launched_at]]/60)/60/24)+DATE(1970,1,1)</f>
        <v>41968.172106481477</v>
      </c>
      <c r="M151">
        <f>MONTH(Table1[[#This Row],[Date Created Conversion]])</f>
        <v>11</v>
      </c>
      <c r="N151">
        <f>YEAR(Table1[[#This Row],[Date Created Conversion]])</f>
        <v>2014</v>
      </c>
      <c r="O151" t="b">
        <v>0</v>
      </c>
      <c r="P151">
        <v>6</v>
      </c>
      <c r="Q151" t="b">
        <v>0</v>
      </c>
      <c r="R151" t="s">
        <v>8267</v>
      </c>
      <c r="S151" s="6">
        <f>Table1[[#This Row],[pledged]]/Table1[[#This Row],[goal]]</f>
        <v>9.1999999999999998E-3</v>
      </c>
      <c r="T151" s="8">
        <f>IF(Table1[[#This Row],[pledged]]=0,"no backers",Table1[[#This Row],[pledged]]/Table1[[#This Row],[backers_count]])</f>
        <v>15.333333333333334</v>
      </c>
      <c r="U151" t="str">
        <f>LEFT(Table1[[#This Row],[Category and Sub-Category]],FIND("/",Table1[[#This Row],[Category and Sub-Category]])-1)</f>
        <v>film &amp; video</v>
      </c>
      <c r="V151" t="str">
        <f>RIGHT(Table1[[#This Row],[Category and Sub-Category]],LEN(Table1[[#This Row],[Category and Sub-Category]])-FIND("/",Table1[[#This Row],[Category and Sub-Category]]))</f>
        <v>science fiction</v>
      </c>
    </row>
    <row r="152" spans="1:22" ht="43.2" x14ac:dyDescent="0.3">
      <c r="A152">
        <v>150</v>
      </c>
      <c r="B152" s="3" t="s">
        <v>152</v>
      </c>
      <c r="C152" s="3" t="s">
        <v>4260</v>
      </c>
      <c r="D152" s="1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>((Table1[[#This Row],[deadline]]/60)/60/24)+DATE(1970,1,1)</f>
        <v>42150.161828703705</v>
      </c>
      <c r="K152">
        <v>1427428382</v>
      </c>
      <c r="L152" s="11">
        <f>((Table1[[#This Row],[launched_at]]/60)/60/24)+DATE(1970,1,1)</f>
        <v>42090.161828703705</v>
      </c>
      <c r="M152">
        <f>MONTH(Table1[[#This Row],[Date Created Conversion]])</f>
        <v>3</v>
      </c>
      <c r="N152">
        <f>YEAR(Table1[[#This Row],[Date Created Conversion]])</f>
        <v>2015</v>
      </c>
      <c r="O152" t="b">
        <v>0</v>
      </c>
      <c r="P152">
        <v>67</v>
      </c>
      <c r="Q152" t="b">
        <v>0</v>
      </c>
      <c r="R152" t="s">
        <v>8267</v>
      </c>
      <c r="S152" s="6">
        <f>Table1[[#This Row],[pledged]]/Table1[[#This Row],[goal]]</f>
        <v>0.23163076923076922</v>
      </c>
      <c r="T152" s="8">
        <f>IF(Table1[[#This Row],[pledged]]=0,"no backers",Table1[[#This Row],[pledged]]/Table1[[#This Row],[backers_count]])</f>
        <v>449.43283582089555</v>
      </c>
      <c r="U152" t="str">
        <f>LEFT(Table1[[#This Row],[Category and Sub-Category]],FIND("/",Table1[[#This Row],[Category and Sub-Category]])-1)</f>
        <v>film &amp; video</v>
      </c>
      <c r="V152" t="str">
        <f>RIGHT(Table1[[#This Row],[Category and Sub-Category]],LEN(Table1[[#This Row],[Category and Sub-Category]])-FIND("/",Table1[[#This Row],[Category and Sub-Category]]))</f>
        <v>science fiction</v>
      </c>
    </row>
    <row r="153" spans="1:22" ht="43.2" x14ac:dyDescent="0.3">
      <c r="A153">
        <v>151</v>
      </c>
      <c r="B153" s="3" t="s">
        <v>153</v>
      </c>
      <c r="C153" s="3" t="s">
        <v>4261</v>
      </c>
      <c r="D153" s="12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>((Table1[[#This Row],[deadline]]/60)/60/24)+DATE(1970,1,1)</f>
        <v>42173.550821759258</v>
      </c>
      <c r="K153">
        <v>1429449191</v>
      </c>
      <c r="L153" s="11">
        <f>((Table1[[#This Row],[launched_at]]/60)/60/24)+DATE(1970,1,1)</f>
        <v>42113.550821759258</v>
      </c>
      <c r="M153">
        <f>MONTH(Table1[[#This Row],[Date Created Conversion]])</f>
        <v>4</v>
      </c>
      <c r="N153">
        <f>YEAR(Table1[[#This Row],[Date Created Conversion]])</f>
        <v>2015</v>
      </c>
      <c r="O153" t="b">
        <v>0</v>
      </c>
      <c r="P153">
        <v>5</v>
      </c>
      <c r="Q153" t="b">
        <v>0</v>
      </c>
      <c r="R153" t="s">
        <v>8267</v>
      </c>
      <c r="S153" s="6">
        <f>Table1[[#This Row],[pledged]]/Table1[[#This Row],[goal]]</f>
        <v>5.5999999999999995E-4</v>
      </c>
      <c r="T153" s="8">
        <f>IF(Table1[[#This Row],[pledged]]=0,"no backers",Table1[[#This Row],[pledged]]/Table1[[#This Row],[backers_count]])</f>
        <v>28</v>
      </c>
      <c r="U153" t="str">
        <f>LEFT(Table1[[#This Row],[Category and Sub-Category]],FIND("/",Table1[[#This Row],[Category and Sub-Category]])-1)</f>
        <v>film &amp; video</v>
      </c>
      <c r="V153" t="str">
        <f>RIGHT(Table1[[#This Row],[Category and Sub-Category]],LEN(Table1[[#This Row],[Category and Sub-Category]])-FIND("/",Table1[[#This Row],[Category and Sub-Category]]))</f>
        <v>science fiction</v>
      </c>
    </row>
    <row r="154" spans="1:22" ht="28.8" x14ac:dyDescent="0.3">
      <c r="A154">
        <v>152</v>
      </c>
      <c r="B154" s="3" t="s">
        <v>154</v>
      </c>
      <c r="C154" s="3" t="s">
        <v>4262</v>
      </c>
      <c r="D154" s="12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>((Table1[[#This Row],[deadline]]/60)/60/24)+DATE(1970,1,1)</f>
        <v>41905.077546296299</v>
      </c>
      <c r="K154">
        <v>1408845100</v>
      </c>
      <c r="L154" s="11">
        <f>((Table1[[#This Row],[launched_at]]/60)/60/24)+DATE(1970,1,1)</f>
        <v>41875.077546296299</v>
      </c>
      <c r="M154">
        <f>MONTH(Table1[[#This Row],[Date Created Conversion]])</f>
        <v>8</v>
      </c>
      <c r="N154">
        <f>YEAR(Table1[[#This Row],[Date Created Conversion]])</f>
        <v>2014</v>
      </c>
      <c r="O154" t="b">
        <v>0</v>
      </c>
      <c r="P154">
        <v>2</v>
      </c>
      <c r="Q154" t="b">
        <v>0</v>
      </c>
      <c r="R154" t="s">
        <v>8267</v>
      </c>
      <c r="S154" s="6">
        <f>Table1[[#This Row],[pledged]]/Table1[[#This Row],[goal]]</f>
        <v>7.8947368421052633E-5</v>
      </c>
      <c r="T154" s="8">
        <f>IF(Table1[[#This Row],[pledged]]=0,"no backers",Table1[[#This Row],[pledged]]/Table1[[#This Row],[backers_count]])</f>
        <v>15</v>
      </c>
      <c r="U154" t="str">
        <f>LEFT(Table1[[#This Row],[Category and Sub-Category]],FIND("/",Table1[[#This Row],[Category and Sub-Category]])-1)</f>
        <v>film &amp; video</v>
      </c>
      <c r="V154" t="str">
        <f>RIGHT(Table1[[#This Row],[Category and Sub-Category]],LEN(Table1[[#This Row],[Category and Sub-Category]])-FIND("/",Table1[[#This Row],[Category and Sub-Category]]))</f>
        <v>science fiction</v>
      </c>
    </row>
    <row r="155" spans="1:22" ht="43.2" x14ac:dyDescent="0.3">
      <c r="A155">
        <v>153</v>
      </c>
      <c r="B155" s="3" t="s">
        <v>155</v>
      </c>
      <c r="C155" s="3" t="s">
        <v>4263</v>
      </c>
      <c r="D155" s="12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>((Table1[[#This Row],[deadline]]/60)/60/24)+DATE(1970,1,1)</f>
        <v>41975.627824074079</v>
      </c>
      <c r="K155">
        <v>1413900244</v>
      </c>
      <c r="L155" s="11">
        <f>((Table1[[#This Row],[launched_at]]/60)/60/24)+DATE(1970,1,1)</f>
        <v>41933.586157407408</v>
      </c>
      <c r="M155">
        <f>MONTH(Table1[[#This Row],[Date Created Conversion]])</f>
        <v>10</v>
      </c>
      <c r="N155">
        <f>YEAR(Table1[[#This Row],[Date Created Conversion]])</f>
        <v>2014</v>
      </c>
      <c r="O155" t="b">
        <v>0</v>
      </c>
      <c r="P155">
        <v>10</v>
      </c>
      <c r="Q155" t="b">
        <v>0</v>
      </c>
      <c r="R155" t="s">
        <v>8267</v>
      </c>
      <c r="S155" s="6">
        <f>Table1[[#This Row],[pledged]]/Table1[[#This Row],[goal]]</f>
        <v>7.1799999999999998E-3</v>
      </c>
      <c r="T155" s="8">
        <f>IF(Table1[[#This Row],[pledged]]=0,"no backers",Table1[[#This Row],[pledged]]/Table1[[#This Row],[backers_count]])</f>
        <v>35.9</v>
      </c>
      <c r="U155" t="str">
        <f>LEFT(Table1[[#This Row],[Category and Sub-Category]],FIND("/",Table1[[#This Row],[Category and Sub-Category]])-1)</f>
        <v>film &amp; video</v>
      </c>
      <c r="V155" t="str">
        <f>RIGHT(Table1[[#This Row],[Category and Sub-Category]],LEN(Table1[[#This Row],[Category and Sub-Category]])-FIND("/",Table1[[#This Row],[Category and Sub-Category]]))</f>
        <v>science fiction</v>
      </c>
    </row>
    <row r="156" spans="1:22" ht="43.2" x14ac:dyDescent="0.3">
      <c r="A156">
        <v>154</v>
      </c>
      <c r="B156" s="3" t="s">
        <v>156</v>
      </c>
      <c r="C156" s="3" t="s">
        <v>4264</v>
      </c>
      <c r="D156" s="12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>((Table1[[#This Row],[deadline]]/60)/60/24)+DATE(1970,1,1)</f>
        <v>42158.547395833331</v>
      </c>
      <c r="K156">
        <v>1429621695</v>
      </c>
      <c r="L156" s="11">
        <f>((Table1[[#This Row],[launched_at]]/60)/60/24)+DATE(1970,1,1)</f>
        <v>42115.547395833331</v>
      </c>
      <c r="M156">
        <f>MONTH(Table1[[#This Row],[Date Created Conversion]])</f>
        <v>4</v>
      </c>
      <c r="N156">
        <f>YEAR(Table1[[#This Row],[Date Created Conversion]])</f>
        <v>2015</v>
      </c>
      <c r="O156" t="b">
        <v>0</v>
      </c>
      <c r="P156">
        <v>3</v>
      </c>
      <c r="Q156" t="b">
        <v>0</v>
      </c>
      <c r="R156" t="s">
        <v>8267</v>
      </c>
      <c r="S156" s="6">
        <f>Table1[[#This Row],[pledged]]/Table1[[#This Row],[goal]]</f>
        <v>2.6666666666666668E-2</v>
      </c>
      <c r="T156" s="8">
        <f>IF(Table1[[#This Row],[pledged]]=0,"no backers",Table1[[#This Row],[pledged]]/Table1[[#This Row],[backers_count]])</f>
        <v>13.333333333333334</v>
      </c>
      <c r="U156" t="str">
        <f>LEFT(Table1[[#This Row],[Category and Sub-Category]],FIND("/",Table1[[#This Row],[Category and Sub-Category]])-1)</f>
        <v>film &amp; video</v>
      </c>
      <c r="V156" t="str">
        <f>RIGHT(Table1[[#This Row],[Category and Sub-Category]],LEN(Table1[[#This Row],[Category and Sub-Category]])-FIND("/",Table1[[#This Row],[Category and Sub-Category]]))</f>
        <v>science fiction</v>
      </c>
    </row>
    <row r="157" spans="1:22" ht="57.6" x14ac:dyDescent="0.3">
      <c r="A157">
        <v>155</v>
      </c>
      <c r="B157" s="3" t="s">
        <v>157</v>
      </c>
      <c r="C157" s="3" t="s">
        <v>4265</v>
      </c>
      <c r="D157" s="12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>((Table1[[#This Row],[deadline]]/60)/60/24)+DATE(1970,1,1)</f>
        <v>42208.559432870374</v>
      </c>
      <c r="K157">
        <v>1434201935</v>
      </c>
      <c r="L157" s="11">
        <f>((Table1[[#This Row],[launched_at]]/60)/60/24)+DATE(1970,1,1)</f>
        <v>42168.559432870374</v>
      </c>
      <c r="M157">
        <f>MONTH(Table1[[#This Row],[Date Created Conversion]])</f>
        <v>6</v>
      </c>
      <c r="N157">
        <f>YEAR(Table1[[#This Row],[Date Created Conversion]])</f>
        <v>2015</v>
      </c>
      <c r="O157" t="b">
        <v>0</v>
      </c>
      <c r="P157">
        <v>4</v>
      </c>
      <c r="Q157" t="b">
        <v>0</v>
      </c>
      <c r="R157" t="s">
        <v>8267</v>
      </c>
      <c r="S157" s="6">
        <f>Table1[[#This Row],[pledged]]/Table1[[#This Row],[goal]]</f>
        <v>6.0000000000000002E-5</v>
      </c>
      <c r="T157" s="8">
        <f>IF(Table1[[#This Row],[pledged]]=0,"no backers",Table1[[#This Row],[pledged]]/Table1[[#This Row],[backers_count]])</f>
        <v>20.25</v>
      </c>
      <c r="U157" t="str">
        <f>LEFT(Table1[[#This Row],[Category and Sub-Category]],FIND("/",Table1[[#This Row],[Category and Sub-Category]])-1)</f>
        <v>film &amp; video</v>
      </c>
      <c r="V157" t="str">
        <f>RIGHT(Table1[[#This Row],[Category and Sub-Category]],LEN(Table1[[#This Row],[Category and Sub-Category]])-FIND("/",Table1[[#This Row],[Category and Sub-Category]]))</f>
        <v>science fiction</v>
      </c>
    </row>
    <row r="158" spans="1:22" ht="57.6" x14ac:dyDescent="0.3">
      <c r="A158">
        <v>156</v>
      </c>
      <c r="B158" s="3" t="s">
        <v>158</v>
      </c>
      <c r="C158" s="3" t="s">
        <v>4266</v>
      </c>
      <c r="D158" s="12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>((Table1[[#This Row],[deadline]]/60)/60/24)+DATE(1970,1,1)</f>
        <v>41854.124953703707</v>
      </c>
      <c r="K158">
        <v>1401850796</v>
      </c>
      <c r="L158" s="11">
        <f>((Table1[[#This Row],[launched_at]]/60)/60/24)+DATE(1970,1,1)</f>
        <v>41794.124953703707</v>
      </c>
      <c r="M158">
        <f>MONTH(Table1[[#This Row],[Date Created Conversion]])</f>
        <v>6</v>
      </c>
      <c r="N158">
        <f>YEAR(Table1[[#This Row],[Date Created Conversion]])</f>
        <v>2014</v>
      </c>
      <c r="O158" t="b">
        <v>0</v>
      </c>
      <c r="P158">
        <v>15</v>
      </c>
      <c r="Q158" t="b">
        <v>0</v>
      </c>
      <c r="R158" t="s">
        <v>8267</v>
      </c>
      <c r="S158" s="6">
        <f>Table1[[#This Row],[pledged]]/Table1[[#This Row],[goal]]</f>
        <v>5.0999999999999997E-2</v>
      </c>
      <c r="T158" s="8">
        <f>IF(Table1[[#This Row],[pledged]]=0,"no backers",Table1[[#This Row],[pledged]]/Table1[[#This Row],[backers_count]])</f>
        <v>119</v>
      </c>
      <c r="U158" t="str">
        <f>LEFT(Table1[[#This Row],[Category and Sub-Category]],FIND("/",Table1[[#This Row],[Category and Sub-Category]])-1)</f>
        <v>film &amp; video</v>
      </c>
      <c r="V158" t="str">
        <f>RIGHT(Table1[[#This Row],[Category and Sub-Category]],LEN(Table1[[#This Row],[Category and Sub-Category]])-FIND("/",Table1[[#This Row],[Category and Sub-Category]]))</f>
        <v>science fiction</v>
      </c>
    </row>
    <row r="159" spans="1:22" ht="43.2" x14ac:dyDescent="0.3">
      <c r="A159">
        <v>157</v>
      </c>
      <c r="B159" s="3" t="s">
        <v>159</v>
      </c>
      <c r="C159" s="3" t="s">
        <v>4267</v>
      </c>
      <c r="D159" s="12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>((Table1[[#This Row],[deadline]]/60)/60/24)+DATE(1970,1,1)</f>
        <v>42426.911712962959</v>
      </c>
      <c r="K159">
        <v>1453931572</v>
      </c>
      <c r="L159" s="11">
        <f>((Table1[[#This Row],[launched_at]]/60)/60/24)+DATE(1970,1,1)</f>
        <v>42396.911712962959</v>
      </c>
      <c r="M159">
        <f>MONTH(Table1[[#This Row],[Date Created Conversion]])</f>
        <v>1</v>
      </c>
      <c r="N159">
        <f>YEAR(Table1[[#This Row],[Date Created Conversion]])</f>
        <v>2016</v>
      </c>
      <c r="O159" t="b">
        <v>0</v>
      </c>
      <c r="P159">
        <v>2</v>
      </c>
      <c r="Q159" t="b">
        <v>0</v>
      </c>
      <c r="R159" t="s">
        <v>8267</v>
      </c>
      <c r="S159" s="6">
        <f>Table1[[#This Row],[pledged]]/Table1[[#This Row],[goal]]</f>
        <v>2.671118530884808E-3</v>
      </c>
      <c r="T159" s="8">
        <f>IF(Table1[[#This Row],[pledged]]=0,"no backers",Table1[[#This Row],[pledged]]/Table1[[#This Row],[backers_count]])</f>
        <v>4</v>
      </c>
      <c r="U159" t="str">
        <f>LEFT(Table1[[#This Row],[Category and Sub-Category]],FIND("/",Table1[[#This Row],[Category and Sub-Category]])-1)</f>
        <v>film &amp; video</v>
      </c>
      <c r="V159" t="str">
        <f>RIGHT(Table1[[#This Row],[Category and Sub-Category]],LEN(Table1[[#This Row],[Category and Sub-Category]])-FIND("/",Table1[[#This Row],[Category and Sub-Category]]))</f>
        <v>science fiction</v>
      </c>
    </row>
    <row r="160" spans="1:22" ht="43.2" x14ac:dyDescent="0.3">
      <c r="A160">
        <v>158</v>
      </c>
      <c r="B160" s="3" t="s">
        <v>160</v>
      </c>
      <c r="C160" s="3" t="s">
        <v>4268</v>
      </c>
      <c r="D160" s="12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>((Table1[[#This Row],[deadline]]/60)/60/24)+DATE(1970,1,1)</f>
        <v>41934.07671296296</v>
      </c>
      <c r="K160">
        <v>1411350628</v>
      </c>
      <c r="L160" s="11">
        <f>((Table1[[#This Row],[launched_at]]/60)/60/24)+DATE(1970,1,1)</f>
        <v>41904.07671296296</v>
      </c>
      <c r="M160">
        <f>MONTH(Table1[[#This Row],[Date Created Conversion]])</f>
        <v>9</v>
      </c>
      <c r="N160">
        <f>YEAR(Table1[[#This Row],[Date Created Conversion]])</f>
        <v>2014</v>
      </c>
      <c r="O160" t="b">
        <v>0</v>
      </c>
      <c r="P160">
        <v>0</v>
      </c>
      <c r="Q160" t="b">
        <v>0</v>
      </c>
      <c r="R160" t="s">
        <v>8267</v>
      </c>
      <c r="S160" s="6">
        <f>Table1[[#This Row],[pledged]]/Table1[[#This Row],[goal]]</f>
        <v>0</v>
      </c>
      <c r="T160" s="8" t="str">
        <f>IF(Table1[[#This Row],[pledged]]=0,"no backers",Table1[[#This Row],[pledged]]/Table1[[#This Row],[backers_count]])</f>
        <v>no backers</v>
      </c>
      <c r="U160" t="str">
        <f>LEFT(Table1[[#This Row],[Category and Sub-Category]],FIND("/",Table1[[#This Row],[Category and Sub-Category]])-1)</f>
        <v>film &amp; video</v>
      </c>
      <c r="V160" t="str">
        <f>RIGHT(Table1[[#This Row],[Category and Sub-Category]],LEN(Table1[[#This Row],[Category and Sub-Category]])-FIND("/",Table1[[#This Row],[Category and Sub-Category]]))</f>
        <v>science fiction</v>
      </c>
    </row>
    <row r="161" spans="1:22" ht="43.2" x14ac:dyDescent="0.3">
      <c r="A161">
        <v>159</v>
      </c>
      <c r="B161" s="3" t="s">
        <v>161</v>
      </c>
      <c r="C161" s="3" t="s">
        <v>4269</v>
      </c>
      <c r="D161" s="12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>((Table1[[#This Row],[deadline]]/60)/60/24)+DATE(1970,1,1)</f>
        <v>42554.434548611112</v>
      </c>
      <c r="K161">
        <v>1464085545</v>
      </c>
      <c r="L161" s="11">
        <f>((Table1[[#This Row],[launched_at]]/60)/60/24)+DATE(1970,1,1)</f>
        <v>42514.434548611112</v>
      </c>
      <c r="M161">
        <f>MONTH(Table1[[#This Row],[Date Created Conversion]])</f>
        <v>5</v>
      </c>
      <c r="N161">
        <f>YEAR(Table1[[#This Row],[Date Created Conversion]])</f>
        <v>2016</v>
      </c>
      <c r="O161" t="b">
        <v>0</v>
      </c>
      <c r="P161">
        <v>1</v>
      </c>
      <c r="Q161" t="b">
        <v>0</v>
      </c>
      <c r="R161" t="s">
        <v>8267</v>
      </c>
      <c r="S161" s="6">
        <f>Table1[[#This Row],[pledged]]/Table1[[#This Row],[goal]]</f>
        <v>2.0000000000000002E-5</v>
      </c>
      <c r="T161" s="8">
        <f>IF(Table1[[#This Row],[pledged]]=0,"no backers",Table1[[#This Row],[pledged]]/Table1[[#This Row],[backers_count]])</f>
        <v>10</v>
      </c>
      <c r="U161" t="str">
        <f>LEFT(Table1[[#This Row],[Category and Sub-Category]],FIND("/",Table1[[#This Row],[Category and Sub-Category]])-1)</f>
        <v>film &amp; video</v>
      </c>
      <c r="V161" t="str">
        <f>RIGHT(Table1[[#This Row],[Category and Sub-Category]],LEN(Table1[[#This Row],[Category and Sub-Category]])-FIND("/",Table1[[#This Row],[Category and Sub-Category]]))</f>
        <v>science fiction</v>
      </c>
    </row>
    <row r="162" spans="1:22" ht="43.2" x14ac:dyDescent="0.3">
      <c r="A162">
        <v>160</v>
      </c>
      <c r="B162" s="3" t="s">
        <v>162</v>
      </c>
      <c r="C162" s="3" t="s">
        <v>4270</v>
      </c>
      <c r="D162" s="1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>((Table1[[#This Row],[deadline]]/60)/60/24)+DATE(1970,1,1)</f>
        <v>42231.913090277783</v>
      </c>
      <c r="K162">
        <v>1434491691</v>
      </c>
      <c r="L162" s="11">
        <f>((Table1[[#This Row],[launched_at]]/60)/60/24)+DATE(1970,1,1)</f>
        <v>42171.913090277783</v>
      </c>
      <c r="M162">
        <f>MONTH(Table1[[#This Row],[Date Created Conversion]])</f>
        <v>6</v>
      </c>
      <c r="N162">
        <f>YEAR(Table1[[#This Row],[Date Created Conversion]])</f>
        <v>2015</v>
      </c>
      <c r="O162" t="b">
        <v>0</v>
      </c>
      <c r="P162">
        <v>0</v>
      </c>
      <c r="Q162" t="b">
        <v>0</v>
      </c>
      <c r="R162" t="s">
        <v>8268</v>
      </c>
      <c r="S162" s="6">
        <f>Table1[[#This Row],[pledged]]/Table1[[#This Row],[goal]]</f>
        <v>0</v>
      </c>
      <c r="T162" s="8" t="str">
        <f>IF(Table1[[#This Row],[pledged]]=0,"no backers",Table1[[#This Row],[pledged]]/Table1[[#This Row],[backers_count]])</f>
        <v>no backers</v>
      </c>
      <c r="U162" t="str">
        <f>LEFT(Table1[[#This Row],[Category and Sub-Category]],FIND("/",Table1[[#This Row],[Category and Sub-Category]])-1)</f>
        <v>film &amp; video</v>
      </c>
      <c r="V162" t="str">
        <f>RIGHT(Table1[[#This Row],[Category and Sub-Category]],LEN(Table1[[#This Row],[Category and Sub-Category]])-FIND("/",Table1[[#This Row],[Category and Sub-Category]]))</f>
        <v>drama</v>
      </c>
    </row>
    <row r="163" spans="1:22" ht="43.2" x14ac:dyDescent="0.3">
      <c r="A163">
        <v>161</v>
      </c>
      <c r="B163" s="3" t="s">
        <v>163</v>
      </c>
      <c r="C163" s="3" t="s">
        <v>4271</v>
      </c>
      <c r="D163" s="12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>((Table1[[#This Row],[deadline]]/60)/60/24)+DATE(1970,1,1)</f>
        <v>41822.687442129631</v>
      </c>
      <c r="K163">
        <v>1401726595</v>
      </c>
      <c r="L163" s="11">
        <f>((Table1[[#This Row],[launched_at]]/60)/60/24)+DATE(1970,1,1)</f>
        <v>41792.687442129631</v>
      </c>
      <c r="M163">
        <f>MONTH(Table1[[#This Row],[Date Created Conversion]])</f>
        <v>6</v>
      </c>
      <c r="N163">
        <f>YEAR(Table1[[#This Row],[Date Created Conversion]])</f>
        <v>2014</v>
      </c>
      <c r="O163" t="b">
        <v>0</v>
      </c>
      <c r="P163">
        <v>1</v>
      </c>
      <c r="Q163" t="b">
        <v>0</v>
      </c>
      <c r="R163" t="s">
        <v>8268</v>
      </c>
      <c r="S163" s="6">
        <f>Table1[[#This Row],[pledged]]/Table1[[#This Row],[goal]]</f>
        <v>1E-4</v>
      </c>
      <c r="T163" s="8">
        <f>IF(Table1[[#This Row],[pledged]]=0,"no backers",Table1[[#This Row],[pledged]]/Table1[[#This Row],[backers_count]])</f>
        <v>5</v>
      </c>
      <c r="U163" t="str">
        <f>LEFT(Table1[[#This Row],[Category and Sub-Category]],FIND("/",Table1[[#This Row],[Category and Sub-Category]])-1)</f>
        <v>film &amp; video</v>
      </c>
      <c r="V163" t="str">
        <f>RIGHT(Table1[[#This Row],[Category and Sub-Category]],LEN(Table1[[#This Row],[Category and Sub-Category]])-FIND("/",Table1[[#This Row],[Category and Sub-Category]]))</f>
        <v>drama</v>
      </c>
    </row>
    <row r="164" spans="1:22" ht="43.2" x14ac:dyDescent="0.3">
      <c r="A164">
        <v>162</v>
      </c>
      <c r="B164" s="3" t="s">
        <v>164</v>
      </c>
      <c r="C164" s="3" t="s">
        <v>4272</v>
      </c>
      <c r="D164" s="12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>((Table1[[#This Row],[deadline]]/60)/60/24)+DATE(1970,1,1)</f>
        <v>41867.987500000003</v>
      </c>
      <c r="K164">
        <v>1405393356</v>
      </c>
      <c r="L164" s="11">
        <f>((Table1[[#This Row],[launched_at]]/60)/60/24)+DATE(1970,1,1)</f>
        <v>41835.126805555556</v>
      </c>
      <c r="M164">
        <f>MONTH(Table1[[#This Row],[Date Created Conversion]])</f>
        <v>7</v>
      </c>
      <c r="N164">
        <f>YEAR(Table1[[#This Row],[Date Created Conversion]])</f>
        <v>2014</v>
      </c>
      <c r="O164" t="b">
        <v>0</v>
      </c>
      <c r="P164">
        <v>10</v>
      </c>
      <c r="Q164" t="b">
        <v>0</v>
      </c>
      <c r="R164" t="s">
        <v>8268</v>
      </c>
      <c r="S164" s="6">
        <f>Table1[[#This Row],[pledged]]/Table1[[#This Row],[goal]]</f>
        <v>0.15535714285714286</v>
      </c>
      <c r="T164" s="8">
        <f>IF(Table1[[#This Row],[pledged]]=0,"no backers",Table1[[#This Row],[pledged]]/Table1[[#This Row],[backers_count]])</f>
        <v>43.5</v>
      </c>
      <c r="U164" t="str">
        <f>LEFT(Table1[[#This Row],[Category and Sub-Category]],FIND("/",Table1[[#This Row],[Category and Sub-Category]])-1)</f>
        <v>film &amp; video</v>
      </c>
      <c r="V164" t="str">
        <f>RIGHT(Table1[[#This Row],[Category and Sub-Category]],LEN(Table1[[#This Row],[Category and Sub-Category]])-FIND("/",Table1[[#This Row],[Category and Sub-Category]]))</f>
        <v>drama</v>
      </c>
    </row>
    <row r="165" spans="1:22" ht="57.6" x14ac:dyDescent="0.3">
      <c r="A165">
        <v>163</v>
      </c>
      <c r="B165" s="3" t="s">
        <v>165</v>
      </c>
      <c r="C165" s="3" t="s">
        <v>4273</v>
      </c>
      <c r="D165" s="12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>((Table1[[#This Row],[deadline]]/60)/60/24)+DATE(1970,1,1)</f>
        <v>42278</v>
      </c>
      <c r="K165">
        <v>1440716654</v>
      </c>
      <c r="L165" s="11">
        <f>((Table1[[#This Row],[launched_at]]/60)/60/24)+DATE(1970,1,1)</f>
        <v>42243.961273148147</v>
      </c>
      <c r="M165">
        <f>MONTH(Table1[[#This Row],[Date Created Conversion]])</f>
        <v>8</v>
      </c>
      <c r="N165">
        <f>YEAR(Table1[[#This Row],[Date Created Conversion]])</f>
        <v>2015</v>
      </c>
      <c r="O165" t="b">
        <v>0</v>
      </c>
      <c r="P165">
        <v>0</v>
      </c>
      <c r="Q165" t="b">
        <v>0</v>
      </c>
      <c r="R165" t="s">
        <v>8268</v>
      </c>
      <c r="S165" s="6">
        <f>Table1[[#This Row],[pledged]]/Table1[[#This Row],[goal]]</f>
        <v>0</v>
      </c>
      <c r="T165" s="8" t="str">
        <f>IF(Table1[[#This Row],[pledged]]=0,"no backers",Table1[[#This Row],[pledged]]/Table1[[#This Row],[backers_count]])</f>
        <v>no backers</v>
      </c>
      <c r="U165" t="str">
        <f>LEFT(Table1[[#This Row],[Category and Sub-Category]],FIND("/",Table1[[#This Row],[Category and Sub-Category]])-1)</f>
        <v>film &amp; video</v>
      </c>
      <c r="V165" t="str">
        <f>RIGHT(Table1[[#This Row],[Category and Sub-Category]],LEN(Table1[[#This Row],[Category and Sub-Category]])-FIND("/",Table1[[#This Row],[Category and Sub-Category]]))</f>
        <v>drama</v>
      </c>
    </row>
    <row r="166" spans="1:22" ht="43.2" x14ac:dyDescent="0.3">
      <c r="A166">
        <v>164</v>
      </c>
      <c r="B166" s="3" t="s">
        <v>166</v>
      </c>
      <c r="C166" s="3" t="s">
        <v>4274</v>
      </c>
      <c r="D166" s="12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>((Table1[[#This Row],[deadline]]/60)/60/24)+DATE(1970,1,1)</f>
        <v>41901.762743055559</v>
      </c>
      <c r="K166">
        <v>1405966701</v>
      </c>
      <c r="L166" s="11">
        <f>((Table1[[#This Row],[launched_at]]/60)/60/24)+DATE(1970,1,1)</f>
        <v>41841.762743055559</v>
      </c>
      <c r="M166">
        <f>MONTH(Table1[[#This Row],[Date Created Conversion]])</f>
        <v>7</v>
      </c>
      <c r="N166">
        <f>YEAR(Table1[[#This Row],[Date Created Conversion]])</f>
        <v>2014</v>
      </c>
      <c r="O166" t="b">
        <v>0</v>
      </c>
      <c r="P166">
        <v>7</v>
      </c>
      <c r="Q166" t="b">
        <v>0</v>
      </c>
      <c r="R166" t="s">
        <v>8268</v>
      </c>
      <c r="S166" s="6">
        <f>Table1[[#This Row],[pledged]]/Table1[[#This Row],[goal]]</f>
        <v>5.3333333333333332E-3</v>
      </c>
      <c r="T166" s="8">
        <f>IF(Table1[[#This Row],[pledged]]=0,"no backers",Table1[[#This Row],[pledged]]/Table1[[#This Row],[backers_count]])</f>
        <v>91.428571428571431</v>
      </c>
      <c r="U166" t="str">
        <f>LEFT(Table1[[#This Row],[Category and Sub-Category]],FIND("/",Table1[[#This Row],[Category and Sub-Category]])-1)</f>
        <v>film &amp; video</v>
      </c>
      <c r="V166" t="str">
        <f>RIGHT(Table1[[#This Row],[Category and Sub-Category]],LEN(Table1[[#This Row],[Category and Sub-Category]])-FIND("/",Table1[[#This Row],[Category and Sub-Category]]))</f>
        <v>drama</v>
      </c>
    </row>
    <row r="167" spans="1:22" ht="28.8" x14ac:dyDescent="0.3">
      <c r="A167">
        <v>165</v>
      </c>
      <c r="B167" s="3" t="s">
        <v>167</v>
      </c>
      <c r="C167" s="3" t="s">
        <v>4275</v>
      </c>
      <c r="D167" s="12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>((Table1[[#This Row],[deadline]]/60)/60/24)+DATE(1970,1,1)</f>
        <v>42381.658842592587</v>
      </c>
      <c r="K167">
        <v>1450021724</v>
      </c>
      <c r="L167" s="11">
        <f>((Table1[[#This Row],[launched_at]]/60)/60/24)+DATE(1970,1,1)</f>
        <v>42351.658842592587</v>
      </c>
      <c r="M167">
        <f>MONTH(Table1[[#This Row],[Date Created Conversion]])</f>
        <v>12</v>
      </c>
      <c r="N167">
        <f>YEAR(Table1[[#This Row],[Date Created Conversion]])</f>
        <v>2015</v>
      </c>
      <c r="O167" t="b">
        <v>0</v>
      </c>
      <c r="P167">
        <v>0</v>
      </c>
      <c r="Q167" t="b">
        <v>0</v>
      </c>
      <c r="R167" t="s">
        <v>8268</v>
      </c>
      <c r="S167" s="6">
        <f>Table1[[#This Row],[pledged]]/Table1[[#This Row],[goal]]</f>
        <v>0</v>
      </c>
      <c r="T167" s="8" t="str">
        <f>IF(Table1[[#This Row],[pledged]]=0,"no backers",Table1[[#This Row],[pledged]]/Table1[[#This Row],[backers_count]])</f>
        <v>no backers</v>
      </c>
      <c r="U167" t="str">
        <f>LEFT(Table1[[#This Row],[Category and Sub-Category]],FIND("/",Table1[[#This Row],[Category and Sub-Category]])-1)</f>
        <v>film &amp; video</v>
      </c>
      <c r="V167" t="str">
        <f>RIGHT(Table1[[#This Row],[Category and Sub-Category]],LEN(Table1[[#This Row],[Category and Sub-Category]])-FIND("/",Table1[[#This Row],[Category and Sub-Category]]))</f>
        <v>drama</v>
      </c>
    </row>
    <row r="168" spans="1:22" ht="43.2" x14ac:dyDescent="0.3">
      <c r="A168">
        <v>166</v>
      </c>
      <c r="B168" s="3" t="s">
        <v>168</v>
      </c>
      <c r="C168" s="3" t="s">
        <v>4276</v>
      </c>
      <c r="D168" s="12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>((Table1[[#This Row],[deadline]]/60)/60/24)+DATE(1970,1,1)</f>
        <v>42751.075949074075</v>
      </c>
      <c r="K168">
        <v>1481939362</v>
      </c>
      <c r="L168" s="11">
        <f>((Table1[[#This Row],[launched_at]]/60)/60/24)+DATE(1970,1,1)</f>
        <v>42721.075949074075</v>
      </c>
      <c r="M168">
        <f>MONTH(Table1[[#This Row],[Date Created Conversion]])</f>
        <v>12</v>
      </c>
      <c r="N168">
        <f>YEAR(Table1[[#This Row],[Date Created Conversion]])</f>
        <v>2016</v>
      </c>
      <c r="O168" t="b">
        <v>0</v>
      </c>
      <c r="P168">
        <v>1</v>
      </c>
      <c r="Q168" t="b">
        <v>0</v>
      </c>
      <c r="R168" t="s">
        <v>8268</v>
      </c>
      <c r="S168" s="6">
        <f>Table1[[#This Row],[pledged]]/Table1[[#This Row],[goal]]</f>
        <v>0.6</v>
      </c>
      <c r="T168" s="8">
        <f>IF(Table1[[#This Row],[pledged]]=0,"no backers",Table1[[#This Row],[pledged]]/Table1[[#This Row],[backers_count]])</f>
        <v>3000</v>
      </c>
      <c r="U168" t="str">
        <f>LEFT(Table1[[#This Row],[Category and Sub-Category]],FIND("/",Table1[[#This Row],[Category and Sub-Category]])-1)</f>
        <v>film &amp; video</v>
      </c>
      <c r="V168" t="str">
        <f>RIGHT(Table1[[#This Row],[Category and Sub-Category]],LEN(Table1[[#This Row],[Category and Sub-Category]])-FIND("/",Table1[[#This Row],[Category and Sub-Category]]))</f>
        <v>drama</v>
      </c>
    </row>
    <row r="169" spans="1:22" ht="43.2" x14ac:dyDescent="0.3">
      <c r="A169">
        <v>167</v>
      </c>
      <c r="B169" s="3" t="s">
        <v>169</v>
      </c>
      <c r="C169" s="3" t="s">
        <v>4277</v>
      </c>
      <c r="D169" s="12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>((Table1[[#This Row],[deadline]]/60)/60/24)+DATE(1970,1,1)</f>
        <v>42220.927488425921</v>
      </c>
      <c r="K169">
        <v>1433542535</v>
      </c>
      <c r="L169" s="11">
        <f>((Table1[[#This Row],[launched_at]]/60)/60/24)+DATE(1970,1,1)</f>
        <v>42160.927488425921</v>
      </c>
      <c r="M169">
        <f>MONTH(Table1[[#This Row],[Date Created Conversion]])</f>
        <v>6</v>
      </c>
      <c r="N169">
        <f>YEAR(Table1[[#This Row],[Date Created Conversion]])</f>
        <v>2015</v>
      </c>
      <c r="O169" t="b">
        <v>0</v>
      </c>
      <c r="P169">
        <v>2</v>
      </c>
      <c r="Q169" t="b">
        <v>0</v>
      </c>
      <c r="R169" t="s">
        <v>8268</v>
      </c>
      <c r="S169" s="6">
        <f>Table1[[#This Row],[pledged]]/Table1[[#This Row],[goal]]</f>
        <v>1E-4</v>
      </c>
      <c r="T169" s="8">
        <f>IF(Table1[[#This Row],[pledged]]=0,"no backers",Table1[[#This Row],[pledged]]/Table1[[#This Row],[backers_count]])</f>
        <v>5.5</v>
      </c>
      <c r="U169" t="str">
        <f>LEFT(Table1[[#This Row],[Category and Sub-Category]],FIND("/",Table1[[#This Row],[Category and Sub-Category]])-1)</f>
        <v>film &amp; video</v>
      </c>
      <c r="V169" t="str">
        <f>RIGHT(Table1[[#This Row],[Category and Sub-Category]],LEN(Table1[[#This Row],[Category and Sub-Category]])-FIND("/",Table1[[#This Row],[Category and Sub-Category]]))</f>
        <v>drama</v>
      </c>
    </row>
    <row r="170" spans="1:22" ht="43.2" x14ac:dyDescent="0.3">
      <c r="A170">
        <v>168</v>
      </c>
      <c r="B170" s="3" t="s">
        <v>170</v>
      </c>
      <c r="C170" s="3" t="s">
        <v>4278</v>
      </c>
      <c r="D170" s="12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>((Table1[[#This Row],[deadline]]/60)/60/24)+DATE(1970,1,1)</f>
        <v>42082.793634259258</v>
      </c>
      <c r="K170">
        <v>1424203370</v>
      </c>
      <c r="L170" s="11">
        <f>((Table1[[#This Row],[launched_at]]/60)/60/24)+DATE(1970,1,1)</f>
        <v>42052.83530092593</v>
      </c>
      <c r="M170">
        <f>MONTH(Table1[[#This Row],[Date Created Conversion]])</f>
        <v>2</v>
      </c>
      <c r="N170">
        <f>YEAR(Table1[[#This Row],[Date Created Conversion]])</f>
        <v>2015</v>
      </c>
      <c r="O170" t="b">
        <v>0</v>
      </c>
      <c r="P170">
        <v>3</v>
      </c>
      <c r="Q170" t="b">
        <v>0</v>
      </c>
      <c r="R170" t="s">
        <v>8268</v>
      </c>
      <c r="S170" s="6">
        <f>Table1[[#This Row],[pledged]]/Table1[[#This Row],[goal]]</f>
        <v>4.0625000000000001E-2</v>
      </c>
      <c r="T170" s="8">
        <f>IF(Table1[[#This Row],[pledged]]=0,"no backers",Table1[[#This Row],[pledged]]/Table1[[#This Row],[backers_count]])</f>
        <v>108.33333333333333</v>
      </c>
      <c r="U170" t="str">
        <f>LEFT(Table1[[#This Row],[Category and Sub-Category]],FIND("/",Table1[[#This Row],[Category and Sub-Category]])-1)</f>
        <v>film &amp; video</v>
      </c>
      <c r="V170" t="str">
        <f>RIGHT(Table1[[#This Row],[Category and Sub-Category]],LEN(Table1[[#This Row],[Category and Sub-Category]])-FIND("/",Table1[[#This Row],[Category and Sub-Category]]))</f>
        <v>drama</v>
      </c>
    </row>
    <row r="171" spans="1:22" ht="43.2" x14ac:dyDescent="0.3">
      <c r="A171">
        <v>169</v>
      </c>
      <c r="B171" s="3" t="s">
        <v>171</v>
      </c>
      <c r="C171" s="3" t="s">
        <v>4279</v>
      </c>
      <c r="D171" s="12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>((Table1[[#This Row],[deadline]]/60)/60/24)+DATE(1970,1,1)</f>
        <v>41930.505312499998</v>
      </c>
      <c r="K171">
        <v>1411042059</v>
      </c>
      <c r="L171" s="11">
        <f>((Table1[[#This Row],[launched_at]]/60)/60/24)+DATE(1970,1,1)</f>
        <v>41900.505312499998</v>
      </c>
      <c r="M171">
        <f>MONTH(Table1[[#This Row],[Date Created Conversion]])</f>
        <v>9</v>
      </c>
      <c r="N171">
        <f>YEAR(Table1[[#This Row],[Date Created Conversion]])</f>
        <v>2014</v>
      </c>
      <c r="O171" t="b">
        <v>0</v>
      </c>
      <c r="P171">
        <v>10</v>
      </c>
      <c r="Q171" t="b">
        <v>0</v>
      </c>
      <c r="R171" t="s">
        <v>8268</v>
      </c>
      <c r="S171" s="6">
        <f>Table1[[#This Row],[pledged]]/Table1[[#This Row],[goal]]</f>
        <v>0.224</v>
      </c>
      <c r="T171" s="8">
        <f>IF(Table1[[#This Row],[pledged]]=0,"no backers",Table1[[#This Row],[pledged]]/Table1[[#This Row],[backers_count]])</f>
        <v>56</v>
      </c>
      <c r="U171" t="str">
        <f>LEFT(Table1[[#This Row],[Category and Sub-Category]],FIND("/",Table1[[#This Row],[Category and Sub-Category]])-1)</f>
        <v>film &amp; video</v>
      </c>
      <c r="V171" t="str">
        <f>RIGHT(Table1[[#This Row],[Category and Sub-Category]],LEN(Table1[[#This Row],[Category and Sub-Category]])-FIND("/",Table1[[#This Row],[Category and Sub-Category]]))</f>
        <v>drama</v>
      </c>
    </row>
    <row r="172" spans="1:22" ht="43.2" x14ac:dyDescent="0.3">
      <c r="A172">
        <v>170</v>
      </c>
      <c r="B172" s="3" t="s">
        <v>172</v>
      </c>
      <c r="C172" s="3" t="s">
        <v>4280</v>
      </c>
      <c r="D172" s="1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>((Table1[[#This Row],[deadline]]/60)/60/24)+DATE(1970,1,1)</f>
        <v>42246.227777777778</v>
      </c>
      <c r="K172">
        <v>1438385283</v>
      </c>
      <c r="L172" s="11">
        <f>((Table1[[#This Row],[launched_at]]/60)/60/24)+DATE(1970,1,1)</f>
        <v>42216.977812500001</v>
      </c>
      <c r="M172">
        <f>MONTH(Table1[[#This Row],[Date Created Conversion]])</f>
        <v>7</v>
      </c>
      <c r="N172">
        <f>YEAR(Table1[[#This Row],[Date Created Conversion]])</f>
        <v>2015</v>
      </c>
      <c r="O172" t="b">
        <v>0</v>
      </c>
      <c r="P172">
        <v>10</v>
      </c>
      <c r="Q172" t="b">
        <v>0</v>
      </c>
      <c r="R172" t="s">
        <v>8268</v>
      </c>
      <c r="S172" s="6">
        <f>Table1[[#This Row],[pledged]]/Table1[[#This Row],[goal]]</f>
        <v>3.2500000000000001E-2</v>
      </c>
      <c r="T172" s="8">
        <f>IF(Table1[[#This Row],[pledged]]=0,"no backers",Table1[[#This Row],[pledged]]/Table1[[#This Row],[backers_count]])</f>
        <v>32.5</v>
      </c>
      <c r="U172" t="str">
        <f>LEFT(Table1[[#This Row],[Category and Sub-Category]],FIND("/",Table1[[#This Row],[Category and Sub-Category]])-1)</f>
        <v>film &amp; video</v>
      </c>
      <c r="V172" t="str">
        <f>RIGHT(Table1[[#This Row],[Category and Sub-Category]],LEN(Table1[[#This Row],[Category and Sub-Category]])-FIND("/",Table1[[#This Row],[Category and Sub-Category]]))</f>
        <v>drama</v>
      </c>
    </row>
    <row r="173" spans="1:22" ht="43.2" x14ac:dyDescent="0.3">
      <c r="A173">
        <v>171</v>
      </c>
      <c r="B173" s="3" t="s">
        <v>173</v>
      </c>
      <c r="C173" s="3" t="s">
        <v>4281</v>
      </c>
      <c r="D173" s="12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>((Table1[[#This Row],[deadline]]/60)/60/24)+DATE(1970,1,1)</f>
        <v>42594.180717592593</v>
      </c>
      <c r="K173">
        <v>1465791614</v>
      </c>
      <c r="L173" s="11">
        <f>((Table1[[#This Row],[launched_at]]/60)/60/24)+DATE(1970,1,1)</f>
        <v>42534.180717592593</v>
      </c>
      <c r="M173">
        <f>MONTH(Table1[[#This Row],[Date Created Conversion]])</f>
        <v>6</v>
      </c>
      <c r="N173">
        <f>YEAR(Table1[[#This Row],[Date Created Conversion]])</f>
        <v>2016</v>
      </c>
      <c r="O173" t="b">
        <v>0</v>
      </c>
      <c r="P173">
        <v>1</v>
      </c>
      <c r="Q173" t="b">
        <v>0</v>
      </c>
      <c r="R173" t="s">
        <v>8268</v>
      </c>
      <c r="S173" s="6">
        <f>Table1[[#This Row],[pledged]]/Table1[[#This Row],[goal]]</f>
        <v>2.0000000000000002E-5</v>
      </c>
      <c r="T173" s="8">
        <f>IF(Table1[[#This Row],[pledged]]=0,"no backers",Table1[[#This Row],[pledged]]/Table1[[#This Row],[backers_count]])</f>
        <v>1</v>
      </c>
      <c r="U173" t="str">
        <f>LEFT(Table1[[#This Row],[Category and Sub-Category]],FIND("/",Table1[[#This Row],[Category and Sub-Category]])-1)</f>
        <v>film &amp; video</v>
      </c>
      <c r="V173" t="str">
        <f>RIGHT(Table1[[#This Row],[Category and Sub-Category]],LEN(Table1[[#This Row],[Category and Sub-Category]])-FIND("/",Table1[[#This Row],[Category and Sub-Category]]))</f>
        <v>drama</v>
      </c>
    </row>
    <row r="174" spans="1:22" ht="43.2" x14ac:dyDescent="0.3">
      <c r="A174">
        <v>172</v>
      </c>
      <c r="B174" s="3" t="s">
        <v>174</v>
      </c>
      <c r="C174" s="3" t="s">
        <v>4282</v>
      </c>
      <c r="D174" s="12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>((Table1[[#This Row],[deadline]]/60)/60/24)+DATE(1970,1,1)</f>
        <v>42082.353275462956</v>
      </c>
      <c r="K174">
        <v>1423733323</v>
      </c>
      <c r="L174" s="11">
        <f>((Table1[[#This Row],[launched_at]]/60)/60/24)+DATE(1970,1,1)</f>
        <v>42047.394942129627</v>
      </c>
      <c r="M174">
        <f>MONTH(Table1[[#This Row],[Date Created Conversion]])</f>
        <v>2</v>
      </c>
      <c r="N174">
        <f>YEAR(Table1[[#This Row],[Date Created Conversion]])</f>
        <v>2015</v>
      </c>
      <c r="O174" t="b">
        <v>0</v>
      </c>
      <c r="P174">
        <v>0</v>
      </c>
      <c r="Q174" t="b">
        <v>0</v>
      </c>
      <c r="R174" t="s">
        <v>8268</v>
      </c>
      <c r="S174" s="6">
        <f>Table1[[#This Row],[pledged]]/Table1[[#This Row],[goal]]</f>
        <v>0</v>
      </c>
      <c r="T174" s="8" t="str">
        <f>IF(Table1[[#This Row],[pledged]]=0,"no backers",Table1[[#This Row],[pledged]]/Table1[[#This Row],[backers_count]])</f>
        <v>no backers</v>
      </c>
      <c r="U174" t="str">
        <f>LEFT(Table1[[#This Row],[Category and Sub-Category]],FIND("/",Table1[[#This Row],[Category and Sub-Category]])-1)</f>
        <v>film &amp; video</v>
      </c>
      <c r="V174" t="str">
        <f>RIGHT(Table1[[#This Row],[Category and Sub-Category]],LEN(Table1[[#This Row],[Category and Sub-Category]])-FIND("/",Table1[[#This Row],[Category and Sub-Category]]))</f>
        <v>drama</v>
      </c>
    </row>
    <row r="175" spans="1:22" ht="43.2" x14ac:dyDescent="0.3">
      <c r="A175">
        <v>173</v>
      </c>
      <c r="B175" s="3" t="s">
        <v>175</v>
      </c>
      <c r="C175" s="3" t="s">
        <v>4283</v>
      </c>
      <c r="D175" s="12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>((Table1[[#This Row],[deadline]]/60)/60/24)+DATE(1970,1,1)</f>
        <v>42063.573009259257</v>
      </c>
      <c r="K175">
        <v>1422539108</v>
      </c>
      <c r="L175" s="11">
        <f>((Table1[[#This Row],[launched_at]]/60)/60/24)+DATE(1970,1,1)</f>
        <v>42033.573009259257</v>
      </c>
      <c r="M175">
        <f>MONTH(Table1[[#This Row],[Date Created Conversion]])</f>
        <v>1</v>
      </c>
      <c r="N175">
        <f>YEAR(Table1[[#This Row],[Date Created Conversion]])</f>
        <v>2015</v>
      </c>
      <c r="O175" t="b">
        <v>0</v>
      </c>
      <c r="P175">
        <v>0</v>
      </c>
      <c r="Q175" t="b">
        <v>0</v>
      </c>
      <c r="R175" t="s">
        <v>8268</v>
      </c>
      <c r="S175" s="6">
        <f>Table1[[#This Row],[pledged]]/Table1[[#This Row],[goal]]</f>
        <v>0</v>
      </c>
      <c r="T175" s="8" t="str">
        <f>IF(Table1[[#This Row],[pledged]]=0,"no backers",Table1[[#This Row],[pledged]]/Table1[[#This Row],[backers_count]])</f>
        <v>no backers</v>
      </c>
      <c r="U175" t="str">
        <f>LEFT(Table1[[#This Row],[Category and Sub-Category]],FIND("/",Table1[[#This Row],[Category and Sub-Category]])-1)</f>
        <v>film &amp; video</v>
      </c>
      <c r="V175" t="str">
        <f>RIGHT(Table1[[#This Row],[Category and Sub-Category]],LEN(Table1[[#This Row],[Category and Sub-Category]])-FIND("/",Table1[[#This Row],[Category and Sub-Category]]))</f>
        <v>drama</v>
      </c>
    </row>
    <row r="176" spans="1:22" ht="43.2" x14ac:dyDescent="0.3">
      <c r="A176">
        <v>174</v>
      </c>
      <c r="B176" s="3" t="s">
        <v>176</v>
      </c>
      <c r="C176" s="3" t="s">
        <v>4284</v>
      </c>
      <c r="D176" s="12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>((Table1[[#This Row],[deadline]]/60)/60/24)+DATE(1970,1,1)</f>
        <v>42132.758981481486</v>
      </c>
      <c r="K176">
        <v>1425924776</v>
      </c>
      <c r="L176" s="11">
        <f>((Table1[[#This Row],[launched_at]]/60)/60/24)+DATE(1970,1,1)</f>
        <v>42072.758981481486</v>
      </c>
      <c r="M176">
        <f>MONTH(Table1[[#This Row],[Date Created Conversion]])</f>
        <v>3</v>
      </c>
      <c r="N176">
        <f>YEAR(Table1[[#This Row],[Date Created Conversion]])</f>
        <v>2015</v>
      </c>
      <c r="O176" t="b">
        <v>0</v>
      </c>
      <c r="P176">
        <v>0</v>
      </c>
      <c r="Q176" t="b">
        <v>0</v>
      </c>
      <c r="R176" t="s">
        <v>8268</v>
      </c>
      <c r="S176" s="6">
        <f>Table1[[#This Row],[pledged]]/Table1[[#This Row],[goal]]</f>
        <v>0</v>
      </c>
      <c r="T176" s="8" t="str">
        <f>IF(Table1[[#This Row],[pledged]]=0,"no backers",Table1[[#This Row],[pledged]]/Table1[[#This Row],[backers_count]])</f>
        <v>no backers</v>
      </c>
      <c r="U176" t="str">
        <f>LEFT(Table1[[#This Row],[Category and Sub-Category]],FIND("/",Table1[[#This Row],[Category and Sub-Category]])-1)</f>
        <v>film &amp; video</v>
      </c>
      <c r="V176" t="str">
        <f>RIGHT(Table1[[#This Row],[Category and Sub-Category]],LEN(Table1[[#This Row],[Category and Sub-Category]])-FIND("/",Table1[[#This Row],[Category and Sub-Category]]))</f>
        <v>drama</v>
      </c>
    </row>
    <row r="177" spans="1:22" ht="43.2" x14ac:dyDescent="0.3">
      <c r="A177">
        <v>175</v>
      </c>
      <c r="B177" s="3" t="s">
        <v>177</v>
      </c>
      <c r="C177" s="3" t="s">
        <v>4285</v>
      </c>
      <c r="D177" s="12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>((Table1[[#This Row],[deadline]]/60)/60/24)+DATE(1970,1,1)</f>
        <v>41880.777905092589</v>
      </c>
      <c r="K177">
        <v>1407177611</v>
      </c>
      <c r="L177" s="11">
        <f>((Table1[[#This Row],[launched_at]]/60)/60/24)+DATE(1970,1,1)</f>
        <v>41855.777905092589</v>
      </c>
      <c r="M177">
        <f>MONTH(Table1[[#This Row],[Date Created Conversion]])</f>
        <v>8</v>
      </c>
      <c r="N177">
        <f>YEAR(Table1[[#This Row],[Date Created Conversion]])</f>
        <v>2014</v>
      </c>
      <c r="O177" t="b">
        <v>0</v>
      </c>
      <c r="P177">
        <v>26</v>
      </c>
      <c r="Q177" t="b">
        <v>0</v>
      </c>
      <c r="R177" t="s">
        <v>8268</v>
      </c>
      <c r="S177" s="6">
        <f>Table1[[#This Row],[pledged]]/Table1[[#This Row],[goal]]</f>
        <v>6.4850000000000005E-2</v>
      </c>
      <c r="T177" s="8">
        <f>IF(Table1[[#This Row],[pledged]]=0,"no backers",Table1[[#This Row],[pledged]]/Table1[[#This Row],[backers_count]])</f>
        <v>49.884615384615387</v>
      </c>
      <c r="U177" t="str">
        <f>LEFT(Table1[[#This Row],[Category and Sub-Category]],FIND("/",Table1[[#This Row],[Category and Sub-Category]])-1)</f>
        <v>film &amp; video</v>
      </c>
      <c r="V177" t="str">
        <f>RIGHT(Table1[[#This Row],[Category and Sub-Category]],LEN(Table1[[#This Row],[Category and Sub-Category]])-FIND("/",Table1[[#This Row],[Category and Sub-Category]]))</f>
        <v>drama</v>
      </c>
    </row>
    <row r="178" spans="1:22" ht="43.2" x14ac:dyDescent="0.3">
      <c r="A178">
        <v>176</v>
      </c>
      <c r="B178" s="3" t="s">
        <v>178</v>
      </c>
      <c r="C178" s="3" t="s">
        <v>4286</v>
      </c>
      <c r="D178" s="12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>((Table1[[#This Row],[deadline]]/60)/60/24)+DATE(1970,1,1)</f>
        <v>42221.824062500003</v>
      </c>
      <c r="K178">
        <v>1436211999</v>
      </c>
      <c r="L178" s="11">
        <f>((Table1[[#This Row],[launched_at]]/60)/60/24)+DATE(1970,1,1)</f>
        <v>42191.824062500003</v>
      </c>
      <c r="M178">
        <f>MONTH(Table1[[#This Row],[Date Created Conversion]])</f>
        <v>7</v>
      </c>
      <c r="N178">
        <f>YEAR(Table1[[#This Row],[Date Created Conversion]])</f>
        <v>2015</v>
      </c>
      <c r="O178" t="b">
        <v>0</v>
      </c>
      <c r="P178">
        <v>0</v>
      </c>
      <c r="Q178" t="b">
        <v>0</v>
      </c>
      <c r="R178" t="s">
        <v>8268</v>
      </c>
      <c r="S178" s="6">
        <f>Table1[[#This Row],[pledged]]/Table1[[#This Row],[goal]]</f>
        <v>0</v>
      </c>
      <c r="T178" s="8" t="str">
        <f>IF(Table1[[#This Row],[pledged]]=0,"no backers",Table1[[#This Row],[pledged]]/Table1[[#This Row],[backers_count]])</f>
        <v>no backers</v>
      </c>
      <c r="U178" t="str">
        <f>LEFT(Table1[[#This Row],[Category and Sub-Category]],FIND("/",Table1[[#This Row],[Category and Sub-Category]])-1)</f>
        <v>film &amp; video</v>
      </c>
      <c r="V178" t="str">
        <f>RIGHT(Table1[[#This Row],[Category and Sub-Category]],LEN(Table1[[#This Row],[Category and Sub-Category]])-FIND("/",Table1[[#This Row],[Category and Sub-Category]]))</f>
        <v>drama</v>
      </c>
    </row>
    <row r="179" spans="1:22" ht="28.8" x14ac:dyDescent="0.3">
      <c r="A179">
        <v>177</v>
      </c>
      <c r="B179" s="3" t="s">
        <v>179</v>
      </c>
      <c r="C179" s="3" t="s">
        <v>4287</v>
      </c>
      <c r="D179" s="12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>((Table1[[#This Row],[deadline]]/60)/60/24)+DATE(1970,1,1)</f>
        <v>42087.00608796296</v>
      </c>
      <c r="K179">
        <v>1425690526</v>
      </c>
      <c r="L179" s="11">
        <f>((Table1[[#This Row],[launched_at]]/60)/60/24)+DATE(1970,1,1)</f>
        <v>42070.047754629632</v>
      </c>
      <c r="M179">
        <f>MONTH(Table1[[#This Row],[Date Created Conversion]])</f>
        <v>3</v>
      </c>
      <c r="N179">
        <f>YEAR(Table1[[#This Row],[Date Created Conversion]])</f>
        <v>2015</v>
      </c>
      <c r="O179" t="b">
        <v>0</v>
      </c>
      <c r="P179">
        <v>7</v>
      </c>
      <c r="Q179" t="b">
        <v>0</v>
      </c>
      <c r="R179" t="s">
        <v>8268</v>
      </c>
      <c r="S179" s="6">
        <f>Table1[[#This Row],[pledged]]/Table1[[#This Row],[goal]]</f>
        <v>0.4</v>
      </c>
      <c r="T179" s="8">
        <f>IF(Table1[[#This Row],[pledged]]=0,"no backers",Table1[[#This Row],[pledged]]/Table1[[#This Row],[backers_count]])</f>
        <v>25.714285714285715</v>
      </c>
      <c r="U179" t="str">
        <f>LEFT(Table1[[#This Row],[Category and Sub-Category]],FIND("/",Table1[[#This Row],[Category and Sub-Category]])-1)</f>
        <v>film &amp; video</v>
      </c>
      <c r="V179" t="str">
        <f>RIGHT(Table1[[#This Row],[Category and Sub-Category]],LEN(Table1[[#This Row],[Category and Sub-Category]])-FIND("/",Table1[[#This Row],[Category and Sub-Category]]))</f>
        <v>drama</v>
      </c>
    </row>
    <row r="180" spans="1:22" ht="28.8" x14ac:dyDescent="0.3">
      <c r="A180">
        <v>178</v>
      </c>
      <c r="B180" s="3" t="s">
        <v>180</v>
      </c>
      <c r="C180" s="3" t="s">
        <v>4288</v>
      </c>
      <c r="D180" s="12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>((Table1[[#This Row],[deadline]]/60)/60/24)+DATE(1970,1,1)</f>
        <v>42334.997048611112</v>
      </c>
      <c r="K180">
        <v>1445986545</v>
      </c>
      <c r="L180" s="11">
        <f>((Table1[[#This Row],[launched_at]]/60)/60/24)+DATE(1970,1,1)</f>
        <v>42304.955381944441</v>
      </c>
      <c r="M180">
        <f>MONTH(Table1[[#This Row],[Date Created Conversion]])</f>
        <v>10</v>
      </c>
      <c r="N180">
        <f>YEAR(Table1[[#This Row],[Date Created Conversion]])</f>
        <v>2015</v>
      </c>
      <c r="O180" t="b">
        <v>0</v>
      </c>
      <c r="P180">
        <v>0</v>
      </c>
      <c r="Q180" t="b">
        <v>0</v>
      </c>
      <c r="R180" t="s">
        <v>8268</v>
      </c>
      <c r="S180" s="6">
        <f>Table1[[#This Row],[pledged]]/Table1[[#This Row],[goal]]</f>
        <v>0</v>
      </c>
      <c r="T180" s="8" t="str">
        <f>IF(Table1[[#This Row],[pledged]]=0,"no backers",Table1[[#This Row],[pledged]]/Table1[[#This Row],[backers_count]])</f>
        <v>no backers</v>
      </c>
      <c r="U180" t="str">
        <f>LEFT(Table1[[#This Row],[Category and Sub-Category]],FIND("/",Table1[[#This Row],[Category and Sub-Category]])-1)</f>
        <v>film &amp; video</v>
      </c>
      <c r="V180" t="str">
        <f>RIGHT(Table1[[#This Row],[Category and Sub-Category]],LEN(Table1[[#This Row],[Category and Sub-Category]])-FIND("/",Table1[[#This Row],[Category and Sub-Category]]))</f>
        <v>drama</v>
      </c>
    </row>
    <row r="181" spans="1:22" ht="28.8" x14ac:dyDescent="0.3">
      <c r="A181">
        <v>179</v>
      </c>
      <c r="B181" s="3" t="s">
        <v>181</v>
      </c>
      <c r="C181" s="3" t="s">
        <v>4289</v>
      </c>
      <c r="D181" s="12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>((Table1[[#This Row],[deadline]]/60)/60/24)+DATE(1970,1,1)</f>
        <v>42433.080497685187</v>
      </c>
      <c r="K181">
        <v>1454464555</v>
      </c>
      <c r="L181" s="11">
        <f>((Table1[[#This Row],[launched_at]]/60)/60/24)+DATE(1970,1,1)</f>
        <v>42403.080497685187</v>
      </c>
      <c r="M181">
        <f>MONTH(Table1[[#This Row],[Date Created Conversion]])</f>
        <v>2</v>
      </c>
      <c r="N181">
        <f>YEAR(Table1[[#This Row],[Date Created Conversion]])</f>
        <v>2016</v>
      </c>
      <c r="O181" t="b">
        <v>0</v>
      </c>
      <c r="P181">
        <v>2</v>
      </c>
      <c r="Q181" t="b">
        <v>0</v>
      </c>
      <c r="R181" t="s">
        <v>8268</v>
      </c>
      <c r="S181" s="6">
        <f>Table1[[#This Row],[pledged]]/Table1[[#This Row],[goal]]</f>
        <v>0.2</v>
      </c>
      <c r="T181" s="8">
        <f>IF(Table1[[#This Row],[pledged]]=0,"no backers",Table1[[#This Row],[pledged]]/Table1[[#This Row],[backers_count]])</f>
        <v>100</v>
      </c>
      <c r="U181" t="str">
        <f>LEFT(Table1[[#This Row],[Category and Sub-Category]],FIND("/",Table1[[#This Row],[Category and Sub-Category]])-1)</f>
        <v>film &amp; video</v>
      </c>
      <c r="V181" t="str">
        <f>RIGHT(Table1[[#This Row],[Category and Sub-Category]],LEN(Table1[[#This Row],[Category and Sub-Category]])-FIND("/",Table1[[#This Row],[Category and Sub-Category]]))</f>
        <v>drama</v>
      </c>
    </row>
    <row r="182" spans="1:22" ht="43.2" x14ac:dyDescent="0.3">
      <c r="A182">
        <v>180</v>
      </c>
      <c r="B182" s="3" t="s">
        <v>182</v>
      </c>
      <c r="C182" s="3" t="s">
        <v>4290</v>
      </c>
      <c r="D182" s="1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>((Table1[[#This Row],[deadline]]/60)/60/24)+DATE(1970,1,1)</f>
        <v>42107.791666666672</v>
      </c>
      <c r="K182">
        <v>1425512843</v>
      </c>
      <c r="L182" s="11">
        <f>((Table1[[#This Row],[launched_at]]/60)/60/24)+DATE(1970,1,1)</f>
        <v>42067.991238425922</v>
      </c>
      <c r="M182">
        <f>MONTH(Table1[[#This Row],[Date Created Conversion]])</f>
        <v>3</v>
      </c>
      <c r="N182">
        <f>YEAR(Table1[[#This Row],[Date Created Conversion]])</f>
        <v>2015</v>
      </c>
      <c r="O182" t="b">
        <v>0</v>
      </c>
      <c r="P182">
        <v>13</v>
      </c>
      <c r="Q182" t="b">
        <v>0</v>
      </c>
      <c r="R182" t="s">
        <v>8268</v>
      </c>
      <c r="S182" s="6">
        <f>Table1[[#This Row],[pledged]]/Table1[[#This Row],[goal]]</f>
        <v>0.33416666666666667</v>
      </c>
      <c r="T182" s="8">
        <f>IF(Table1[[#This Row],[pledged]]=0,"no backers",Table1[[#This Row],[pledged]]/Table1[[#This Row],[backers_count]])</f>
        <v>30.846153846153847</v>
      </c>
      <c r="U182" t="str">
        <f>LEFT(Table1[[#This Row],[Category and Sub-Category]],FIND("/",Table1[[#This Row],[Category and Sub-Category]])-1)</f>
        <v>film &amp; video</v>
      </c>
      <c r="V182" t="str">
        <f>RIGHT(Table1[[#This Row],[Category and Sub-Category]],LEN(Table1[[#This Row],[Category and Sub-Category]])-FIND("/",Table1[[#This Row],[Category and Sub-Category]]))</f>
        <v>drama</v>
      </c>
    </row>
    <row r="183" spans="1:22" ht="43.2" x14ac:dyDescent="0.3">
      <c r="A183">
        <v>181</v>
      </c>
      <c r="B183" s="3" t="s">
        <v>183</v>
      </c>
      <c r="C183" s="3" t="s">
        <v>4291</v>
      </c>
      <c r="D183" s="12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>((Table1[[#This Row],[deadline]]/60)/60/24)+DATE(1970,1,1)</f>
        <v>42177.741840277777</v>
      </c>
      <c r="K183">
        <v>1432403295</v>
      </c>
      <c r="L183" s="11">
        <f>((Table1[[#This Row],[launched_at]]/60)/60/24)+DATE(1970,1,1)</f>
        <v>42147.741840277777</v>
      </c>
      <c r="M183">
        <f>MONTH(Table1[[#This Row],[Date Created Conversion]])</f>
        <v>5</v>
      </c>
      <c r="N183">
        <f>YEAR(Table1[[#This Row],[Date Created Conversion]])</f>
        <v>2015</v>
      </c>
      <c r="O183" t="b">
        <v>0</v>
      </c>
      <c r="P183">
        <v>4</v>
      </c>
      <c r="Q183" t="b">
        <v>0</v>
      </c>
      <c r="R183" t="s">
        <v>8268</v>
      </c>
      <c r="S183" s="6">
        <f>Table1[[#This Row],[pledged]]/Table1[[#This Row],[goal]]</f>
        <v>0.21092608822670172</v>
      </c>
      <c r="T183" s="8">
        <f>IF(Table1[[#This Row],[pledged]]=0,"no backers",Table1[[#This Row],[pledged]]/Table1[[#This Row],[backers_count]])</f>
        <v>180.5</v>
      </c>
      <c r="U183" t="str">
        <f>LEFT(Table1[[#This Row],[Category and Sub-Category]],FIND("/",Table1[[#This Row],[Category and Sub-Category]])-1)</f>
        <v>film &amp; video</v>
      </c>
      <c r="V183" t="str">
        <f>RIGHT(Table1[[#This Row],[Category and Sub-Category]],LEN(Table1[[#This Row],[Category and Sub-Category]])-FIND("/",Table1[[#This Row],[Category and Sub-Category]]))</f>
        <v>drama</v>
      </c>
    </row>
    <row r="184" spans="1:22" ht="43.2" x14ac:dyDescent="0.3">
      <c r="A184">
        <v>182</v>
      </c>
      <c r="B184" s="3" t="s">
        <v>184</v>
      </c>
      <c r="C184" s="3" t="s">
        <v>4292</v>
      </c>
      <c r="D184" s="12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>((Table1[[#This Row],[deadline]]/60)/60/24)+DATE(1970,1,1)</f>
        <v>42742.011944444443</v>
      </c>
      <c r="K184">
        <v>1481156232</v>
      </c>
      <c r="L184" s="11">
        <f>((Table1[[#This Row],[launched_at]]/60)/60/24)+DATE(1970,1,1)</f>
        <v>42712.011944444443</v>
      </c>
      <c r="M184">
        <f>MONTH(Table1[[#This Row],[Date Created Conversion]])</f>
        <v>12</v>
      </c>
      <c r="N184">
        <f>YEAR(Table1[[#This Row],[Date Created Conversion]])</f>
        <v>2016</v>
      </c>
      <c r="O184" t="b">
        <v>0</v>
      </c>
      <c r="P184">
        <v>0</v>
      </c>
      <c r="Q184" t="b">
        <v>0</v>
      </c>
      <c r="R184" t="s">
        <v>8268</v>
      </c>
      <c r="S184" s="6">
        <f>Table1[[#This Row],[pledged]]/Table1[[#This Row],[goal]]</f>
        <v>0</v>
      </c>
      <c r="T184" s="8" t="str">
        <f>IF(Table1[[#This Row],[pledged]]=0,"no backers",Table1[[#This Row],[pledged]]/Table1[[#This Row],[backers_count]])</f>
        <v>no backers</v>
      </c>
      <c r="U184" t="str">
        <f>LEFT(Table1[[#This Row],[Category and Sub-Category]],FIND("/",Table1[[#This Row],[Category and Sub-Category]])-1)</f>
        <v>film &amp; video</v>
      </c>
      <c r="V184" t="str">
        <f>RIGHT(Table1[[#This Row],[Category and Sub-Category]],LEN(Table1[[#This Row],[Category and Sub-Category]])-FIND("/",Table1[[#This Row],[Category and Sub-Category]]))</f>
        <v>drama</v>
      </c>
    </row>
    <row r="185" spans="1:22" x14ac:dyDescent="0.3">
      <c r="A185">
        <v>183</v>
      </c>
      <c r="B185" s="3" t="s">
        <v>185</v>
      </c>
      <c r="C185" s="3" t="s">
        <v>4293</v>
      </c>
      <c r="D185" s="12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>((Table1[[#This Row],[deadline]]/60)/60/24)+DATE(1970,1,1)</f>
        <v>41969.851967592593</v>
      </c>
      <c r="K185">
        <v>1414438010</v>
      </c>
      <c r="L185" s="11">
        <f>((Table1[[#This Row],[launched_at]]/60)/60/24)+DATE(1970,1,1)</f>
        <v>41939.810300925928</v>
      </c>
      <c r="M185">
        <f>MONTH(Table1[[#This Row],[Date Created Conversion]])</f>
        <v>10</v>
      </c>
      <c r="N185">
        <f>YEAR(Table1[[#This Row],[Date Created Conversion]])</f>
        <v>2014</v>
      </c>
      <c r="O185" t="b">
        <v>0</v>
      </c>
      <c r="P185">
        <v>12</v>
      </c>
      <c r="Q185" t="b">
        <v>0</v>
      </c>
      <c r="R185" t="s">
        <v>8268</v>
      </c>
      <c r="S185" s="6">
        <f>Table1[[#This Row],[pledged]]/Table1[[#This Row],[goal]]</f>
        <v>0.35855999999999999</v>
      </c>
      <c r="T185" s="8">
        <f>IF(Table1[[#This Row],[pledged]]=0,"no backers",Table1[[#This Row],[pledged]]/Table1[[#This Row],[backers_count]])</f>
        <v>373.5</v>
      </c>
      <c r="U185" t="str">
        <f>LEFT(Table1[[#This Row],[Category and Sub-Category]],FIND("/",Table1[[#This Row],[Category and Sub-Category]])-1)</f>
        <v>film &amp; video</v>
      </c>
      <c r="V185" t="str">
        <f>RIGHT(Table1[[#This Row],[Category and Sub-Category]],LEN(Table1[[#This Row],[Category and Sub-Category]])-FIND("/",Table1[[#This Row],[Category and Sub-Category]]))</f>
        <v>drama</v>
      </c>
    </row>
    <row r="186" spans="1:22" ht="43.2" x14ac:dyDescent="0.3">
      <c r="A186">
        <v>184</v>
      </c>
      <c r="B186" s="3" t="s">
        <v>186</v>
      </c>
      <c r="C186" s="3" t="s">
        <v>4294</v>
      </c>
      <c r="D186" s="12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>((Table1[[#This Row],[deadline]]/60)/60/24)+DATE(1970,1,1)</f>
        <v>41883.165972222225</v>
      </c>
      <c r="K186">
        <v>1404586762</v>
      </c>
      <c r="L186" s="11">
        <f>((Table1[[#This Row],[launched_at]]/60)/60/24)+DATE(1970,1,1)</f>
        <v>41825.791226851856</v>
      </c>
      <c r="M186">
        <f>MONTH(Table1[[#This Row],[Date Created Conversion]])</f>
        <v>7</v>
      </c>
      <c r="N186">
        <f>YEAR(Table1[[#This Row],[Date Created Conversion]])</f>
        <v>2014</v>
      </c>
      <c r="O186" t="b">
        <v>0</v>
      </c>
      <c r="P186">
        <v>2</v>
      </c>
      <c r="Q186" t="b">
        <v>0</v>
      </c>
      <c r="R186" t="s">
        <v>8268</v>
      </c>
      <c r="S186" s="6">
        <f>Table1[[#This Row],[pledged]]/Table1[[#This Row],[goal]]</f>
        <v>3.4000000000000002E-2</v>
      </c>
      <c r="T186" s="8">
        <f>IF(Table1[[#This Row],[pledged]]=0,"no backers",Table1[[#This Row],[pledged]]/Table1[[#This Row],[backers_count]])</f>
        <v>25.5</v>
      </c>
      <c r="U186" t="str">
        <f>LEFT(Table1[[#This Row],[Category and Sub-Category]],FIND("/",Table1[[#This Row],[Category and Sub-Category]])-1)</f>
        <v>film &amp; video</v>
      </c>
      <c r="V186" t="str">
        <f>RIGHT(Table1[[#This Row],[Category and Sub-Category]],LEN(Table1[[#This Row],[Category and Sub-Category]])-FIND("/",Table1[[#This Row],[Category and Sub-Category]]))</f>
        <v>drama</v>
      </c>
    </row>
    <row r="187" spans="1:22" x14ac:dyDescent="0.3">
      <c r="A187">
        <v>185</v>
      </c>
      <c r="B187" s="3" t="s">
        <v>187</v>
      </c>
      <c r="C187" s="3" t="s">
        <v>4295</v>
      </c>
      <c r="D187" s="12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>((Table1[[#This Row],[deadline]]/60)/60/24)+DATE(1970,1,1)</f>
        <v>42600.91133101852</v>
      </c>
      <c r="K187">
        <v>1468965139</v>
      </c>
      <c r="L187" s="11">
        <f>((Table1[[#This Row],[launched_at]]/60)/60/24)+DATE(1970,1,1)</f>
        <v>42570.91133101852</v>
      </c>
      <c r="M187">
        <f>MONTH(Table1[[#This Row],[Date Created Conversion]])</f>
        <v>7</v>
      </c>
      <c r="N187">
        <f>YEAR(Table1[[#This Row],[Date Created Conversion]])</f>
        <v>2016</v>
      </c>
      <c r="O187" t="b">
        <v>0</v>
      </c>
      <c r="P187">
        <v>10</v>
      </c>
      <c r="Q187" t="b">
        <v>0</v>
      </c>
      <c r="R187" t="s">
        <v>8268</v>
      </c>
      <c r="S187" s="6">
        <f>Table1[[#This Row],[pledged]]/Table1[[#This Row],[goal]]</f>
        <v>5.5E-2</v>
      </c>
      <c r="T187" s="8">
        <f>IF(Table1[[#This Row],[pledged]]=0,"no backers",Table1[[#This Row],[pledged]]/Table1[[#This Row],[backers_count]])</f>
        <v>220</v>
      </c>
      <c r="U187" t="str">
        <f>LEFT(Table1[[#This Row],[Category and Sub-Category]],FIND("/",Table1[[#This Row],[Category and Sub-Category]])-1)</f>
        <v>film &amp; video</v>
      </c>
      <c r="V187" t="str">
        <f>RIGHT(Table1[[#This Row],[Category and Sub-Category]],LEN(Table1[[#This Row],[Category and Sub-Category]])-FIND("/",Table1[[#This Row],[Category and Sub-Category]]))</f>
        <v>drama</v>
      </c>
    </row>
    <row r="188" spans="1:22" ht="43.2" x14ac:dyDescent="0.3">
      <c r="A188">
        <v>186</v>
      </c>
      <c r="B188" s="3" t="s">
        <v>188</v>
      </c>
      <c r="C188" s="3" t="s">
        <v>4296</v>
      </c>
      <c r="D188" s="12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>((Table1[[#This Row],[deadline]]/60)/60/24)+DATE(1970,1,1)</f>
        <v>42797.833333333328</v>
      </c>
      <c r="K188">
        <v>1485977434</v>
      </c>
      <c r="L188" s="11">
        <f>((Table1[[#This Row],[launched_at]]/60)/60/24)+DATE(1970,1,1)</f>
        <v>42767.812893518523</v>
      </c>
      <c r="M188">
        <f>MONTH(Table1[[#This Row],[Date Created Conversion]])</f>
        <v>2</v>
      </c>
      <c r="N188">
        <f>YEAR(Table1[[#This Row],[Date Created Conversion]])</f>
        <v>2017</v>
      </c>
      <c r="O188" t="b">
        <v>0</v>
      </c>
      <c r="P188">
        <v>0</v>
      </c>
      <c r="Q188" t="b">
        <v>0</v>
      </c>
      <c r="R188" t="s">
        <v>8268</v>
      </c>
      <c r="S188" s="6">
        <f>Table1[[#This Row],[pledged]]/Table1[[#This Row],[goal]]</f>
        <v>0</v>
      </c>
      <c r="T188" s="8" t="str">
        <f>IF(Table1[[#This Row],[pledged]]=0,"no backers",Table1[[#This Row],[pledged]]/Table1[[#This Row],[backers_count]])</f>
        <v>no backers</v>
      </c>
      <c r="U188" t="str">
        <f>LEFT(Table1[[#This Row],[Category and Sub-Category]],FIND("/",Table1[[#This Row],[Category and Sub-Category]])-1)</f>
        <v>film &amp; video</v>
      </c>
      <c r="V188" t="str">
        <f>RIGHT(Table1[[#This Row],[Category and Sub-Category]],LEN(Table1[[#This Row],[Category and Sub-Category]])-FIND("/",Table1[[#This Row],[Category and Sub-Category]]))</f>
        <v>drama</v>
      </c>
    </row>
    <row r="189" spans="1:22" ht="43.2" x14ac:dyDescent="0.3">
      <c r="A189">
        <v>187</v>
      </c>
      <c r="B189" s="3" t="s">
        <v>189</v>
      </c>
      <c r="C189" s="3" t="s">
        <v>4297</v>
      </c>
      <c r="D189" s="12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>((Table1[[#This Row],[deadline]]/60)/60/24)+DATE(1970,1,1)</f>
        <v>42206.290972222225</v>
      </c>
      <c r="K189">
        <v>1435383457</v>
      </c>
      <c r="L189" s="11">
        <f>((Table1[[#This Row],[launched_at]]/60)/60/24)+DATE(1970,1,1)</f>
        <v>42182.234456018516</v>
      </c>
      <c r="M189">
        <f>MONTH(Table1[[#This Row],[Date Created Conversion]])</f>
        <v>6</v>
      </c>
      <c r="N189">
        <f>YEAR(Table1[[#This Row],[Date Created Conversion]])</f>
        <v>2015</v>
      </c>
      <c r="O189" t="b">
        <v>0</v>
      </c>
      <c r="P189">
        <v>5</v>
      </c>
      <c r="Q189" t="b">
        <v>0</v>
      </c>
      <c r="R189" t="s">
        <v>8268</v>
      </c>
      <c r="S189" s="6">
        <f>Table1[[#This Row],[pledged]]/Table1[[#This Row],[goal]]</f>
        <v>0.16</v>
      </c>
      <c r="T189" s="8">
        <f>IF(Table1[[#This Row],[pledged]]=0,"no backers",Table1[[#This Row],[pledged]]/Table1[[#This Row],[backers_count]])</f>
        <v>160</v>
      </c>
      <c r="U189" t="str">
        <f>LEFT(Table1[[#This Row],[Category and Sub-Category]],FIND("/",Table1[[#This Row],[Category and Sub-Category]])-1)</f>
        <v>film &amp; video</v>
      </c>
      <c r="V189" t="str">
        <f>RIGHT(Table1[[#This Row],[Category and Sub-Category]],LEN(Table1[[#This Row],[Category and Sub-Category]])-FIND("/",Table1[[#This Row],[Category and Sub-Category]]))</f>
        <v>drama</v>
      </c>
    </row>
    <row r="190" spans="1:22" ht="43.2" x14ac:dyDescent="0.3">
      <c r="A190">
        <v>188</v>
      </c>
      <c r="B190" s="3" t="s">
        <v>190</v>
      </c>
      <c r="C190" s="3" t="s">
        <v>4298</v>
      </c>
      <c r="D190" s="12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>((Table1[[#This Row],[deadline]]/60)/60/24)+DATE(1970,1,1)</f>
        <v>41887.18304398148</v>
      </c>
      <c r="K190">
        <v>1407299015</v>
      </c>
      <c r="L190" s="11">
        <f>((Table1[[#This Row],[launched_at]]/60)/60/24)+DATE(1970,1,1)</f>
        <v>41857.18304398148</v>
      </c>
      <c r="M190">
        <f>MONTH(Table1[[#This Row],[Date Created Conversion]])</f>
        <v>8</v>
      </c>
      <c r="N190">
        <f>YEAR(Table1[[#This Row],[Date Created Conversion]])</f>
        <v>2014</v>
      </c>
      <c r="O190" t="b">
        <v>0</v>
      </c>
      <c r="P190">
        <v>0</v>
      </c>
      <c r="Q190" t="b">
        <v>0</v>
      </c>
      <c r="R190" t="s">
        <v>8268</v>
      </c>
      <c r="S190" s="6">
        <f>Table1[[#This Row],[pledged]]/Table1[[#This Row],[goal]]</f>
        <v>0</v>
      </c>
      <c r="T190" s="8" t="str">
        <f>IF(Table1[[#This Row],[pledged]]=0,"no backers",Table1[[#This Row],[pledged]]/Table1[[#This Row],[backers_count]])</f>
        <v>no backers</v>
      </c>
      <c r="U190" t="str">
        <f>LEFT(Table1[[#This Row],[Category and Sub-Category]],FIND("/",Table1[[#This Row],[Category and Sub-Category]])-1)</f>
        <v>film &amp; video</v>
      </c>
      <c r="V190" t="str">
        <f>RIGHT(Table1[[#This Row],[Category and Sub-Category]],LEN(Table1[[#This Row],[Category and Sub-Category]])-FIND("/",Table1[[#This Row],[Category and Sub-Category]]))</f>
        <v>drama</v>
      </c>
    </row>
    <row r="191" spans="1:22" ht="43.2" x14ac:dyDescent="0.3">
      <c r="A191">
        <v>189</v>
      </c>
      <c r="B191" s="3" t="s">
        <v>191</v>
      </c>
      <c r="C191" s="3" t="s">
        <v>4299</v>
      </c>
      <c r="D191" s="12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>((Table1[[#This Row],[deadline]]/60)/60/24)+DATE(1970,1,1)</f>
        <v>42616.690706018519</v>
      </c>
      <c r="K191">
        <v>1467736477</v>
      </c>
      <c r="L191" s="11">
        <f>((Table1[[#This Row],[launched_at]]/60)/60/24)+DATE(1970,1,1)</f>
        <v>42556.690706018519</v>
      </c>
      <c r="M191">
        <f>MONTH(Table1[[#This Row],[Date Created Conversion]])</f>
        <v>7</v>
      </c>
      <c r="N191">
        <f>YEAR(Table1[[#This Row],[Date Created Conversion]])</f>
        <v>2016</v>
      </c>
      <c r="O191" t="b">
        <v>0</v>
      </c>
      <c r="P191">
        <v>5</v>
      </c>
      <c r="Q191" t="b">
        <v>0</v>
      </c>
      <c r="R191" t="s">
        <v>8268</v>
      </c>
      <c r="S191" s="6">
        <f>Table1[[#This Row],[pledged]]/Table1[[#This Row],[goal]]</f>
        <v>6.8999999999999997E-4</v>
      </c>
      <c r="T191" s="8">
        <f>IF(Table1[[#This Row],[pledged]]=0,"no backers",Table1[[#This Row],[pledged]]/Table1[[#This Row],[backers_count]])</f>
        <v>69</v>
      </c>
      <c r="U191" t="str">
        <f>LEFT(Table1[[#This Row],[Category and Sub-Category]],FIND("/",Table1[[#This Row],[Category and Sub-Category]])-1)</f>
        <v>film &amp; video</v>
      </c>
      <c r="V191" t="str">
        <f>RIGHT(Table1[[#This Row],[Category and Sub-Category]],LEN(Table1[[#This Row],[Category and Sub-Category]])-FIND("/",Table1[[#This Row],[Category and Sub-Category]]))</f>
        <v>drama</v>
      </c>
    </row>
    <row r="192" spans="1:22" x14ac:dyDescent="0.3">
      <c r="A192">
        <v>190</v>
      </c>
      <c r="B192" s="3" t="s">
        <v>192</v>
      </c>
      <c r="C192" s="3" t="s">
        <v>4300</v>
      </c>
      <c r="D192" s="1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>((Table1[[#This Row],[deadline]]/60)/60/24)+DATE(1970,1,1)</f>
        <v>42537.650995370372</v>
      </c>
      <c r="K192">
        <v>1465227446</v>
      </c>
      <c r="L192" s="11">
        <f>((Table1[[#This Row],[launched_at]]/60)/60/24)+DATE(1970,1,1)</f>
        <v>42527.650995370372</v>
      </c>
      <c r="M192">
        <f>MONTH(Table1[[#This Row],[Date Created Conversion]])</f>
        <v>6</v>
      </c>
      <c r="N192">
        <f>YEAR(Table1[[#This Row],[Date Created Conversion]])</f>
        <v>2016</v>
      </c>
      <c r="O192" t="b">
        <v>0</v>
      </c>
      <c r="P192">
        <v>1</v>
      </c>
      <c r="Q192" t="b">
        <v>0</v>
      </c>
      <c r="R192" t="s">
        <v>8268</v>
      </c>
      <c r="S192" s="6">
        <f>Table1[[#This Row],[pledged]]/Table1[[#This Row],[goal]]</f>
        <v>4.1666666666666666E-3</v>
      </c>
      <c r="T192" s="8">
        <f>IF(Table1[[#This Row],[pledged]]=0,"no backers",Table1[[#This Row],[pledged]]/Table1[[#This Row],[backers_count]])</f>
        <v>50</v>
      </c>
      <c r="U192" t="str">
        <f>LEFT(Table1[[#This Row],[Category and Sub-Category]],FIND("/",Table1[[#This Row],[Category and Sub-Category]])-1)</f>
        <v>film &amp; video</v>
      </c>
      <c r="V192" t="str">
        <f>RIGHT(Table1[[#This Row],[Category and Sub-Category]],LEN(Table1[[#This Row],[Category and Sub-Category]])-FIND("/",Table1[[#This Row],[Category and Sub-Category]]))</f>
        <v>drama</v>
      </c>
    </row>
    <row r="193" spans="1:22" ht="43.2" x14ac:dyDescent="0.3">
      <c r="A193">
        <v>191</v>
      </c>
      <c r="B193" s="3" t="s">
        <v>193</v>
      </c>
      <c r="C193" s="3" t="s">
        <v>4301</v>
      </c>
      <c r="D193" s="12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>((Table1[[#This Row],[deadline]]/60)/60/24)+DATE(1970,1,1)</f>
        <v>42279.441412037035</v>
      </c>
      <c r="K193">
        <v>1440326138</v>
      </c>
      <c r="L193" s="11">
        <f>((Table1[[#This Row],[launched_at]]/60)/60/24)+DATE(1970,1,1)</f>
        <v>42239.441412037035</v>
      </c>
      <c r="M193">
        <f>MONTH(Table1[[#This Row],[Date Created Conversion]])</f>
        <v>8</v>
      </c>
      <c r="N193">
        <f>YEAR(Table1[[#This Row],[Date Created Conversion]])</f>
        <v>2015</v>
      </c>
      <c r="O193" t="b">
        <v>0</v>
      </c>
      <c r="P193">
        <v>3</v>
      </c>
      <c r="Q193" t="b">
        <v>0</v>
      </c>
      <c r="R193" t="s">
        <v>8268</v>
      </c>
      <c r="S193" s="6">
        <f>Table1[[#This Row],[pledged]]/Table1[[#This Row],[goal]]</f>
        <v>0.05</v>
      </c>
      <c r="T193" s="8">
        <f>IF(Table1[[#This Row],[pledged]]=0,"no backers",Table1[[#This Row],[pledged]]/Table1[[#This Row],[backers_count]])</f>
        <v>83.333333333333329</v>
      </c>
      <c r="U193" t="str">
        <f>LEFT(Table1[[#This Row],[Category and Sub-Category]],FIND("/",Table1[[#This Row],[Category and Sub-Category]])-1)</f>
        <v>film &amp; video</v>
      </c>
      <c r="V193" t="str">
        <f>RIGHT(Table1[[#This Row],[Category and Sub-Category]],LEN(Table1[[#This Row],[Category and Sub-Category]])-FIND("/",Table1[[#This Row],[Category and Sub-Category]]))</f>
        <v>drama</v>
      </c>
    </row>
    <row r="194" spans="1:22" ht="57.6" x14ac:dyDescent="0.3">
      <c r="A194">
        <v>192</v>
      </c>
      <c r="B194" s="3" t="s">
        <v>194</v>
      </c>
      <c r="C194" s="3" t="s">
        <v>4302</v>
      </c>
      <c r="D194" s="12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>((Table1[[#This Row],[deadline]]/60)/60/24)+DATE(1970,1,1)</f>
        <v>41929.792037037041</v>
      </c>
      <c r="K194">
        <v>1410980432</v>
      </c>
      <c r="L194" s="11">
        <f>((Table1[[#This Row],[launched_at]]/60)/60/24)+DATE(1970,1,1)</f>
        <v>41899.792037037041</v>
      </c>
      <c r="M194">
        <f>MONTH(Table1[[#This Row],[Date Created Conversion]])</f>
        <v>9</v>
      </c>
      <c r="N194">
        <f>YEAR(Table1[[#This Row],[Date Created Conversion]])</f>
        <v>2014</v>
      </c>
      <c r="O194" t="b">
        <v>0</v>
      </c>
      <c r="P194">
        <v>3</v>
      </c>
      <c r="Q194" t="b">
        <v>0</v>
      </c>
      <c r="R194" t="s">
        <v>8268</v>
      </c>
      <c r="S194" s="6">
        <f>Table1[[#This Row],[pledged]]/Table1[[#This Row],[goal]]</f>
        <v>1.7E-5</v>
      </c>
      <c r="T194" s="8">
        <f>IF(Table1[[#This Row],[pledged]]=0,"no backers",Table1[[#This Row],[pledged]]/Table1[[#This Row],[backers_count]])</f>
        <v>5.666666666666667</v>
      </c>
      <c r="U194" t="str">
        <f>LEFT(Table1[[#This Row],[Category and Sub-Category]],FIND("/",Table1[[#This Row],[Category and Sub-Category]])-1)</f>
        <v>film &amp; video</v>
      </c>
      <c r="V194" t="str">
        <f>RIGHT(Table1[[#This Row],[Category and Sub-Category]],LEN(Table1[[#This Row],[Category and Sub-Category]])-FIND("/",Table1[[#This Row],[Category and Sub-Category]]))</f>
        <v>drama</v>
      </c>
    </row>
    <row r="195" spans="1:22" ht="57.6" x14ac:dyDescent="0.3">
      <c r="A195">
        <v>193</v>
      </c>
      <c r="B195" s="3" t="s">
        <v>195</v>
      </c>
      <c r="C195" s="3" t="s">
        <v>4303</v>
      </c>
      <c r="D195" s="12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>((Table1[[#This Row],[deadline]]/60)/60/24)+DATE(1970,1,1)</f>
        <v>41971.976458333331</v>
      </c>
      <c r="K195">
        <v>1412029566</v>
      </c>
      <c r="L195" s="11">
        <f>((Table1[[#This Row],[launched_at]]/60)/60/24)+DATE(1970,1,1)</f>
        <v>41911.934791666667</v>
      </c>
      <c r="M195">
        <f>MONTH(Table1[[#This Row],[Date Created Conversion]])</f>
        <v>9</v>
      </c>
      <c r="N195">
        <f>YEAR(Table1[[#This Row],[Date Created Conversion]])</f>
        <v>2014</v>
      </c>
      <c r="O195" t="b">
        <v>0</v>
      </c>
      <c r="P195">
        <v>0</v>
      </c>
      <c r="Q195" t="b">
        <v>0</v>
      </c>
      <c r="R195" t="s">
        <v>8268</v>
      </c>
      <c r="S195" s="6">
        <f>Table1[[#This Row],[pledged]]/Table1[[#This Row],[goal]]</f>
        <v>0</v>
      </c>
      <c r="T195" s="8" t="str">
        <f>IF(Table1[[#This Row],[pledged]]=0,"no backers",Table1[[#This Row],[pledged]]/Table1[[#This Row],[backers_count]])</f>
        <v>no backers</v>
      </c>
      <c r="U195" t="str">
        <f>LEFT(Table1[[#This Row],[Category and Sub-Category]],FIND("/",Table1[[#This Row],[Category and Sub-Category]])-1)</f>
        <v>film &amp; video</v>
      </c>
      <c r="V195" t="str">
        <f>RIGHT(Table1[[#This Row],[Category and Sub-Category]],LEN(Table1[[#This Row],[Category and Sub-Category]])-FIND("/",Table1[[#This Row],[Category and Sub-Category]]))</f>
        <v>drama</v>
      </c>
    </row>
    <row r="196" spans="1:22" ht="43.2" x14ac:dyDescent="0.3">
      <c r="A196">
        <v>194</v>
      </c>
      <c r="B196" s="3" t="s">
        <v>196</v>
      </c>
      <c r="C196" s="3" t="s">
        <v>4304</v>
      </c>
      <c r="D196" s="12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>((Table1[[#This Row],[deadline]]/60)/60/24)+DATE(1970,1,1)</f>
        <v>42435.996886574074</v>
      </c>
      <c r="K196">
        <v>1452124531</v>
      </c>
      <c r="L196" s="11">
        <f>((Table1[[#This Row],[launched_at]]/60)/60/24)+DATE(1970,1,1)</f>
        <v>42375.996886574074</v>
      </c>
      <c r="M196">
        <f>MONTH(Table1[[#This Row],[Date Created Conversion]])</f>
        <v>1</v>
      </c>
      <c r="N196">
        <f>YEAR(Table1[[#This Row],[Date Created Conversion]])</f>
        <v>2016</v>
      </c>
      <c r="O196" t="b">
        <v>0</v>
      </c>
      <c r="P196">
        <v>3</v>
      </c>
      <c r="Q196" t="b">
        <v>0</v>
      </c>
      <c r="R196" t="s">
        <v>8268</v>
      </c>
      <c r="S196" s="6">
        <f>Table1[[#This Row],[pledged]]/Table1[[#This Row],[goal]]</f>
        <v>1.1999999999999999E-3</v>
      </c>
      <c r="T196" s="8">
        <f>IF(Table1[[#This Row],[pledged]]=0,"no backers",Table1[[#This Row],[pledged]]/Table1[[#This Row],[backers_count]])</f>
        <v>1</v>
      </c>
      <c r="U196" t="str">
        <f>LEFT(Table1[[#This Row],[Category and Sub-Category]],FIND("/",Table1[[#This Row],[Category and Sub-Category]])-1)</f>
        <v>film &amp; video</v>
      </c>
      <c r="V196" t="str">
        <f>RIGHT(Table1[[#This Row],[Category and Sub-Category]],LEN(Table1[[#This Row],[Category and Sub-Category]])-FIND("/",Table1[[#This Row],[Category and Sub-Category]]))</f>
        <v>drama</v>
      </c>
    </row>
    <row r="197" spans="1:22" ht="43.2" x14ac:dyDescent="0.3">
      <c r="A197">
        <v>195</v>
      </c>
      <c r="B197" s="3" t="s">
        <v>197</v>
      </c>
      <c r="C197" s="3" t="s">
        <v>4305</v>
      </c>
      <c r="D197" s="12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>((Table1[[#This Row],[deadline]]/60)/60/24)+DATE(1970,1,1)</f>
        <v>42195.67050925926</v>
      </c>
      <c r="K197">
        <v>1431360332</v>
      </c>
      <c r="L197" s="11">
        <f>((Table1[[#This Row],[launched_at]]/60)/60/24)+DATE(1970,1,1)</f>
        <v>42135.67050925926</v>
      </c>
      <c r="M197">
        <f>MONTH(Table1[[#This Row],[Date Created Conversion]])</f>
        <v>5</v>
      </c>
      <c r="N197">
        <f>YEAR(Table1[[#This Row],[Date Created Conversion]])</f>
        <v>2015</v>
      </c>
      <c r="O197" t="b">
        <v>0</v>
      </c>
      <c r="P197">
        <v>0</v>
      </c>
      <c r="Q197" t="b">
        <v>0</v>
      </c>
      <c r="R197" t="s">
        <v>8268</v>
      </c>
      <c r="S197" s="6">
        <f>Table1[[#This Row],[pledged]]/Table1[[#This Row],[goal]]</f>
        <v>0</v>
      </c>
      <c r="T197" s="8" t="str">
        <f>IF(Table1[[#This Row],[pledged]]=0,"no backers",Table1[[#This Row],[pledged]]/Table1[[#This Row],[backers_count]])</f>
        <v>no backers</v>
      </c>
      <c r="U197" t="str">
        <f>LEFT(Table1[[#This Row],[Category and Sub-Category]],FIND("/",Table1[[#This Row],[Category and Sub-Category]])-1)</f>
        <v>film &amp; video</v>
      </c>
      <c r="V197" t="str">
        <f>RIGHT(Table1[[#This Row],[Category and Sub-Category]],LEN(Table1[[#This Row],[Category and Sub-Category]])-FIND("/",Table1[[#This Row],[Category and Sub-Category]]))</f>
        <v>drama</v>
      </c>
    </row>
    <row r="198" spans="1:22" ht="43.2" x14ac:dyDescent="0.3">
      <c r="A198">
        <v>196</v>
      </c>
      <c r="B198" s="3" t="s">
        <v>198</v>
      </c>
      <c r="C198" s="3" t="s">
        <v>4306</v>
      </c>
      <c r="D198" s="12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>((Table1[[#This Row],[deadline]]/60)/60/24)+DATE(1970,1,1)</f>
        <v>42287.875</v>
      </c>
      <c r="K198">
        <v>1442062898</v>
      </c>
      <c r="L198" s="11">
        <f>((Table1[[#This Row],[launched_at]]/60)/60/24)+DATE(1970,1,1)</f>
        <v>42259.542800925927</v>
      </c>
      <c r="M198">
        <f>MONTH(Table1[[#This Row],[Date Created Conversion]])</f>
        <v>9</v>
      </c>
      <c r="N198">
        <f>YEAR(Table1[[#This Row],[Date Created Conversion]])</f>
        <v>2015</v>
      </c>
      <c r="O198" t="b">
        <v>0</v>
      </c>
      <c r="P198">
        <v>19</v>
      </c>
      <c r="Q198" t="b">
        <v>0</v>
      </c>
      <c r="R198" t="s">
        <v>8268</v>
      </c>
      <c r="S198" s="6">
        <f>Table1[[#This Row],[pledged]]/Table1[[#This Row],[goal]]</f>
        <v>0.41857142857142859</v>
      </c>
      <c r="T198" s="8">
        <f>IF(Table1[[#This Row],[pledged]]=0,"no backers",Table1[[#This Row],[pledged]]/Table1[[#This Row],[backers_count]])</f>
        <v>77.10526315789474</v>
      </c>
      <c r="U198" t="str">
        <f>LEFT(Table1[[#This Row],[Category and Sub-Category]],FIND("/",Table1[[#This Row],[Category and Sub-Category]])-1)</f>
        <v>film &amp; video</v>
      </c>
      <c r="V198" t="str">
        <f>RIGHT(Table1[[#This Row],[Category and Sub-Category]],LEN(Table1[[#This Row],[Category and Sub-Category]])-FIND("/",Table1[[#This Row],[Category and Sub-Category]]))</f>
        <v>drama</v>
      </c>
    </row>
    <row r="199" spans="1:22" ht="43.2" x14ac:dyDescent="0.3">
      <c r="A199">
        <v>197</v>
      </c>
      <c r="B199" s="3" t="s">
        <v>199</v>
      </c>
      <c r="C199" s="3" t="s">
        <v>4307</v>
      </c>
      <c r="D199" s="12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>((Table1[[#This Row],[deadline]]/60)/60/24)+DATE(1970,1,1)</f>
        <v>42783.875</v>
      </c>
      <c r="K199">
        <v>1483734100</v>
      </c>
      <c r="L199" s="11">
        <f>((Table1[[#This Row],[launched_at]]/60)/60/24)+DATE(1970,1,1)</f>
        <v>42741.848379629635</v>
      </c>
      <c r="M199">
        <f>MONTH(Table1[[#This Row],[Date Created Conversion]])</f>
        <v>1</v>
      </c>
      <c r="N199">
        <f>YEAR(Table1[[#This Row],[Date Created Conversion]])</f>
        <v>2017</v>
      </c>
      <c r="O199" t="b">
        <v>0</v>
      </c>
      <c r="P199">
        <v>8</v>
      </c>
      <c r="Q199" t="b">
        <v>0</v>
      </c>
      <c r="R199" t="s">
        <v>8268</v>
      </c>
      <c r="S199" s="6">
        <f>Table1[[#This Row],[pledged]]/Table1[[#This Row],[goal]]</f>
        <v>0.1048</v>
      </c>
      <c r="T199" s="8">
        <f>IF(Table1[[#This Row],[pledged]]=0,"no backers",Table1[[#This Row],[pledged]]/Table1[[#This Row],[backers_count]])</f>
        <v>32.75</v>
      </c>
      <c r="U199" t="str">
        <f>LEFT(Table1[[#This Row],[Category and Sub-Category]],FIND("/",Table1[[#This Row],[Category and Sub-Category]])-1)</f>
        <v>film &amp; video</v>
      </c>
      <c r="V199" t="str">
        <f>RIGHT(Table1[[#This Row],[Category and Sub-Category]],LEN(Table1[[#This Row],[Category and Sub-Category]])-FIND("/",Table1[[#This Row],[Category and Sub-Category]]))</f>
        <v>drama</v>
      </c>
    </row>
    <row r="200" spans="1:22" ht="43.2" x14ac:dyDescent="0.3">
      <c r="A200">
        <v>198</v>
      </c>
      <c r="B200" s="3" t="s">
        <v>200</v>
      </c>
      <c r="C200" s="3" t="s">
        <v>4308</v>
      </c>
      <c r="D200" s="12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>((Table1[[#This Row],[deadline]]/60)/60/24)+DATE(1970,1,1)</f>
        <v>41917.383356481485</v>
      </c>
      <c r="K200">
        <v>1409908322</v>
      </c>
      <c r="L200" s="11">
        <f>((Table1[[#This Row],[launched_at]]/60)/60/24)+DATE(1970,1,1)</f>
        <v>41887.383356481485</v>
      </c>
      <c r="M200">
        <f>MONTH(Table1[[#This Row],[Date Created Conversion]])</f>
        <v>9</v>
      </c>
      <c r="N200">
        <f>YEAR(Table1[[#This Row],[Date Created Conversion]])</f>
        <v>2014</v>
      </c>
      <c r="O200" t="b">
        <v>0</v>
      </c>
      <c r="P200">
        <v>6</v>
      </c>
      <c r="Q200" t="b">
        <v>0</v>
      </c>
      <c r="R200" t="s">
        <v>8268</v>
      </c>
      <c r="S200" s="6">
        <f>Table1[[#This Row],[pledged]]/Table1[[#This Row],[goal]]</f>
        <v>1.116E-2</v>
      </c>
      <c r="T200" s="8">
        <f>IF(Table1[[#This Row],[pledged]]=0,"no backers",Table1[[#This Row],[pledged]]/Table1[[#This Row],[backers_count]])</f>
        <v>46.5</v>
      </c>
      <c r="U200" t="str">
        <f>LEFT(Table1[[#This Row],[Category and Sub-Category]],FIND("/",Table1[[#This Row],[Category and Sub-Category]])-1)</f>
        <v>film &amp; video</v>
      </c>
      <c r="V200" t="str">
        <f>RIGHT(Table1[[#This Row],[Category and Sub-Category]],LEN(Table1[[#This Row],[Category and Sub-Category]])-FIND("/",Table1[[#This Row],[Category and Sub-Category]]))</f>
        <v>drama</v>
      </c>
    </row>
    <row r="201" spans="1:22" ht="43.2" x14ac:dyDescent="0.3">
      <c r="A201">
        <v>199</v>
      </c>
      <c r="B201" s="3" t="s">
        <v>201</v>
      </c>
      <c r="C201" s="3" t="s">
        <v>4309</v>
      </c>
      <c r="D201" s="12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>((Table1[[#This Row],[deadline]]/60)/60/24)+DATE(1970,1,1)</f>
        <v>42614.123865740738</v>
      </c>
      <c r="K201">
        <v>1470106702</v>
      </c>
      <c r="L201" s="11">
        <f>((Table1[[#This Row],[launched_at]]/60)/60/24)+DATE(1970,1,1)</f>
        <v>42584.123865740738</v>
      </c>
      <c r="M201">
        <f>MONTH(Table1[[#This Row],[Date Created Conversion]])</f>
        <v>8</v>
      </c>
      <c r="N201">
        <f>YEAR(Table1[[#This Row],[Date Created Conversion]])</f>
        <v>2016</v>
      </c>
      <c r="O201" t="b">
        <v>0</v>
      </c>
      <c r="P201">
        <v>0</v>
      </c>
      <c r="Q201" t="b">
        <v>0</v>
      </c>
      <c r="R201" t="s">
        <v>8268</v>
      </c>
      <c r="S201" s="6">
        <f>Table1[[#This Row],[pledged]]/Table1[[#This Row],[goal]]</f>
        <v>0</v>
      </c>
      <c r="T201" s="8" t="str">
        <f>IF(Table1[[#This Row],[pledged]]=0,"no backers",Table1[[#This Row],[pledged]]/Table1[[#This Row],[backers_count]])</f>
        <v>no backers</v>
      </c>
      <c r="U201" t="str">
        <f>LEFT(Table1[[#This Row],[Category and Sub-Category]],FIND("/",Table1[[#This Row],[Category and Sub-Category]])-1)</f>
        <v>film &amp; video</v>
      </c>
      <c r="V201" t="str">
        <f>RIGHT(Table1[[#This Row],[Category and Sub-Category]],LEN(Table1[[#This Row],[Category and Sub-Category]])-FIND("/",Table1[[#This Row],[Category and Sub-Category]]))</f>
        <v>drama</v>
      </c>
    </row>
    <row r="202" spans="1:22" ht="28.8" x14ac:dyDescent="0.3">
      <c r="A202">
        <v>200</v>
      </c>
      <c r="B202" s="3" t="s">
        <v>202</v>
      </c>
      <c r="C202" s="3" t="s">
        <v>4310</v>
      </c>
      <c r="D202" s="1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>((Table1[[#This Row],[deadline]]/60)/60/24)+DATE(1970,1,1)</f>
        <v>41897.083368055559</v>
      </c>
      <c r="K202">
        <v>1408154403</v>
      </c>
      <c r="L202" s="11">
        <f>((Table1[[#This Row],[launched_at]]/60)/60/24)+DATE(1970,1,1)</f>
        <v>41867.083368055559</v>
      </c>
      <c r="M202">
        <f>MONTH(Table1[[#This Row],[Date Created Conversion]])</f>
        <v>8</v>
      </c>
      <c r="N202">
        <f>YEAR(Table1[[#This Row],[Date Created Conversion]])</f>
        <v>2014</v>
      </c>
      <c r="O202" t="b">
        <v>0</v>
      </c>
      <c r="P202">
        <v>18</v>
      </c>
      <c r="Q202" t="b">
        <v>0</v>
      </c>
      <c r="R202" t="s">
        <v>8268</v>
      </c>
      <c r="S202" s="6">
        <f>Table1[[#This Row],[pledged]]/Table1[[#This Row],[goal]]</f>
        <v>0.26192500000000002</v>
      </c>
      <c r="T202" s="8">
        <f>IF(Table1[[#This Row],[pledged]]=0,"no backers",Table1[[#This Row],[pledged]]/Table1[[#This Row],[backers_count]])</f>
        <v>87.308333333333337</v>
      </c>
      <c r="U202" t="str">
        <f>LEFT(Table1[[#This Row],[Category and Sub-Category]],FIND("/",Table1[[#This Row],[Category and Sub-Category]])-1)</f>
        <v>film &amp; video</v>
      </c>
      <c r="V202" t="str">
        <f>RIGHT(Table1[[#This Row],[Category and Sub-Category]],LEN(Table1[[#This Row],[Category and Sub-Category]])-FIND("/",Table1[[#This Row],[Category and Sub-Category]]))</f>
        <v>drama</v>
      </c>
    </row>
    <row r="203" spans="1:22" ht="43.2" x14ac:dyDescent="0.3">
      <c r="A203">
        <v>201</v>
      </c>
      <c r="B203" s="3" t="s">
        <v>203</v>
      </c>
      <c r="C203" s="3" t="s">
        <v>4311</v>
      </c>
      <c r="D203" s="12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>((Table1[[#This Row],[deadline]]/60)/60/24)+DATE(1970,1,1)</f>
        <v>42043.818622685183</v>
      </c>
      <c r="K203">
        <v>1421696329</v>
      </c>
      <c r="L203" s="11">
        <f>((Table1[[#This Row],[launched_at]]/60)/60/24)+DATE(1970,1,1)</f>
        <v>42023.818622685183</v>
      </c>
      <c r="M203">
        <f>MONTH(Table1[[#This Row],[Date Created Conversion]])</f>
        <v>1</v>
      </c>
      <c r="N203">
        <f>YEAR(Table1[[#This Row],[Date Created Conversion]])</f>
        <v>2015</v>
      </c>
      <c r="O203" t="b">
        <v>0</v>
      </c>
      <c r="P203">
        <v>7</v>
      </c>
      <c r="Q203" t="b">
        <v>0</v>
      </c>
      <c r="R203" t="s">
        <v>8268</v>
      </c>
      <c r="S203" s="6">
        <f>Table1[[#This Row],[pledged]]/Table1[[#This Row],[goal]]</f>
        <v>0.58461538461538465</v>
      </c>
      <c r="T203" s="8">
        <f>IF(Table1[[#This Row],[pledged]]=0,"no backers",Table1[[#This Row],[pledged]]/Table1[[#This Row],[backers_count]])</f>
        <v>54.285714285714285</v>
      </c>
      <c r="U203" t="str">
        <f>LEFT(Table1[[#This Row],[Category and Sub-Category]],FIND("/",Table1[[#This Row],[Category and Sub-Category]])-1)</f>
        <v>film &amp; video</v>
      </c>
      <c r="V203" t="str">
        <f>RIGHT(Table1[[#This Row],[Category and Sub-Category]],LEN(Table1[[#This Row],[Category and Sub-Category]])-FIND("/",Table1[[#This Row],[Category and Sub-Category]]))</f>
        <v>drama</v>
      </c>
    </row>
    <row r="204" spans="1:22" x14ac:dyDescent="0.3">
      <c r="A204">
        <v>202</v>
      </c>
      <c r="B204" s="3" t="s">
        <v>204</v>
      </c>
      <c r="C204" s="3" t="s">
        <v>4312</v>
      </c>
      <c r="D204" s="12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>((Table1[[#This Row],[deadline]]/60)/60/24)+DATE(1970,1,1)</f>
        <v>42285.874305555553</v>
      </c>
      <c r="K204">
        <v>1441750564</v>
      </c>
      <c r="L204" s="11">
        <f>((Table1[[#This Row],[launched_at]]/60)/60/24)+DATE(1970,1,1)</f>
        <v>42255.927824074075</v>
      </c>
      <c r="M204">
        <f>MONTH(Table1[[#This Row],[Date Created Conversion]])</f>
        <v>9</v>
      </c>
      <c r="N204">
        <f>YEAR(Table1[[#This Row],[Date Created Conversion]])</f>
        <v>2015</v>
      </c>
      <c r="O204" t="b">
        <v>0</v>
      </c>
      <c r="P204">
        <v>0</v>
      </c>
      <c r="Q204" t="b">
        <v>0</v>
      </c>
      <c r="R204" t="s">
        <v>8268</v>
      </c>
      <c r="S204" s="6">
        <f>Table1[[#This Row],[pledged]]/Table1[[#This Row],[goal]]</f>
        <v>0</v>
      </c>
      <c r="T204" s="8" t="str">
        <f>IF(Table1[[#This Row],[pledged]]=0,"no backers",Table1[[#This Row],[pledged]]/Table1[[#This Row],[backers_count]])</f>
        <v>no backers</v>
      </c>
      <c r="U204" t="str">
        <f>LEFT(Table1[[#This Row],[Category and Sub-Category]],FIND("/",Table1[[#This Row],[Category and Sub-Category]])-1)</f>
        <v>film &amp; video</v>
      </c>
      <c r="V204" t="str">
        <f>RIGHT(Table1[[#This Row],[Category and Sub-Category]],LEN(Table1[[#This Row],[Category and Sub-Category]])-FIND("/",Table1[[#This Row],[Category and Sub-Category]]))</f>
        <v>drama</v>
      </c>
    </row>
    <row r="205" spans="1:22" ht="43.2" x14ac:dyDescent="0.3">
      <c r="A205">
        <v>203</v>
      </c>
      <c r="B205" s="3" t="s">
        <v>205</v>
      </c>
      <c r="C205" s="3" t="s">
        <v>4313</v>
      </c>
      <c r="D205" s="12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>((Table1[[#This Row],[deadline]]/60)/60/24)+DATE(1970,1,1)</f>
        <v>42033.847962962958</v>
      </c>
      <c r="K205">
        <v>1417378864</v>
      </c>
      <c r="L205" s="11">
        <f>((Table1[[#This Row],[launched_at]]/60)/60/24)+DATE(1970,1,1)</f>
        <v>41973.847962962958</v>
      </c>
      <c r="M205">
        <f>MONTH(Table1[[#This Row],[Date Created Conversion]])</f>
        <v>11</v>
      </c>
      <c r="N205">
        <f>YEAR(Table1[[#This Row],[Date Created Conversion]])</f>
        <v>2014</v>
      </c>
      <c r="O205" t="b">
        <v>0</v>
      </c>
      <c r="P205">
        <v>8</v>
      </c>
      <c r="Q205" t="b">
        <v>0</v>
      </c>
      <c r="R205" t="s">
        <v>8268</v>
      </c>
      <c r="S205" s="6">
        <f>Table1[[#This Row],[pledged]]/Table1[[#This Row],[goal]]</f>
        <v>0.2984</v>
      </c>
      <c r="T205" s="8">
        <f>IF(Table1[[#This Row],[pledged]]=0,"no backers",Table1[[#This Row],[pledged]]/Table1[[#This Row],[backers_count]])</f>
        <v>93.25</v>
      </c>
      <c r="U205" t="str">
        <f>LEFT(Table1[[#This Row],[Category and Sub-Category]],FIND("/",Table1[[#This Row],[Category and Sub-Category]])-1)</f>
        <v>film &amp; video</v>
      </c>
      <c r="V205" t="str">
        <f>RIGHT(Table1[[#This Row],[Category and Sub-Category]],LEN(Table1[[#This Row],[Category and Sub-Category]])-FIND("/",Table1[[#This Row],[Category and Sub-Category]]))</f>
        <v>drama</v>
      </c>
    </row>
    <row r="206" spans="1:22" ht="43.2" x14ac:dyDescent="0.3">
      <c r="A206">
        <v>204</v>
      </c>
      <c r="B206" s="3" t="s">
        <v>206</v>
      </c>
      <c r="C206" s="3" t="s">
        <v>4314</v>
      </c>
      <c r="D206" s="12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>((Table1[[#This Row],[deadline]]/60)/60/24)+DATE(1970,1,1)</f>
        <v>42586.583368055552</v>
      </c>
      <c r="K206">
        <v>1467727203</v>
      </c>
      <c r="L206" s="11">
        <f>((Table1[[#This Row],[launched_at]]/60)/60/24)+DATE(1970,1,1)</f>
        <v>42556.583368055552</v>
      </c>
      <c r="M206">
        <f>MONTH(Table1[[#This Row],[Date Created Conversion]])</f>
        <v>7</v>
      </c>
      <c r="N206">
        <f>YEAR(Table1[[#This Row],[Date Created Conversion]])</f>
        <v>2016</v>
      </c>
      <c r="O206" t="b">
        <v>0</v>
      </c>
      <c r="P206">
        <v>1293</v>
      </c>
      <c r="Q206" t="b">
        <v>0</v>
      </c>
      <c r="R206" t="s">
        <v>8268</v>
      </c>
      <c r="S206" s="6">
        <f>Table1[[#This Row],[pledged]]/Table1[[#This Row],[goal]]</f>
        <v>0.50721666666666665</v>
      </c>
      <c r="T206" s="8">
        <f>IF(Table1[[#This Row],[pledged]]=0,"no backers",Table1[[#This Row],[pledged]]/Table1[[#This Row],[backers_count]])</f>
        <v>117.68368136117556</v>
      </c>
      <c r="U206" t="str">
        <f>LEFT(Table1[[#This Row],[Category and Sub-Category]],FIND("/",Table1[[#This Row],[Category and Sub-Category]])-1)</f>
        <v>film &amp; video</v>
      </c>
      <c r="V206" t="str">
        <f>RIGHT(Table1[[#This Row],[Category and Sub-Category]],LEN(Table1[[#This Row],[Category and Sub-Category]])-FIND("/",Table1[[#This Row],[Category and Sub-Category]]))</f>
        <v>drama</v>
      </c>
    </row>
    <row r="207" spans="1:22" ht="43.2" x14ac:dyDescent="0.3">
      <c r="A207">
        <v>205</v>
      </c>
      <c r="B207" s="3" t="s">
        <v>207</v>
      </c>
      <c r="C207" s="3" t="s">
        <v>4315</v>
      </c>
      <c r="D207" s="12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>((Table1[[#This Row],[deadline]]/60)/60/24)+DATE(1970,1,1)</f>
        <v>42283.632199074069</v>
      </c>
      <c r="K207">
        <v>1441120222</v>
      </c>
      <c r="L207" s="11">
        <f>((Table1[[#This Row],[launched_at]]/60)/60/24)+DATE(1970,1,1)</f>
        <v>42248.632199074069</v>
      </c>
      <c r="M207">
        <f>MONTH(Table1[[#This Row],[Date Created Conversion]])</f>
        <v>9</v>
      </c>
      <c r="N207">
        <f>YEAR(Table1[[#This Row],[Date Created Conversion]])</f>
        <v>2015</v>
      </c>
      <c r="O207" t="b">
        <v>0</v>
      </c>
      <c r="P207">
        <v>17</v>
      </c>
      <c r="Q207" t="b">
        <v>0</v>
      </c>
      <c r="R207" t="s">
        <v>8268</v>
      </c>
      <c r="S207" s="6">
        <f>Table1[[#This Row],[pledged]]/Table1[[#This Row],[goal]]</f>
        <v>0.16250000000000001</v>
      </c>
      <c r="T207" s="8">
        <f>IF(Table1[[#This Row],[pledged]]=0,"no backers",Table1[[#This Row],[pledged]]/Table1[[#This Row],[backers_count]])</f>
        <v>76.470588235294116</v>
      </c>
      <c r="U207" t="str">
        <f>LEFT(Table1[[#This Row],[Category and Sub-Category]],FIND("/",Table1[[#This Row],[Category and Sub-Category]])-1)</f>
        <v>film &amp; video</v>
      </c>
      <c r="V207" t="str">
        <f>RIGHT(Table1[[#This Row],[Category and Sub-Category]],LEN(Table1[[#This Row],[Category and Sub-Category]])-FIND("/",Table1[[#This Row],[Category and Sub-Category]]))</f>
        <v>drama</v>
      </c>
    </row>
    <row r="208" spans="1:22" ht="43.2" x14ac:dyDescent="0.3">
      <c r="A208">
        <v>206</v>
      </c>
      <c r="B208" s="3" t="s">
        <v>208</v>
      </c>
      <c r="C208" s="3" t="s">
        <v>4316</v>
      </c>
      <c r="D208" s="12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>((Table1[[#This Row],[deadline]]/60)/60/24)+DATE(1970,1,1)</f>
        <v>42588.004432870366</v>
      </c>
      <c r="K208">
        <v>1468627583</v>
      </c>
      <c r="L208" s="11">
        <f>((Table1[[#This Row],[launched_at]]/60)/60/24)+DATE(1970,1,1)</f>
        <v>42567.004432870366</v>
      </c>
      <c r="M208">
        <f>MONTH(Table1[[#This Row],[Date Created Conversion]])</f>
        <v>7</v>
      </c>
      <c r="N208">
        <f>YEAR(Table1[[#This Row],[Date Created Conversion]])</f>
        <v>2016</v>
      </c>
      <c r="O208" t="b">
        <v>0</v>
      </c>
      <c r="P208">
        <v>0</v>
      </c>
      <c r="Q208" t="b">
        <v>0</v>
      </c>
      <c r="R208" t="s">
        <v>8268</v>
      </c>
      <c r="S208" s="6">
        <f>Table1[[#This Row],[pledged]]/Table1[[#This Row],[goal]]</f>
        <v>0</v>
      </c>
      <c r="T208" s="8" t="str">
        <f>IF(Table1[[#This Row],[pledged]]=0,"no backers",Table1[[#This Row],[pledged]]/Table1[[#This Row],[backers_count]])</f>
        <v>no backers</v>
      </c>
      <c r="U208" t="str">
        <f>LEFT(Table1[[#This Row],[Category and Sub-Category]],FIND("/",Table1[[#This Row],[Category and Sub-Category]])-1)</f>
        <v>film &amp; video</v>
      </c>
      <c r="V208" t="str">
        <f>RIGHT(Table1[[#This Row],[Category and Sub-Category]],LEN(Table1[[#This Row],[Category and Sub-Category]])-FIND("/",Table1[[#This Row],[Category and Sub-Category]]))</f>
        <v>drama</v>
      </c>
    </row>
    <row r="209" spans="1:22" ht="43.2" x14ac:dyDescent="0.3">
      <c r="A209">
        <v>207</v>
      </c>
      <c r="B209" s="3" t="s">
        <v>209</v>
      </c>
      <c r="C209" s="3" t="s">
        <v>4317</v>
      </c>
      <c r="D209" s="12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>((Table1[[#This Row],[deadline]]/60)/60/24)+DATE(1970,1,1)</f>
        <v>42008.197199074071</v>
      </c>
      <c r="K209">
        <v>1417754638</v>
      </c>
      <c r="L209" s="11">
        <f>((Table1[[#This Row],[launched_at]]/60)/60/24)+DATE(1970,1,1)</f>
        <v>41978.197199074071</v>
      </c>
      <c r="M209">
        <f>MONTH(Table1[[#This Row],[Date Created Conversion]])</f>
        <v>12</v>
      </c>
      <c r="N209">
        <f>YEAR(Table1[[#This Row],[Date Created Conversion]])</f>
        <v>2014</v>
      </c>
      <c r="O209" t="b">
        <v>0</v>
      </c>
      <c r="P209">
        <v>13</v>
      </c>
      <c r="Q209" t="b">
        <v>0</v>
      </c>
      <c r="R209" t="s">
        <v>8268</v>
      </c>
      <c r="S209" s="6">
        <f>Table1[[#This Row],[pledged]]/Table1[[#This Row],[goal]]</f>
        <v>0.15214285714285714</v>
      </c>
      <c r="T209" s="8">
        <f>IF(Table1[[#This Row],[pledged]]=0,"no backers",Table1[[#This Row],[pledged]]/Table1[[#This Row],[backers_count]])</f>
        <v>163.84615384615384</v>
      </c>
      <c r="U209" t="str">
        <f>LEFT(Table1[[#This Row],[Category and Sub-Category]],FIND("/",Table1[[#This Row],[Category and Sub-Category]])-1)</f>
        <v>film &amp; video</v>
      </c>
      <c r="V209" t="str">
        <f>RIGHT(Table1[[#This Row],[Category and Sub-Category]],LEN(Table1[[#This Row],[Category and Sub-Category]])-FIND("/",Table1[[#This Row],[Category and Sub-Category]]))</f>
        <v>drama</v>
      </c>
    </row>
    <row r="210" spans="1:22" ht="43.2" x14ac:dyDescent="0.3">
      <c r="A210">
        <v>208</v>
      </c>
      <c r="B210" s="3" t="s">
        <v>210</v>
      </c>
      <c r="C210" s="3" t="s">
        <v>4318</v>
      </c>
      <c r="D210" s="12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>((Table1[[#This Row],[deadline]]/60)/60/24)+DATE(1970,1,1)</f>
        <v>41989.369988425926</v>
      </c>
      <c r="K210">
        <v>1416127967</v>
      </c>
      <c r="L210" s="11">
        <f>((Table1[[#This Row],[launched_at]]/60)/60/24)+DATE(1970,1,1)</f>
        <v>41959.369988425926</v>
      </c>
      <c r="M210">
        <f>MONTH(Table1[[#This Row],[Date Created Conversion]])</f>
        <v>11</v>
      </c>
      <c r="N210">
        <f>YEAR(Table1[[#This Row],[Date Created Conversion]])</f>
        <v>2014</v>
      </c>
      <c r="O210" t="b">
        <v>0</v>
      </c>
      <c r="P210">
        <v>0</v>
      </c>
      <c r="Q210" t="b">
        <v>0</v>
      </c>
      <c r="R210" t="s">
        <v>8268</v>
      </c>
      <c r="S210" s="6">
        <f>Table1[[#This Row],[pledged]]/Table1[[#This Row],[goal]]</f>
        <v>0</v>
      </c>
      <c r="T210" s="8" t="str">
        <f>IF(Table1[[#This Row],[pledged]]=0,"no backers",Table1[[#This Row],[pledged]]/Table1[[#This Row],[backers_count]])</f>
        <v>no backers</v>
      </c>
      <c r="U210" t="str">
        <f>LEFT(Table1[[#This Row],[Category and Sub-Category]],FIND("/",Table1[[#This Row],[Category and Sub-Category]])-1)</f>
        <v>film &amp; video</v>
      </c>
      <c r="V210" t="str">
        <f>RIGHT(Table1[[#This Row],[Category and Sub-Category]],LEN(Table1[[#This Row],[Category and Sub-Category]])-FIND("/",Table1[[#This Row],[Category and Sub-Category]]))</f>
        <v>drama</v>
      </c>
    </row>
    <row r="211" spans="1:22" ht="43.2" x14ac:dyDescent="0.3">
      <c r="A211">
        <v>209</v>
      </c>
      <c r="B211" s="3" t="s">
        <v>211</v>
      </c>
      <c r="C211" s="3" t="s">
        <v>4319</v>
      </c>
      <c r="D211" s="12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>((Table1[[#This Row],[deadline]]/60)/60/24)+DATE(1970,1,1)</f>
        <v>42195.922858796301</v>
      </c>
      <c r="K211">
        <v>1433974135</v>
      </c>
      <c r="L211" s="11">
        <f>((Table1[[#This Row],[launched_at]]/60)/60/24)+DATE(1970,1,1)</f>
        <v>42165.922858796301</v>
      </c>
      <c r="M211">
        <f>MONTH(Table1[[#This Row],[Date Created Conversion]])</f>
        <v>6</v>
      </c>
      <c r="N211">
        <f>YEAR(Table1[[#This Row],[Date Created Conversion]])</f>
        <v>2015</v>
      </c>
      <c r="O211" t="b">
        <v>0</v>
      </c>
      <c r="P211">
        <v>0</v>
      </c>
      <c r="Q211" t="b">
        <v>0</v>
      </c>
      <c r="R211" t="s">
        <v>8268</v>
      </c>
      <c r="S211" s="6">
        <f>Table1[[#This Row],[pledged]]/Table1[[#This Row],[goal]]</f>
        <v>0</v>
      </c>
      <c r="T211" s="8" t="str">
        <f>IF(Table1[[#This Row],[pledged]]=0,"no backers",Table1[[#This Row],[pledged]]/Table1[[#This Row],[backers_count]])</f>
        <v>no backers</v>
      </c>
      <c r="U211" t="str">
        <f>LEFT(Table1[[#This Row],[Category and Sub-Category]],FIND("/",Table1[[#This Row],[Category and Sub-Category]])-1)</f>
        <v>film &amp; video</v>
      </c>
      <c r="V211" t="str">
        <f>RIGHT(Table1[[#This Row],[Category and Sub-Category]],LEN(Table1[[#This Row],[Category and Sub-Category]])-FIND("/",Table1[[#This Row],[Category and Sub-Category]]))</f>
        <v>drama</v>
      </c>
    </row>
    <row r="212" spans="1:22" ht="43.2" x14ac:dyDescent="0.3">
      <c r="A212">
        <v>210</v>
      </c>
      <c r="B212" s="3" t="s">
        <v>212</v>
      </c>
      <c r="C212" s="3" t="s">
        <v>4320</v>
      </c>
      <c r="D212" s="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>((Table1[[#This Row],[deadline]]/60)/60/24)+DATE(1970,1,1)</f>
        <v>42278.208333333328</v>
      </c>
      <c r="K212">
        <v>1441157592</v>
      </c>
      <c r="L212" s="11">
        <f>((Table1[[#This Row],[launched_at]]/60)/60/24)+DATE(1970,1,1)</f>
        <v>42249.064722222218</v>
      </c>
      <c r="M212">
        <f>MONTH(Table1[[#This Row],[Date Created Conversion]])</f>
        <v>9</v>
      </c>
      <c r="N212">
        <f>YEAR(Table1[[#This Row],[Date Created Conversion]])</f>
        <v>2015</v>
      </c>
      <c r="O212" t="b">
        <v>0</v>
      </c>
      <c r="P212">
        <v>33</v>
      </c>
      <c r="Q212" t="b">
        <v>0</v>
      </c>
      <c r="R212" t="s">
        <v>8268</v>
      </c>
      <c r="S212" s="6">
        <f>Table1[[#This Row],[pledged]]/Table1[[#This Row],[goal]]</f>
        <v>0.2525</v>
      </c>
      <c r="T212" s="8">
        <f>IF(Table1[[#This Row],[pledged]]=0,"no backers",Table1[[#This Row],[pledged]]/Table1[[#This Row],[backers_count]])</f>
        <v>91.818181818181813</v>
      </c>
      <c r="U212" t="str">
        <f>LEFT(Table1[[#This Row],[Category and Sub-Category]],FIND("/",Table1[[#This Row],[Category and Sub-Category]])-1)</f>
        <v>film &amp; video</v>
      </c>
      <c r="V212" t="str">
        <f>RIGHT(Table1[[#This Row],[Category and Sub-Category]],LEN(Table1[[#This Row],[Category and Sub-Category]])-FIND("/",Table1[[#This Row],[Category and Sub-Category]]))</f>
        <v>drama</v>
      </c>
    </row>
    <row r="213" spans="1:22" ht="43.2" x14ac:dyDescent="0.3">
      <c r="A213">
        <v>211</v>
      </c>
      <c r="B213" s="3" t="s">
        <v>213</v>
      </c>
      <c r="C213" s="3" t="s">
        <v>4321</v>
      </c>
      <c r="D213" s="12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>((Table1[[#This Row],[deadline]]/60)/60/24)+DATE(1970,1,1)</f>
        <v>42266.159918981488</v>
      </c>
      <c r="K213">
        <v>1440042617</v>
      </c>
      <c r="L213" s="11">
        <f>((Table1[[#This Row],[launched_at]]/60)/60/24)+DATE(1970,1,1)</f>
        <v>42236.159918981488</v>
      </c>
      <c r="M213">
        <f>MONTH(Table1[[#This Row],[Date Created Conversion]])</f>
        <v>8</v>
      </c>
      <c r="N213">
        <f>YEAR(Table1[[#This Row],[Date Created Conversion]])</f>
        <v>2015</v>
      </c>
      <c r="O213" t="b">
        <v>0</v>
      </c>
      <c r="P213">
        <v>12</v>
      </c>
      <c r="Q213" t="b">
        <v>0</v>
      </c>
      <c r="R213" t="s">
        <v>8268</v>
      </c>
      <c r="S213" s="6">
        <f>Table1[[#This Row],[pledged]]/Table1[[#This Row],[goal]]</f>
        <v>0.44600000000000001</v>
      </c>
      <c r="T213" s="8">
        <f>IF(Table1[[#This Row],[pledged]]=0,"no backers",Table1[[#This Row],[pledged]]/Table1[[#This Row],[backers_count]])</f>
        <v>185.83333333333334</v>
      </c>
      <c r="U213" t="str">
        <f>LEFT(Table1[[#This Row],[Category and Sub-Category]],FIND("/",Table1[[#This Row],[Category and Sub-Category]])-1)</f>
        <v>film &amp; video</v>
      </c>
      <c r="V213" t="str">
        <f>RIGHT(Table1[[#This Row],[Category and Sub-Category]],LEN(Table1[[#This Row],[Category and Sub-Category]])-FIND("/",Table1[[#This Row],[Category and Sub-Category]]))</f>
        <v>drama</v>
      </c>
    </row>
    <row r="214" spans="1:22" ht="28.8" x14ac:dyDescent="0.3">
      <c r="A214">
        <v>212</v>
      </c>
      <c r="B214" s="3" t="s">
        <v>214</v>
      </c>
      <c r="C214" s="3" t="s">
        <v>4322</v>
      </c>
      <c r="D214" s="12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>((Table1[[#This Row],[deadline]]/60)/60/24)+DATE(1970,1,1)</f>
        <v>42476.839351851857</v>
      </c>
      <c r="K214">
        <v>1455656920</v>
      </c>
      <c r="L214" s="11">
        <f>((Table1[[#This Row],[launched_at]]/60)/60/24)+DATE(1970,1,1)</f>
        <v>42416.881018518514</v>
      </c>
      <c r="M214">
        <f>MONTH(Table1[[#This Row],[Date Created Conversion]])</f>
        <v>2</v>
      </c>
      <c r="N214">
        <f>YEAR(Table1[[#This Row],[Date Created Conversion]])</f>
        <v>2016</v>
      </c>
      <c r="O214" t="b">
        <v>0</v>
      </c>
      <c r="P214">
        <v>1</v>
      </c>
      <c r="Q214" t="b">
        <v>0</v>
      </c>
      <c r="R214" t="s">
        <v>8268</v>
      </c>
      <c r="S214" s="6">
        <f>Table1[[#This Row],[pledged]]/Table1[[#This Row],[goal]]</f>
        <v>1.5873015873015873E-4</v>
      </c>
      <c r="T214" s="8">
        <f>IF(Table1[[#This Row],[pledged]]=0,"no backers",Table1[[#This Row],[pledged]]/Table1[[#This Row],[backers_count]])</f>
        <v>1</v>
      </c>
      <c r="U214" t="str">
        <f>LEFT(Table1[[#This Row],[Category and Sub-Category]],FIND("/",Table1[[#This Row],[Category and Sub-Category]])-1)</f>
        <v>film &amp; video</v>
      </c>
      <c r="V214" t="str">
        <f>RIGHT(Table1[[#This Row],[Category and Sub-Category]],LEN(Table1[[#This Row],[Category and Sub-Category]])-FIND("/",Table1[[#This Row],[Category and Sub-Category]]))</f>
        <v>drama</v>
      </c>
    </row>
    <row r="215" spans="1:22" ht="43.2" x14ac:dyDescent="0.3">
      <c r="A215">
        <v>213</v>
      </c>
      <c r="B215" s="3" t="s">
        <v>215</v>
      </c>
      <c r="C215" s="3" t="s">
        <v>4323</v>
      </c>
      <c r="D215" s="12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>((Table1[[#This Row],[deadline]]/60)/60/24)+DATE(1970,1,1)</f>
        <v>42232.587974537033</v>
      </c>
      <c r="K215">
        <v>1437142547</v>
      </c>
      <c r="L215" s="11">
        <f>((Table1[[#This Row],[launched_at]]/60)/60/24)+DATE(1970,1,1)</f>
        <v>42202.594293981485</v>
      </c>
      <c r="M215">
        <f>MONTH(Table1[[#This Row],[Date Created Conversion]])</f>
        <v>7</v>
      </c>
      <c r="N215">
        <f>YEAR(Table1[[#This Row],[Date Created Conversion]])</f>
        <v>2015</v>
      </c>
      <c r="O215" t="b">
        <v>0</v>
      </c>
      <c r="P215">
        <v>1</v>
      </c>
      <c r="Q215" t="b">
        <v>0</v>
      </c>
      <c r="R215" t="s">
        <v>8268</v>
      </c>
      <c r="S215" s="6">
        <f>Table1[[#This Row],[pledged]]/Table1[[#This Row],[goal]]</f>
        <v>4.0000000000000002E-4</v>
      </c>
      <c r="T215" s="8">
        <f>IF(Table1[[#This Row],[pledged]]=0,"no backers",Table1[[#This Row],[pledged]]/Table1[[#This Row],[backers_count]])</f>
        <v>20</v>
      </c>
      <c r="U215" t="str">
        <f>LEFT(Table1[[#This Row],[Category and Sub-Category]],FIND("/",Table1[[#This Row],[Category and Sub-Category]])-1)</f>
        <v>film &amp; video</v>
      </c>
      <c r="V215" t="str">
        <f>RIGHT(Table1[[#This Row],[Category and Sub-Category]],LEN(Table1[[#This Row],[Category and Sub-Category]])-FIND("/",Table1[[#This Row],[Category and Sub-Category]]))</f>
        <v>drama</v>
      </c>
    </row>
    <row r="216" spans="1:22" ht="43.2" x14ac:dyDescent="0.3">
      <c r="A216">
        <v>214</v>
      </c>
      <c r="B216" s="3" t="s">
        <v>216</v>
      </c>
      <c r="C216" s="3" t="s">
        <v>4324</v>
      </c>
      <c r="D216" s="12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>((Table1[[#This Row],[deadline]]/60)/60/24)+DATE(1970,1,1)</f>
        <v>42069.64061342593</v>
      </c>
      <c r="K216">
        <v>1420471349</v>
      </c>
      <c r="L216" s="11">
        <f>((Table1[[#This Row],[launched_at]]/60)/60/24)+DATE(1970,1,1)</f>
        <v>42009.64061342593</v>
      </c>
      <c r="M216">
        <f>MONTH(Table1[[#This Row],[Date Created Conversion]])</f>
        <v>1</v>
      </c>
      <c r="N216">
        <f>YEAR(Table1[[#This Row],[Date Created Conversion]])</f>
        <v>2015</v>
      </c>
      <c r="O216" t="b">
        <v>0</v>
      </c>
      <c r="P216">
        <v>1</v>
      </c>
      <c r="Q216" t="b">
        <v>0</v>
      </c>
      <c r="R216" t="s">
        <v>8268</v>
      </c>
      <c r="S216" s="6">
        <f>Table1[[#This Row],[pledged]]/Table1[[#This Row],[goal]]</f>
        <v>8.0000000000000007E-5</v>
      </c>
      <c r="T216" s="8">
        <f>IF(Table1[[#This Row],[pledged]]=0,"no backers",Table1[[#This Row],[pledged]]/Table1[[#This Row],[backers_count]])</f>
        <v>1</v>
      </c>
      <c r="U216" t="str">
        <f>LEFT(Table1[[#This Row],[Category and Sub-Category]],FIND("/",Table1[[#This Row],[Category and Sub-Category]])-1)</f>
        <v>film &amp; video</v>
      </c>
      <c r="V216" t="str">
        <f>RIGHT(Table1[[#This Row],[Category and Sub-Category]],LEN(Table1[[#This Row],[Category and Sub-Category]])-FIND("/",Table1[[#This Row],[Category and Sub-Category]]))</f>
        <v>drama</v>
      </c>
    </row>
    <row r="217" spans="1:22" ht="43.2" x14ac:dyDescent="0.3">
      <c r="A217">
        <v>215</v>
      </c>
      <c r="B217" s="3" t="s">
        <v>217</v>
      </c>
      <c r="C217" s="3" t="s">
        <v>4325</v>
      </c>
      <c r="D217" s="12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>((Table1[[#This Row],[deadline]]/60)/60/24)+DATE(1970,1,1)</f>
        <v>42417.999305555553</v>
      </c>
      <c r="K217">
        <v>1452058282</v>
      </c>
      <c r="L217" s="11">
        <f>((Table1[[#This Row],[launched_at]]/60)/60/24)+DATE(1970,1,1)</f>
        <v>42375.230115740742</v>
      </c>
      <c r="M217">
        <f>MONTH(Table1[[#This Row],[Date Created Conversion]])</f>
        <v>1</v>
      </c>
      <c r="N217">
        <f>YEAR(Table1[[#This Row],[Date Created Conversion]])</f>
        <v>2016</v>
      </c>
      <c r="O217" t="b">
        <v>0</v>
      </c>
      <c r="P217">
        <v>1</v>
      </c>
      <c r="Q217" t="b">
        <v>0</v>
      </c>
      <c r="R217" t="s">
        <v>8268</v>
      </c>
      <c r="S217" s="6">
        <f>Table1[[#This Row],[pledged]]/Table1[[#This Row],[goal]]</f>
        <v>2.2727272727272726E-3</v>
      </c>
      <c r="T217" s="8">
        <f>IF(Table1[[#This Row],[pledged]]=0,"no backers",Table1[[#This Row],[pledged]]/Table1[[#This Row],[backers_count]])</f>
        <v>10</v>
      </c>
      <c r="U217" t="str">
        <f>LEFT(Table1[[#This Row],[Category and Sub-Category]],FIND("/",Table1[[#This Row],[Category and Sub-Category]])-1)</f>
        <v>film &amp; video</v>
      </c>
      <c r="V217" t="str">
        <f>RIGHT(Table1[[#This Row],[Category and Sub-Category]],LEN(Table1[[#This Row],[Category and Sub-Category]])-FIND("/",Table1[[#This Row],[Category and Sub-Category]]))</f>
        <v>drama</v>
      </c>
    </row>
    <row r="218" spans="1:22" ht="43.2" x14ac:dyDescent="0.3">
      <c r="A218">
        <v>216</v>
      </c>
      <c r="B218" s="3" t="s">
        <v>218</v>
      </c>
      <c r="C218" s="3" t="s">
        <v>4326</v>
      </c>
      <c r="D218" s="12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>((Table1[[#This Row],[deadline]]/60)/60/24)+DATE(1970,1,1)</f>
        <v>42116.917094907403</v>
      </c>
      <c r="K218">
        <v>1425423637</v>
      </c>
      <c r="L218" s="11">
        <f>((Table1[[#This Row],[launched_at]]/60)/60/24)+DATE(1970,1,1)</f>
        <v>42066.958761574075</v>
      </c>
      <c r="M218">
        <f>MONTH(Table1[[#This Row],[Date Created Conversion]])</f>
        <v>3</v>
      </c>
      <c r="N218">
        <f>YEAR(Table1[[#This Row],[Date Created Conversion]])</f>
        <v>2015</v>
      </c>
      <c r="O218" t="b">
        <v>0</v>
      </c>
      <c r="P218">
        <v>84</v>
      </c>
      <c r="Q218" t="b">
        <v>0</v>
      </c>
      <c r="R218" t="s">
        <v>8268</v>
      </c>
      <c r="S218" s="6">
        <f>Table1[[#This Row],[pledged]]/Table1[[#This Row],[goal]]</f>
        <v>0.55698440000000005</v>
      </c>
      <c r="T218" s="8">
        <f>IF(Table1[[#This Row],[pledged]]=0,"no backers",Table1[[#This Row],[pledged]]/Table1[[#This Row],[backers_count]])</f>
        <v>331.53833333333336</v>
      </c>
      <c r="U218" t="str">
        <f>LEFT(Table1[[#This Row],[Category and Sub-Category]],FIND("/",Table1[[#This Row],[Category and Sub-Category]])-1)</f>
        <v>film &amp; video</v>
      </c>
      <c r="V218" t="str">
        <f>RIGHT(Table1[[#This Row],[Category and Sub-Category]],LEN(Table1[[#This Row],[Category and Sub-Category]])-FIND("/",Table1[[#This Row],[Category and Sub-Category]]))</f>
        <v>drama</v>
      </c>
    </row>
    <row r="219" spans="1:22" x14ac:dyDescent="0.3">
      <c r="A219">
        <v>217</v>
      </c>
      <c r="B219" s="3" t="s">
        <v>219</v>
      </c>
      <c r="C219" s="3" t="s">
        <v>4327</v>
      </c>
      <c r="D219" s="12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>((Table1[[#This Row],[deadline]]/60)/60/24)+DATE(1970,1,1)</f>
        <v>42001.64061342593</v>
      </c>
      <c r="K219">
        <v>1417101749</v>
      </c>
      <c r="L219" s="11">
        <f>((Table1[[#This Row],[launched_at]]/60)/60/24)+DATE(1970,1,1)</f>
        <v>41970.64061342593</v>
      </c>
      <c r="M219">
        <f>MONTH(Table1[[#This Row],[Date Created Conversion]])</f>
        <v>11</v>
      </c>
      <c r="N219">
        <f>YEAR(Table1[[#This Row],[Date Created Conversion]])</f>
        <v>2014</v>
      </c>
      <c r="O219" t="b">
        <v>0</v>
      </c>
      <c r="P219">
        <v>38</v>
      </c>
      <c r="Q219" t="b">
        <v>0</v>
      </c>
      <c r="R219" t="s">
        <v>8268</v>
      </c>
      <c r="S219" s="6">
        <f>Table1[[#This Row],[pledged]]/Table1[[#This Row],[goal]]</f>
        <v>0.11942999999999999</v>
      </c>
      <c r="T219" s="8">
        <f>IF(Table1[[#This Row],[pledged]]=0,"no backers",Table1[[#This Row],[pledged]]/Table1[[#This Row],[backers_count]])</f>
        <v>314.28947368421052</v>
      </c>
      <c r="U219" t="str">
        <f>LEFT(Table1[[#This Row],[Category and Sub-Category]],FIND("/",Table1[[#This Row],[Category and Sub-Category]])-1)</f>
        <v>film &amp; video</v>
      </c>
      <c r="V219" t="str">
        <f>RIGHT(Table1[[#This Row],[Category and Sub-Category]],LEN(Table1[[#This Row],[Category and Sub-Category]])-FIND("/",Table1[[#This Row],[Category and Sub-Category]]))</f>
        <v>drama</v>
      </c>
    </row>
    <row r="220" spans="1:22" ht="43.2" x14ac:dyDescent="0.3">
      <c r="A220">
        <v>218</v>
      </c>
      <c r="B220" s="3" t="s">
        <v>220</v>
      </c>
      <c r="C220" s="3" t="s">
        <v>4328</v>
      </c>
      <c r="D220" s="12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>((Table1[[#This Row],[deadline]]/60)/60/24)+DATE(1970,1,1)</f>
        <v>42139.628344907411</v>
      </c>
      <c r="K220">
        <v>1426518289</v>
      </c>
      <c r="L220" s="11">
        <f>((Table1[[#This Row],[launched_at]]/60)/60/24)+DATE(1970,1,1)</f>
        <v>42079.628344907411</v>
      </c>
      <c r="M220">
        <f>MONTH(Table1[[#This Row],[Date Created Conversion]])</f>
        <v>3</v>
      </c>
      <c r="N220">
        <f>YEAR(Table1[[#This Row],[Date Created Conversion]])</f>
        <v>2015</v>
      </c>
      <c r="O220" t="b">
        <v>0</v>
      </c>
      <c r="P220">
        <v>1</v>
      </c>
      <c r="Q220" t="b">
        <v>0</v>
      </c>
      <c r="R220" t="s">
        <v>8268</v>
      </c>
      <c r="S220" s="6">
        <f>Table1[[#This Row],[pledged]]/Table1[[#This Row],[goal]]</f>
        <v>0.02</v>
      </c>
      <c r="T220" s="8">
        <f>IF(Table1[[#This Row],[pledged]]=0,"no backers",Table1[[#This Row],[pledged]]/Table1[[#This Row],[backers_count]])</f>
        <v>100</v>
      </c>
      <c r="U220" t="str">
        <f>LEFT(Table1[[#This Row],[Category and Sub-Category]],FIND("/",Table1[[#This Row],[Category and Sub-Category]])-1)</f>
        <v>film &amp; video</v>
      </c>
      <c r="V220" t="str">
        <f>RIGHT(Table1[[#This Row],[Category and Sub-Category]],LEN(Table1[[#This Row],[Category and Sub-Category]])-FIND("/",Table1[[#This Row],[Category and Sub-Category]]))</f>
        <v>drama</v>
      </c>
    </row>
    <row r="221" spans="1:22" ht="28.8" x14ac:dyDescent="0.3">
      <c r="A221">
        <v>219</v>
      </c>
      <c r="B221" s="3" t="s">
        <v>221</v>
      </c>
      <c r="C221" s="3" t="s">
        <v>4329</v>
      </c>
      <c r="D221" s="12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>((Table1[[#This Row],[deadline]]/60)/60/24)+DATE(1970,1,1)</f>
        <v>42461.290972222225</v>
      </c>
      <c r="K221">
        <v>1456732225</v>
      </c>
      <c r="L221" s="11">
        <f>((Table1[[#This Row],[launched_at]]/60)/60/24)+DATE(1970,1,1)</f>
        <v>42429.326678240745</v>
      </c>
      <c r="M221">
        <f>MONTH(Table1[[#This Row],[Date Created Conversion]])</f>
        <v>2</v>
      </c>
      <c r="N221">
        <f>YEAR(Table1[[#This Row],[Date Created Conversion]])</f>
        <v>2016</v>
      </c>
      <c r="O221" t="b">
        <v>0</v>
      </c>
      <c r="P221">
        <v>76</v>
      </c>
      <c r="Q221" t="b">
        <v>0</v>
      </c>
      <c r="R221" t="s">
        <v>8268</v>
      </c>
      <c r="S221" s="6">
        <f>Table1[[#This Row],[pledged]]/Table1[[#This Row],[goal]]</f>
        <v>0.17630000000000001</v>
      </c>
      <c r="T221" s="8">
        <f>IF(Table1[[#This Row],[pledged]]=0,"no backers",Table1[[#This Row],[pledged]]/Table1[[#This Row],[backers_count]])</f>
        <v>115.98684210526316</v>
      </c>
      <c r="U221" t="str">
        <f>LEFT(Table1[[#This Row],[Category and Sub-Category]],FIND("/",Table1[[#This Row],[Category and Sub-Category]])-1)</f>
        <v>film &amp; video</v>
      </c>
      <c r="V221" t="str">
        <f>RIGHT(Table1[[#This Row],[Category and Sub-Category]],LEN(Table1[[#This Row],[Category and Sub-Category]])-FIND("/",Table1[[#This Row],[Category and Sub-Category]]))</f>
        <v>drama</v>
      </c>
    </row>
    <row r="222" spans="1:22" ht="43.2" x14ac:dyDescent="0.3">
      <c r="A222">
        <v>220</v>
      </c>
      <c r="B222" s="3" t="s">
        <v>222</v>
      </c>
      <c r="C222" s="3" t="s">
        <v>4330</v>
      </c>
      <c r="D222" s="1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>((Table1[[#This Row],[deadline]]/60)/60/24)+DATE(1970,1,1)</f>
        <v>42236.837499999994</v>
      </c>
      <c r="K222">
        <v>1436542030</v>
      </c>
      <c r="L222" s="11">
        <f>((Table1[[#This Row],[launched_at]]/60)/60/24)+DATE(1970,1,1)</f>
        <v>42195.643865740742</v>
      </c>
      <c r="M222">
        <f>MONTH(Table1[[#This Row],[Date Created Conversion]])</f>
        <v>7</v>
      </c>
      <c r="N222">
        <f>YEAR(Table1[[#This Row],[Date Created Conversion]])</f>
        <v>2015</v>
      </c>
      <c r="O222" t="b">
        <v>0</v>
      </c>
      <c r="P222">
        <v>3</v>
      </c>
      <c r="Q222" t="b">
        <v>0</v>
      </c>
      <c r="R222" t="s">
        <v>8268</v>
      </c>
      <c r="S222" s="6">
        <f>Table1[[#This Row],[pledged]]/Table1[[#This Row],[goal]]</f>
        <v>7.1999999999999998E-3</v>
      </c>
      <c r="T222" s="8">
        <f>IF(Table1[[#This Row],[pledged]]=0,"no backers",Table1[[#This Row],[pledged]]/Table1[[#This Row],[backers_count]])</f>
        <v>120</v>
      </c>
      <c r="U222" t="str">
        <f>LEFT(Table1[[#This Row],[Category and Sub-Category]],FIND("/",Table1[[#This Row],[Category and Sub-Category]])-1)</f>
        <v>film &amp; video</v>
      </c>
      <c r="V222" t="str">
        <f>RIGHT(Table1[[#This Row],[Category and Sub-Category]],LEN(Table1[[#This Row],[Category and Sub-Category]])-FIND("/",Table1[[#This Row],[Category and Sub-Category]]))</f>
        <v>drama</v>
      </c>
    </row>
    <row r="223" spans="1:22" x14ac:dyDescent="0.3">
      <c r="A223">
        <v>221</v>
      </c>
      <c r="B223" s="3" t="s">
        <v>223</v>
      </c>
      <c r="C223" s="3" t="s">
        <v>4331</v>
      </c>
      <c r="D223" s="12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>((Table1[[#This Row],[deadline]]/60)/60/24)+DATE(1970,1,1)</f>
        <v>42091.79587962963</v>
      </c>
      <c r="K223">
        <v>1422389164</v>
      </c>
      <c r="L223" s="11">
        <f>((Table1[[#This Row],[launched_at]]/60)/60/24)+DATE(1970,1,1)</f>
        <v>42031.837546296301</v>
      </c>
      <c r="M223">
        <f>MONTH(Table1[[#This Row],[Date Created Conversion]])</f>
        <v>1</v>
      </c>
      <c r="N223">
        <f>YEAR(Table1[[#This Row],[Date Created Conversion]])</f>
        <v>2015</v>
      </c>
      <c r="O223" t="b">
        <v>0</v>
      </c>
      <c r="P223">
        <v>0</v>
      </c>
      <c r="Q223" t="b">
        <v>0</v>
      </c>
      <c r="R223" t="s">
        <v>8268</v>
      </c>
      <c r="S223" s="6">
        <f>Table1[[#This Row],[pledged]]/Table1[[#This Row],[goal]]</f>
        <v>0</v>
      </c>
      <c r="T223" s="8" t="str">
        <f>IF(Table1[[#This Row],[pledged]]=0,"no backers",Table1[[#This Row],[pledged]]/Table1[[#This Row],[backers_count]])</f>
        <v>no backers</v>
      </c>
      <c r="U223" t="str">
        <f>LEFT(Table1[[#This Row],[Category and Sub-Category]],FIND("/",Table1[[#This Row],[Category and Sub-Category]])-1)</f>
        <v>film &amp; video</v>
      </c>
      <c r="V223" t="str">
        <f>RIGHT(Table1[[#This Row],[Category and Sub-Category]],LEN(Table1[[#This Row],[Category and Sub-Category]])-FIND("/",Table1[[#This Row],[Category and Sub-Category]]))</f>
        <v>drama</v>
      </c>
    </row>
    <row r="224" spans="1:22" ht="43.2" x14ac:dyDescent="0.3">
      <c r="A224">
        <v>222</v>
      </c>
      <c r="B224" s="3" t="s">
        <v>224</v>
      </c>
      <c r="C224" s="3" t="s">
        <v>4332</v>
      </c>
      <c r="D224" s="12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>((Table1[[#This Row],[deadline]]/60)/60/24)+DATE(1970,1,1)</f>
        <v>42090.110416666663</v>
      </c>
      <c r="K224">
        <v>1422383318</v>
      </c>
      <c r="L224" s="11">
        <f>((Table1[[#This Row],[launched_at]]/60)/60/24)+DATE(1970,1,1)</f>
        <v>42031.769884259258</v>
      </c>
      <c r="M224">
        <f>MONTH(Table1[[#This Row],[Date Created Conversion]])</f>
        <v>1</v>
      </c>
      <c r="N224">
        <f>YEAR(Table1[[#This Row],[Date Created Conversion]])</f>
        <v>2015</v>
      </c>
      <c r="O224" t="b">
        <v>0</v>
      </c>
      <c r="P224">
        <v>2</v>
      </c>
      <c r="Q224" t="b">
        <v>0</v>
      </c>
      <c r="R224" t="s">
        <v>8268</v>
      </c>
      <c r="S224" s="6">
        <f>Table1[[#This Row],[pledged]]/Table1[[#This Row],[goal]]</f>
        <v>0.13</v>
      </c>
      <c r="T224" s="8">
        <f>IF(Table1[[#This Row],[pledged]]=0,"no backers",Table1[[#This Row],[pledged]]/Table1[[#This Row],[backers_count]])</f>
        <v>65</v>
      </c>
      <c r="U224" t="str">
        <f>LEFT(Table1[[#This Row],[Category and Sub-Category]],FIND("/",Table1[[#This Row],[Category and Sub-Category]])-1)</f>
        <v>film &amp; video</v>
      </c>
      <c r="V224" t="str">
        <f>RIGHT(Table1[[#This Row],[Category and Sub-Category]],LEN(Table1[[#This Row],[Category and Sub-Category]])-FIND("/",Table1[[#This Row],[Category and Sub-Category]]))</f>
        <v>drama</v>
      </c>
    </row>
    <row r="225" spans="1:22" ht="43.2" x14ac:dyDescent="0.3">
      <c r="A225">
        <v>223</v>
      </c>
      <c r="B225" s="3" t="s">
        <v>225</v>
      </c>
      <c r="C225" s="3" t="s">
        <v>4333</v>
      </c>
      <c r="D225" s="12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>((Table1[[#This Row],[deadline]]/60)/60/24)+DATE(1970,1,1)</f>
        <v>42512.045138888891</v>
      </c>
      <c r="K225">
        <v>1461287350</v>
      </c>
      <c r="L225" s="11">
        <f>((Table1[[#This Row],[launched_at]]/60)/60/24)+DATE(1970,1,1)</f>
        <v>42482.048032407409</v>
      </c>
      <c r="M225">
        <f>MONTH(Table1[[#This Row],[Date Created Conversion]])</f>
        <v>4</v>
      </c>
      <c r="N225">
        <f>YEAR(Table1[[#This Row],[Date Created Conversion]])</f>
        <v>2016</v>
      </c>
      <c r="O225" t="b">
        <v>0</v>
      </c>
      <c r="P225">
        <v>0</v>
      </c>
      <c r="Q225" t="b">
        <v>0</v>
      </c>
      <c r="R225" t="s">
        <v>8268</v>
      </c>
      <c r="S225" s="6">
        <f>Table1[[#This Row],[pledged]]/Table1[[#This Row],[goal]]</f>
        <v>0</v>
      </c>
      <c r="T225" s="8" t="str">
        <f>IF(Table1[[#This Row],[pledged]]=0,"no backers",Table1[[#This Row],[pledged]]/Table1[[#This Row],[backers_count]])</f>
        <v>no backers</v>
      </c>
      <c r="U225" t="str">
        <f>LEFT(Table1[[#This Row],[Category and Sub-Category]],FIND("/",Table1[[#This Row],[Category and Sub-Category]])-1)</f>
        <v>film &amp; video</v>
      </c>
      <c r="V225" t="str">
        <f>RIGHT(Table1[[#This Row],[Category and Sub-Category]],LEN(Table1[[#This Row],[Category and Sub-Category]])-FIND("/",Table1[[#This Row],[Category and Sub-Category]]))</f>
        <v>drama</v>
      </c>
    </row>
    <row r="226" spans="1:22" ht="43.2" x14ac:dyDescent="0.3">
      <c r="A226">
        <v>224</v>
      </c>
      <c r="B226" s="3" t="s">
        <v>226</v>
      </c>
      <c r="C226" s="3" t="s">
        <v>4334</v>
      </c>
      <c r="D226" s="12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>((Table1[[#This Row],[deadline]]/60)/60/24)+DATE(1970,1,1)</f>
        <v>42195.235254629632</v>
      </c>
      <c r="K226">
        <v>1431322726</v>
      </c>
      <c r="L226" s="11">
        <f>((Table1[[#This Row],[launched_at]]/60)/60/24)+DATE(1970,1,1)</f>
        <v>42135.235254629632</v>
      </c>
      <c r="M226">
        <f>MONTH(Table1[[#This Row],[Date Created Conversion]])</f>
        <v>5</v>
      </c>
      <c r="N226">
        <f>YEAR(Table1[[#This Row],[Date Created Conversion]])</f>
        <v>2015</v>
      </c>
      <c r="O226" t="b">
        <v>0</v>
      </c>
      <c r="P226">
        <v>0</v>
      </c>
      <c r="Q226" t="b">
        <v>0</v>
      </c>
      <c r="R226" t="s">
        <v>8268</v>
      </c>
      <c r="S226" s="6">
        <f>Table1[[#This Row],[pledged]]/Table1[[#This Row],[goal]]</f>
        <v>0</v>
      </c>
      <c r="T226" s="8" t="str">
        <f>IF(Table1[[#This Row],[pledged]]=0,"no backers",Table1[[#This Row],[pledged]]/Table1[[#This Row],[backers_count]])</f>
        <v>no backers</v>
      </c>
      <c r="U226" t="str">
        <f>LEFT(Table1[[#This Row],[Category and Sub-Category]],FIND("/",Table1[[#This Row],[Category and Sub-Category]])-1)</f>
        <v>film &amp; video</v>
      </c>
      <c r="V226" t="str">
        <f>RIGHT(Table1[[#This Row],[Category and Sub-Category]],LEN(Table1[[#This Row],[Category and Sub-Category]])-FIND("/",Table1[[#This Row],[Category and Sub-Category]]))</f>
        <v>drama</v>
      </c>
    </row>
    <row r="227" spans="1:22" ht="43.2" x14ac:dyDescent="0.3">
      <c r="A227">
        <v>225</v>
      </c>
      <c r="B227" s="3" t="s">
        <v>227</v>
      </c>
      <c r="C227" s="3" t="s">
        <v>4335</v>
      </c>
      <c r="D227" s="12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>((Table1[[#This Row],[deadline]]/60)/60/24)+DATE(1970,1,1)</f>
        <v>42468.919606481482</v>
      </c>
      <c r="K227">
        <v>1457564654</v>
      </c>
      <c r="L227" s="11">
        <f>((Table1[[#This Row],[launched_at]]/60)/60/24)+DATE(1970,1,1)</f>
        <v>42438.961273148147</v>
      </c>
      <c r="M227">
        <f>MONTH(Table1[[#This Row],[Date Created Conversion]])</f>
        <v>3</v>
      </c>
      <c r="N227">
        <f>YEAR(Table1[[#This Row],[Date Created Conversion]])</f>
        <v>2016</v>
      </c>
      <c r="O227" t="b">
        <v>0</v>
      </c>
      <c r="P227">
        <v>0</v>
      </c>
      <c r="Q227" t="b">
        <v>0</v>
      </c>
      <c r="R227" t="s">
        <v>8268</v>
      </c>
      <c r="S227" s="6">
        <f>Table1[[#This Row],[pledged]]/Table1[[#This Row],[goal]]</f>
        <v>0</v>
      </c>
      <c r="T227" s="8" t="str">
        <f>IF(Table1[[#This Row],[pledged]]=0,"no backers",Table1[[#This Row],[pledged]]/Table1[[#This Row],[backers_count]])</f>
        <v>no backers</v>
      </c>
      <c r="U227" t="str">
        <f>LEFT(Table1[[#This Row],[Category and Sub-Category]],FIND("/",Table1[[#This Row],[Category and Sub-Category]])-1)</f>
        <v>film &amp; video</v>
      </c>
      <c r="V227" t="str">
        <f>RIGHT(Table1[[#This Row],[Category and Sub-Category]],LEN(Table1[[#This Row],[Category and Sub-Category]])-FIND("/",Table1[[#This Row],[Category and Sub-Category]]))</f>
        <v>drama</v>
      </c>
    </row>
    <row r="228" spans="1:22" ht="43.2" x14ac:dyDescent="0.3">
      <c r="A228">
        <v>226</v>
      </c>
      <c r="B228" s="3" t="s">
        <v>228</v>
      </c>
      <c r="C228" s="3" t="s">
        <v>4336</v>
      </c>
      <c r="D228" s="12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>((Table1[[#This Row],[deadline]]/60)/60/24)+DATE(1970,1,1)</f>
        <v>42155.395138888889</v>
      </c>
      <c r="K228">
        <v>1428854344</v>
      </c>
      <c r="L228" s="11">
        <f>((Table1[[#This Row],[launched_at]]/60)/60/24)+DATE(1970,1,1)</f>
        <v>42106.666018518517</v>
      </c>
      <c r="M228">
        <f>MONTH(Table1[[#This Row],[Date Created Conversion]])</f>
        <v>4</v>
      </c>
      <c r="N228">
        <f>YEAR(Table1[[#This Row],[Date Created Conversion]])</f>
        <v>2015</v>
      </c>
      <c r="O228" t="b">
        <v>0</v>
      </c>
      <c r="P228">
        <v>2</v>
      </c>
      <c r="Q228" t="b">
        <v>0</v>
      </c>
      <c r="R228" t="s">
        <v>8268</v>
      </c>
      <c r="S228" s="6">
        <f>Table1[[#This Row],[pledged]]/Table1[[#This Row],[goal]]</f>
        <v>8.6206896551724137E-3</v>
      </c>
      <c r="T228" s="8">
        <f>IF(Table1[[#This Row],[pledged]]=0,"no backers",Table1[[#This Row],[pledged]]/Table1[[#This Row],[backers_count]])</f>
        <v>125</v>
      </c>
      <c r="U228" t="str">
        <f>LEFT(Table1[[#This Row],[Category and Sub-Category]],FIND("/",Table1[[#This Row],[Category and Sub-Category]])-1)</f>
        <v>film &amp; video</v>
      </c>
      <c r="V228" t="str">
        <f>RIGHT(Table1[[#This Row],[Category and Sub-Category]],LEN(Table1[[#This Row],[Category and Sub-Category]])-FIND("/",Table1[[#This Row],[Category and Sub-Category]]))</f>
        <v>drama</v>
      </c>
    </row>
    <row r="229" spans="1:22" ht="43.2" x14ac:dyDescent="0.3">
      <c r="A229">
        <v>227</v>
      </c>
      <c r="B229" s="3" t="s">
        <v>229</v>
      </c>
      <c r="C229" s="3" t="s">
        <v>4337</v>
      </c>
      <c r="D229" s="12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>((Table1[[#This Row],[deadline]]/60)/60/24)+DATE(1970,1,1)</f>
        <v>42194.893993055557</v>
      </c>
      <c r="K229">
        <v>1433885241</v>
      </c>
      <c r="L229" s="11">
        <f>((Table1[[#This Row],[launched_at]]/60)/60/24)+DATE(1970,1,1)</f>
        <v>42164.893993055557</v>
      </c>
      <c r="M229">
        <f>MONTH(Table1[[#This Row],[Date Created Conversion]])</f>
        <v>6</v>
      </c>
      <c r="N229">
        <f>YEAR(Table1[[#This Row],[Date Created Conversion]])</f>
        <v>2015</v>
      </c>
      <c r="O229" t="b">
        <v>0</v>
      </c>
      <c r="P229">
        <v>0</v>
      </c>
      <c r="Q229" t="b">
        <v>0</v>
      </c>
      <c r="R229" t="s">
        <v>8268</v>
      </c>
      <c r="S229" s="6">
        <f>Table1[[#This Row],[pledged]]/Table1[[#This Row],[goal]]</f>
        <v>0</v>
      </c>
      <c r="T229" s="8" t="str">
        <f>IF(Table1[[#This Row],[pledged]]=0,"no backers",Table1[[#This Row],[pledged]]/Table1[[#This Row],[backers_count]])</f>
        <v>no backers</v>
      </c>
      <c r="U229" t="str">
        <f>LEFT(Table1[[#This Row],[Category and Sub-Category]],FIND("/",Table1[[#This Row],[Category and Sub-Category]])-1)</f>
        <v>film &amp; video</v>
      </c>
      <c r="V229" t="str">
        <f>RIGHT(Table1[[#This Row],[Category and Sub-Category]],LEN(Table1[[#This Row],[Category and Sub-Category]])-FIND("/",Table1[[#This Row],[Category and Sub-Category]]))</f>
        <v>drama</v>
      </c>
    </row>
    <row r="230" spans="1:22" ht="28.8" x14ac:dyDescent="0.3">
      <c r="A230">
        <v>228</v>
      </c>
      <c r="B230" s="3" t="s">
        <v>230</v>
      </c>
      <c r="C230" s="3" t="s">
        <v>4338</v>
      </c>
      <c r="D230" s="12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>((Table1[[#This Row],[deadline]]/60)/60/24)+DATE(1970,1,1)</f>
        <v>42156.686400462961</v>
      </c>
      <c r="K230">
        <v>1427992105</v>
      </c>
      <c r="L230" s="11">
        <f>((Table1[[#This Row],[launched_at]]/60)/60/24)+DATE(1970,1,1)</f>
        <v>42096.686400462961</v>
      </c>
      <c r="M230">
        <f>MONTH(Table1[[#This Row],[Date Created Conversion]])</f>
        <v>4</v>
      </c>
      <c r="N230">
        <f>YEAR(Table1[[#This Row],[Date Created Conversion]])</f>
        <v>2015</v>
      </c>
      <c r="O230" t="b">
        <v>0</v>
      </c>
      <c r="P230">
        <v>0</v>
      </c>
      <c r="Q230" t="b">
        <v>0</v>
      </c>
      <c r="R230" t="s">
        <v>8268</v>
      </c>
      <c r="S230" s="6">
        <f>Table1[[#This Row],[pledged]]/Table1[[#This Row],[goal]]</f>
        <v>0</v>
      </c>
      <c r="T230" s="8" t="str">
        <f>IF(Table1[[#This Row],[pledged]]=0,"no backers",Table1[[#This Row],[pledged]]/Table1[[#This Row],[backers_count]])</f>
        <v>no backers</v>
      </c>
      <c r="U230" t="str">
        <f>LEFT(Table1[[#This Row],[Category and Sub-Category]],FIND("/",Table1[[#This Row],[Category and Sub-Category]])-1)</f>
        <v>film &amp; video</v>
      </c>
      <c r="V230" t="str">
        <f>RIGHT(Table1[[#This Row],[Category and Sub-Category]],LEN(Table1[[#This Row],[Category and Sub-Category]])-FIND("/",Table1[[#This Row],[Category and Sub-Category]]))</f>
        <v>drama</v>
      </c>
    </row>
    <row r="231" spans="1:22" ht="43.2" x14ac:dyDescent="0.3">
      <c r="A231">
        <v>229</v>
      </c>
      <c r="B231" s="3" t="s">
        <v>231</v>
      </c>
      <c r="C231" s="3" t="s">
        <v>4339</v>
      </c>
      <c r="D231" s="12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>((Table1[[#This Row],[deadline]]/60)/60/24)+DATE(1970,1,1)</f>
        <v>42413.933993055558</v>
      </c>
      <c r="K231">
        <v>1452810297</v>
      </c>
      <c r="L231" s="11">
        <f>((Table1[[#This Row],[launched_at]]/60)/60/24)+DATE(1970,1,1)</f>
        <v>42383.933993055558</v>
      </c>
      <c r="M231">
        <f>MONTH(Table1[[#This Row],[Date Created Conversion]])</f>
        <v>1</v>
      </c>
      <c r="N231">
        <f>YEAR(Table1[[#This Row],[Date Created Conversion]])</f>
        <v>2016</v>
      </c>
      <c r="O231" t="b">
        <v>0</v>
      </c>
      <c r="P231">
        <v>0</v>
      </c>
      <c r="Q231" t="b">
        <v>0</v>
      </c>
      <c r="R231" t="s">
        <v>8268</v>
      </c>
      <c r="S231" s="6">
        <f>Table1[[#This Row],[pledged]]/Table1[[#This Row],[goal]]</f>
        <v>0</v>
      </c>
      <c r="T231" s="8" t="str">
        <f>IF(Table1[[#This Row],[pledged]]=0,"no backers",Table1[[#This Row],[pledged]]/Table1[[#This Row],[backers_count]])</f>
        <v>no backers</v>
      </c>
      <c r="U231" t="str">
        <f>LEFT(Table1[[#This Row],[Category and Sub-Category]],FIND("/",Table1[[#This Row],[Category and Sub-Category]])-1)</f>
        <v>film &amp; video</v>
      </c>
      <c r="V231" t="str">
        <f>RIGHT(Table1[[#This Row],[Category and Sub-Category]],LEN(Table1[[#This Row],[Category and Sub-Category]])-FIND("/",Table1[[#This Row],[Category and Sub-Category]]))</f>
        <v>drama</v>
      </c>
    </row>
    <row r="232" spans="1:22" ht="43.2" x14ac:dyDescent="0.3">
      <c r="A232">
        <v>230</v>
      </c>
      <c r="B232" s="3" t="s">
        <v>232</v>
      </c>
      <c r="C232" s="3" t="s">
        <v>4340</v>
      </c>
      <c r="D232" s="1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>((Table1[[#This Row],[deadline]]/60)/60/24)+DATE(1970,1,1)</f>
        <v>42159.777210648142</v>
      </c>
      <c r="K232">
        <v>1430851151</v>
      </c>
      <c r="L232" s="11">
        <f>((Table1[[#This Row],[launched_at]]/60)/60/24)+DATE(1970,1,1)</f>
        <v>42129.777210648142</v>
      </c>
      <c r="M232">
        <f>MONTH(Table1[[#This Row],[Date Created Conversion]])</f>
        <v>5</v>
      </c>
      <c r="N232">
        <f>YEAR(Table1[[#This Row],[Date Created Conversion]])</f>
        <v>2015</v>
      </c>
      <c r="O232" t="b">
        <v>0</v>
      </c>
      <c r="P232">
        <v>2</v>
      </c>
      <c r="Q232" t="b">
        <v>0</v>
      </c>
      <c r="R232" t="s">
        <v>8268</v>
      </c>
      <c r="S232" s="6">
        <f>Table1[[#This Row],[pledged]]/Table1[[#This Row],[goal]]</f>
        <v>4.0000000000000001E-3</v>
      </c>
      <c r="T232" s="8">
        <f>IF(Table1[[#This Row],[pledged]]=0,"no backers",Table1[[#This Row],[pledged]]/Table1[[#This Row],[backers_count]])</f>
        <v>30</v>
      </c>
      <c r="U232" t="str">
        <f>LEFT(Table1[[#This Row],[Category and Sub-Category]],FIND("/",Table1[[#This Row],[Category and Sub-Category]])-1)</f>
        <v>film &amp; video</v>
      </c>
      <c r="V232" t="str">
        <f>RIGHT(Table1[[#This Row],[Category and Sub-Category]],LEN(Table1[[#This Row],[Category and Sub-Category]])-FIND("/",Table1[[#This Row],[Category and Sub-Category]]))</f>
        <v>drama</v>
      </c>
    </row>
    <row r="233" spans="1:22" ht="43.2" x14ac:dyDescent="0.3">
      <c r="A233">
        <v>231</v>
      </c>
      <c r="B233" s="3" t="s">
        <v>233</v>
      </c>
      <c r="C233" s="3" t="s">
        <v>4341</v>
      </c>
      <c r="D233" s="12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>((Table1[[#This Row],[deadline]]/60)/60/24)+DATE(1970,1,1)</f>
        <v>42371.958923611113</v>
      </c>
      <c r="K233">
        <v>1449183651</v>
      </c>
      <c r="L233" s="11">
        <f>((Table1[[#This Row],[launched_at]]/60)/60/24)+DATE(1970,1,1)</f>
        <v>42341.958923611113</v>
      </c>
      <c r="M233">
        <f>MONTH(Table1[[#This Row],[Date Created Conversion]])</f>
        <v>12</v>
      </c>
      <c r="N233">
        <f>YEAR(Table1[[#This Row],[Date Created Conversion]])</f>
        <v>2015</v>
      </c>
      <c r="O233" t="b">
        <v>0</v>
      </c>
      <c r="P233">
        <v>0</v>
      </c>
      <c r="Q233" t="b">
        <v>0</v>
      </c>
      <c r="R233" t="s">
        <v>8268</v>
      </c>
      <c r="S233" s="6">
        <f>Table1[[#This Row],[pledged]]/Table1[[#This Row],[goal]]</f>
        <v>0</v>
      </c>
      <c r="T233" s="8" t="str">
        <f>IF(Table1[[#This Row],[pledged]]=0,"no backers",Table1[[#This Row],[pledged]]/Table1[[#This Row],[backers_count]])</f>
        <v>no backers</v>
      </c>
      <c r="U233" t="str">
        <f>LEFT(Table1[[#This Row],[Category and Sub-Category]],FIND("/",Table1[[#This Row],[Category and Sub-Category]])-1)</f>
        <v>film &amp; video</v>
      </c>
      <c r="V233" t="str">
        <f>RIGHT(Table1[[#This Row],[Category and Sub-Category]],LEN(Table1[[#This Row],[Category and Sub-Category]])-FIND("/",Table1[[#This Row],[Category and Sub-Category]]))</f>
        <v>drama</v>
      </c>
    </row>
    <row r="234" spans="1:22" ht="43.2" x14ac:dyDescent="0.3">
      <c r="A234">
        <v>232</v>
      </c>
      <c r="B234" s="3" t="s">
        <v>234</v>
      </c>
      <c r="C234" s="3" t="s">
        <v>4342</v>
      </c>
      <c r="D234" s="12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>((Table1[[#This Row],[deadline]]/60)/60/24)+DATE(1970,1,1)</f>
        <v>42062.82576388889</v>
      </c>
      <c r="K234">
        <v>1422474546</v>
      </c>
      <c r="L234" s="11">
        <f>((Table1[[#This Row],[launched_at]]/60)/60/24)+DATE(1970,1,1)</f>
        <v>42032.82576388889</v>
      </c>
      <c r="M234">
        <f>MONTH(Table1[[#This Row],[Date Created Conversion]])</f>
        <v>1</v>
      </c>
      <c r="N234">
        <f>YEAR(Table1[[#This Row],[Date Created Conversion]])</f>
        <v>2015</v>
      </c>
      <c r="O234" t="b">
        <v>0</v>
      </c>
      <c r="P234">
        <v>7</v>
      </c>
      <c r="Q234" t="b">
        <v>0</v>
      </c>
      <c r="R234" t="s">
        <v>8268</v>
      </c>
      <c r="S234" s="6">
        <f>Table1[[#This Row],[pledged]]/Table1[[#This Row],[goal]]</f>
        <v>2.75E-2</v>
      </c>
      <c r="T234" s="8">
        <f>IF(Table1[[#This Row],[pledged]]=0,"no backers",Table1[[#This Row],[pledged]]/Table1[[#This Row],[backers_count]])</f>
        <v>15.714285714285714</v>
      </c>
      <c r="U234" t="str">
        <f>LEFT(Table1[[#This Row],[Category and Sub-Category]],FIND("/",Table1[[#This Row],[Category and Sub-Category]])-1)</f>
        <v>film &amp; video</v>
      </c>
      <c r="V234" t="str">
        <f>RIGHT(Table1[[#This Row],[Category and Sub-Category]],LEN(Table1[[#This Row],[Category and Sub-Category]])-FIND("/",Table1[[#This Row],[Category and Sub-Category]]))</f>
        <v>drama</v>
      </c>
    </row>
    <row r="235" spans="1:22" ht="43.2" x14ac:dyDescent="0.3">
      <c r="A235">
        <v>233</v>
      </c>
      <c r="B235" s="3" t="s">
        <v>235</v>
      </c>
      <c r="C235" s="3" t="s">
        <v>4343</v>
      </c>
      <c r="D235" s="12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>((Table1[[#This Row],[deadline]]/60)/60/24)+DATE(1970,1,1)</f>
        <v>42642.911712962959</v>
      </c>
      <c r="K235">
        <v>1472593972</v>
      </c>
      <c r="L235" s="11">
        <f>((Table1[[#This Row],[launched_at]]/60)/60/24)+DATE(1970,1,1)</f>
        <v>42612.911712962959</v>
      </c>
      <c r="M235">
        <f>MONTH(Table1[[#This Row],[Date Created Conversion]])</f>
        <v>8</v>
      </c>
      <c r="N235">
        <f>YEAR(Table1[[#This Row],[Date Created Conversion]])</f>
        <v>2016</v>
      </c>
      <c r="O235" t="b">
        <v>0</v>
      </c>
      <c r="P235">
        <v>0</v>
      </c>
      <c r="Q235" t="b">
        <v>0</v>
      </c>
      <c r="R235" t="s">
        <v>8268</v>
      </c>
      <c r="S235" s="6">
        <f>Table1[[#This Row],[pledged]]/Table1[[#This Row],[goal]]</f>
        <v>0</v>
      </c>
      <c r="T235" s="8" t="str">
        <f>IF(Table1[[#This Row],[pledged]]=0,"no backers",Table1[[#This Row],[pledged]]/Table1[[#This Row],[backers_count]])</f>
        <v>no backers</v>
      </c>
      <c r="U235" t="str">
        <f>LEFT(Table1[[#This Row],[Category and Sub-Category]],FIND("/",Table1[[#This Row],[Category and Sub-Category]])-1)</f>
        <v>film &amp; video</v>
      </c>
      <c r="V235" t="str">
        <f>RIGHT(Table1[[#This Row],[Category and Sub-Category]],LEN(Table1[[#This Row],[Category and Sub-Category]])-FIND("/",Table1[[#This Row],[Category and Sub-Category]]))</f>
        <v>drama</v>
      </c>
    </row>
    <row r="236" spans="1:22" ht="43.2" x14ac:dyDescent="0.3">
      <c r="A236">
        <v>234</v>
      </c>
      <c r="B236" s="3" t="s">
        <v>236</v>
      </c>
      <c r="C236" s="3" t="s">
        <v>4344</v>
      </c>
      <c r="D236" s="12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>((Table1[[#This Row],[deadline]]/60)/60/24)+DATE(1970,1,1)</f>
        <v>42176.035405092596</v>
      </c>
      <c r="K236">
        <v>1431391859</v>
      </c>
      <c r="L236" s="11">
        <f>((Table1[[#This Row],[launched_at]]/60)/60/24)+DATE(1970,1,1)</f>
        <v>42136.035405092596</v>
      </c>
      <c r="M236">
        <f>MONTH(Table1[[#This Row],[Date Created Conversion]])</f>
        <v>5</v>
      </c>
      <c r="N236">
        <f>YEAR(Table1[[#This Row],[Date Created Conversion]])</f>
        <v>2015</v>
      </c>
      <c r="O236" t="b">
        <v>0</v>
      </c>
      <c r="P236">
        <v>5</v>
      </c>
      <c r="Q236" t="b">
        <v>0</v>
      </c>
      <c r="R236" t="s">
        <v>8268</v>
      </c>
      <c r="S236" s="6">
        <f>Table1[[#This Row],[pledged]]/Table1[[#This Row],[goal]]</f>
        <v>0.40100000000000002</v>
      </c>
      <c r="T236" s="8">
        <f>IF(Table1[[#This Row],[pledged]]=0,"no backers",Table1[[#This Row],[pledged]]/Table1[[#This Row],[backers_count]])</f>
        <v>80.2</v>
      </c>
      <c r="U236" t="str">
        <f>LEFT(Table1[[#This Row],[Category and Sub-Category]],FIND("/",Table1[[#This Row],[Category and Sub-Category]])-1)</f>
        <v>film &amp; video</v>
      </c>
      <c r="V236" t="str">
        <f>RIGHT(Table1[[#This Row],[Category and Sub-Category]],LEN(Table1[[#This Row],[Category and Sub-Category]])-FIND("/",Table1[[#This Row],[Category and Sub-Category]]))</f>
        <v>drama</v>
      </c>
    </row>
    <row r="237" spans="1:22" ht="43.2" x14ac:dyDescent="0.3">
      <c r="A237">
        <v>235</v>
      </c>
      <c r="B237" s="3" t="s">
        <v>237</v>
      </c>
      <c r="C237" s="3" t="s">
        <v>4345</v>
      </c>
      <c r="D237" s="12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>((Table1[[#This Row],[deadline]]/60)/60/24)+DATE(1970,1,1)</f>
        <v>42194.908530092594</v>
      </c>
      <c r="K237">
        <v>1433886497</v>
      </c>
      <c r="L237" s="11">
        <f>((Table1[[#This Row],[launched_at]]/60)/60/24)+DATE(1970,1,1)</f>
        <v>42164.908530092594</v>
      </c>
      <c r="M237">
        <f>MONTH(Table1[[#This Row],[Date Created Conversion]])</f>
        <v>6</v>
      </c>
      <c r="N237">
        <f>YEAR(Table1[[#This Row],[Date Created Conversion]])</f>
        <v>2015</v>
      </c>
      <c r="O237" t="b">
        <v>0</v>
      </c>
      <c r="P237">
        <v>0</v>
      </c>
      <c r="Q237" t="b">
        <v>0</v>
      </c>
      <c r="R237" t="s">
        <v>8268</v>
      </c>
      <c r="S237" s="6">
        <f>Table1[[#This Row],[pledged]]/Table1[[#This Row],[goal]]</f>
        <v>0</v>
      </c>
      <c r="T237" s="8" t="str">
        <f>IF(Table1[[#This Row],[pledged]]=0,"no backers",Table1[[#This Row],[pledged]]/Table1[[#This Row],[backers_count]])</f>
        <v>no backers</v>
      </c>
      <c r="U237" t="str">
        <f>LEFT(Table1[[#This Row],[Category and Sub-Category]],FIND("/",Table1[[#This Row],[Category and Sub-Category]])-1)</f>
        <v>film &amp; video</v>
      </c>
      <c r="V237" t="str">
        <f>RIGHT(Table1[[#This Row],[Category and Sub-Category]],LEN(Table1[[#This Row],[Category and Sub-Category]])-FIND("/",Table1[[#This Row],[Category and Sub-Category]]))</f>
        <v>drama</v>
      </c>
    </row>
    <row r="238" spans="1:22" ht="43.2" x14ac:dyDescent="0.3">
      <c r="A238">
        <v>236</v>
      </c>
      <c r="B238" s="3" t="s">
        <v>238</v>
      </c>
      <c r="C238" s="3" t="s">
        <v>4346</v>
      </c>
      <c r="D238" s="12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>((Table1[[#This Row],[deadline]]/60)/60/24)+DATE(1970,1,1)</f>
        <v>42374</v>
      </c>
      <c r="K238">
        <v>1447380099</v>
      </c>
      <c r="L238" s="11">
        <f>((Table1[[#This Row],[launched_at]]/60)/60/24)+DATE(1970,1,1)</f>
        <v>42321.08447916666</v>
      </c>
      <c r="M238">
        <f>MONTH(Table1[[#This Row],[Date Created Conversion]])</f>
        <v>11</v>
      </c>
      <c r="N238">
        <f>YEAR(Table1[[#This Row],[Date Created Conversion]])</f>
        <v>2015</v>
      </c>
      <c r="O238" t="b">
        <v>0</v>
      </c>
      <c r="P238">
        <v>0</v>
      </c>
      <c r="Q238" t="b">
        <v>0</v>
      </c>
      <c r="R238" t="s">
        <v>8268</v>
      </c>
      <c r="S238" s="6">
        <f>Table1[[#This Row],[pledged]]/Table1[[#This Row],[goal]]</f>
        <v>0</v>
      </c>
      <c r="T238" s="8" t="str">
        <f>IF(Table1[[#This Row],[pledged]]=0,"no backers",Table1[[#This Row],[pledged]]/Table1[[#This Row],[backers_count]])</f>
        <v>no backers</v>
      </c>
      <c r="U238" t="str">
        <f>LEFT(Table1[[#This Row],[Category and Sub-Category]],FIND("/",Table1[[#This Row],[Category and Sub-Category]])-1)</f>
        <v>film &amp; video</v>
      </c>
      <c r="V238" t="str">
        <f>RIGHT(Table1[[#This Row],[Category and Sub-Category]],LEN(Table1[[#This Row],[Category and Sub-Category]])-FIND("/",Table1[[#This Row],[Category and Sub-Category]]))</f>
        <v>drama</v>
      </c>
    </row>
    <row r="239" spans="1:22" ht="28.8" x14ac:dyDescent="0.3">
      <c r="A239">
        <v>237</v>
      </c>
      <c r="B239" s="3" t="s">
        <v>239</v>
      </c>
      <c r="C239" s="3" t="s">
        <v>4347</v>
      </c>
      <c r="D239" s="12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>((Table1[[#This Row],[deadline]]/60)/60/24)+DATE(1970,1,1)</f>
        <v>42437.577187499999</v>
      </c>
      <c r="K239">
        <v>1452261069</v>
      </c>
      <c r="L239" s="11">
        <f>((Table1[[#This Row],[launched_at]]/60)/60/24)+DATE(1970,1,1)</f>
        <v>42377.577187499999</v>
      </c>
      <c r="M239">
        <f>MONTH(Table1[[#This Row],[Date Created Conversion]])</f>
        <v>1</v>
      </c>
      <c r="N239">
        <f>YEAR(Table1[[#This Row],[Date Created Conversion]])</f>
        <v>2016</v>
      </c>
      <c r="O239" t="b">
        <v>0</v>
      </c>
      <c r="P239">
        <v>1</v>
      </c>
      <c r="Q239" t="b">
        <v>0</v>
      </c>
      <c r="R239" t="s">
        <v>8268</v>
      </c>
      <c r="S239" s="6">
        <f>Table1[[#This Row],[pledged]]/Table1[[#This Row],[goal]]</f>
        <v>3.3333333333333335E-3</v>
      </c>
      <c r="T239" s="8">
        <f>IF(Table1[[#This Row],[pledged]]=0,"no backers",Table1[[#This Row],[pledged]]/Table1[[#This Row],[backers_count]])</f>
        <v>50</v>
      </c>
      <c r="U239" t="str">
        <f>LEFT(Table1[[#This Row],[Category and Sub-Category]],FIND("/",Table1[[#This Row],[Category and Sub-Category]])-1)</f>
        <v>film &amp; video</v>
      </c>
      <c r="V239" t="str">
        <f>RIGHT(Table1[[#This Row],[Category and Sub-Category]],LEN(Table1[[#This Row],[Category and Sub-Category]])-FIND("/",Table1[[#This Row],[Category and Sub-Category]]))</f>
        <v>drama</v>
      </c>
    </row>
    <row r="240" spans="1:22" ht="43.2" x14ac:dyDescent="0.3">
      <c r="A240">
        <v>238</v>
      </c>
      <c r="B240" s="3" t="s">
        <v>240</v>
      </c>
      <c r="C240" s="3" t="s">
        <v>4348</v>
      </c>
      <c r="D240" s="12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>((Table1[[#This Row],[deadline]]/60)/60/24)+DATE(1970,1,1)</f>
        <v>42734.375</v>
      </c>
      <c r="K240">
        <v>1481324760</v>
      </c>
      <c r="L240" s="11">
        <f>((Table1[[#This Row],[launched_at]]/60)/60/24)+DATE(1970,1,1)</f>
        <v>42713.962499999994</v>
      </c>
      <c r="M240">
        <f>MONTH(Table1[[#This Row],[Date Created Conversion]])</f>
        <v>12</v>
      </c>
      <c r="N240">
        <f>YEAR(Table1[[#This Row],[Date Created Conversion]])</f>
        <v>2016</v>
      </c>
      <c r="O240" t="b">
        <v>0</v>
      </c>
      <c r="P240">
        <v>0</v>
      </c>
      <c r="Q240" t="b">
        <v>0</v>
      </c>
      <c r="R240" t="s">
        <v>8268</v>
      </c>
      <c r="S240" s="6">
        <f>Table1[[#This Row],[pledged]]/Table1[[#This Row],[goal]]</f>
        <v>0</v>
      </c>
      <c r="T240" s="8" t="str">
        <f>IF(Table1[[#This Row],[pledged]]=0,"no backers",Table1[[#This Row],[pledged]]/Table1[[#This Row],[backers_count]])</f>
        <v>no backers</v>
      </c>
      <c r="U240" t="str">
        <f>LEFT(Table1[[#This Row],[Category and Sub-Category]],FIND("/",Table1[[#This Row],[Category and Sub-Category]])-1)</f>
        <v>film &amp; video</v>
      </c>
      <c r="V240" t="str">
        <f>RIGHT(Table1[[#This Row],[Category and Sub-Category]],LEN(Table1[[#This Row],[Category and Sub-Category]])-FIND("/",Table1[[#This Row],[Category and Sub-Category]]))</f>
        <v>drama</v>
      </c>
    </row>
    <row r="241" spans="1:22" ht="43.2" x14ac:dyDescent="0.3">
      <c r="A241">
        <v>239</v>
      </c>
      <c r="B241" s="3" t="s">
        <v>241</v>
      </c>
      <c r="C241" s="3" t="s">
        <v>4349</v>
      </c>
      <c r="D241" s="12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>((Table1[[#This Row],[deadline]]/60)/60/24)+DATE(1970,1,1)</f>
        <v>42316.5</v>
      </c>
      <c r="K241">
        <v>1445308730</v>
      </c>
      <c r="L241" s="11">
        <f>((Table1[[#This Row],[launched_at]]/60)/60/24)+DATE(1970,1,1)</f>
        <v>42297.110300925924</v>
      </c>
      <c r="M241">
        <f>MONTH(Table1[[#This Row],[Date Created Conversion]])</f>
        <v>10</v>
      </c>
      <c r="N241">
        <f>YEAR(Table1[[#This Row],[Date Created Conversion]])</f>
        <v>2015</v>
      </c>
      <c r="O241" t="b">
        <v>0</v>
      </c>
      <c r="P241">
        <v>5</v>
      </c>
      <c r="Q241" t="b">
        <v>0</v>
      </c>
      <c r="R241" t="s">
        <v>8268</v>
      </c>
      <c r="S241" s="6">
        <f>Table1[[#This Row],[pledged]]/Table1[[#This Row],[goal]]</f>
        <v>0.25</v>
      </c>
      <c r="T241" s="8">
        <f>IF(Table1[[#This Row],[pledged]]=0,"no backers",Table1[[#This Row],[pledged]]/Table1[[#This Row],[backers_count]])</f>
        <v>50</v>
      </c>
      <c r="U241" t="str">
        <f>LEFT(Table1[[#This Row],[Category and Sub-Category]],FIND("/",Table1[[#This Row],[Category and Sub-Category]])-1)</f>
        <v>film &amp; video</v>
      </c>
      <c r="V241" t="str">
        <f>RIGHT(Table1[[#This Row],[Category and Sub-Category]],LEN(Table1[[#This Row],[Category and Sub-Category]])-FIND("/",Table1[[#This Row],[Category and Sub-Category]]))</f>
        <v>drama</v>
      </c>
    </row>
    <row r="242" spans="1:22" ht="57.6" x14ac:dyDescent="0.3">
      <c r="A242">
        <v>240</v>
      </c>
      <c r="B242" s="3" t="s">
        <v>242</v>
      </c>
      <c r="C242" s="3" t="s">
        <v>4350</v>
      </c>
      <c r="D242" s="1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>((Table1[[#This Row],[deadline]]/60)/60/24)+DATE(1970,1,1)</f>
        <v>41399.708460648151</v>
      </c>
      <c r="K242">
        <v>1363885211</v>
      </c>
      <c r="L242" s="11">
        <f>((Table1[[#This Row],[launched_at]]/60)/60/24)+DATE(1970,1,1)</f>
        <v>41354.708460648151</v>
      </c>
      <c r="M242">
        <f>MONTH(Table1[[#This Row],[Date Created Conversion]])</f>
        <v>3</v>
      </c>
      <c r="N242">
        <f>YEAR(Table1[[#This Row],[Date Created Conversion]])</f>
        <v>2013</v>
      </c>
      <c r="O242" t="b">
        <v>1</v>
      </c>
      <c r="P242">
        <v>137</v>
      </c>
      <c r="Q242" t="b">
        <v>1</v>
      </c>
      <c r="R242" t="s">
        <v>8269</v>
      </c>
      <c r="S242" s="6">
        <f>Table1[[#This Row],[pledged]]/Table1[[#This Row],[goal]]</f>
        <v>1.0763413333333334</v>
      </c>
      <c r="T242" s="8">
        <f>IF(Table1[[#This Row],[pledged]]=0,"no backers",Table1[[#This Row],[pledged]]/Table1[[#This Row],[backers_count]])</f>
        <v>117.84759124087591</v>
      </c>
      <c r="U242" t="str">
        <f>LEFT(Table1[[#This Row],[Category and Sub-Category]],FIND("/",Table1[[#This Row],[Category and Sub-Category]])-1)</f>
        <v>film &amp; video</v>
      </c>
      <c r="V242" t="str">
        <f>RIGHT(Table1[[#This Row],[Category and Sub-Category]],LEN(Table1[[#This Row],[Category and Sub-Category]])-FIND("/",Table1[[#This Row],[Category and Sub-Category]]))</f>
        <v>documentary</v>
      </c>
    </row>
    <row r="243" spans="1:22" ht="43.2" x14ac:dyDescent="0.3">
      <c r="A243">
        <v>241</v>
      </c>
      <c r="B243" s="3" t="s">
        <v>243</v>
      </c>
      <c r="C243" s="3" t="s">
        <v>4351</v>
      </c>
      <c r="D243" s="12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>((Table1[[#This Row],[deadline]]/60)/60/24)+DATE(1970,1,1)</f>
        <v>41994.697962962964</v>
      </c>
      <c r="K243">
        <v>1415292304</v>
      </c>
      <c r="L243" s="11">
        <f>((Table1[[#This Row],[launched_at]]/60)/60/24)+DATE(1970,1,1)</f>
        <v>41949.697962962964</v>
      </c>
      <c r="M243">
        <f>MONTH(Table1[[#This Row],[Date Created Conversion]])</f>
        <v>11</v>
      </c>
      <c r="N243">
        <f>YEAR(Table1[[#This Row],[Date Created Conversion]])</f>
        <v>2014</v>
      </c>
      <c r="O243" t="b">
        <v>1</v>
      </c>
      <c r="P243">
        <v>376</v>
      </c>
      <c r="Q243" t="b">
        <v>1</v>
      </c>
      <c r="R243" t="s">
        <v>8269</v>
      </c>
      <c r="S243" s="6">
        <f>Table1[[#This Row],[pledged]]/Table1[[#This Row],[goal]]</f>
        <v>1.1263736263736264</v>
      </c>
      <c r="T243" s="8">
        <f>IF(Table1[[#This Row],[pledged]]=0,"no backers",Table1[[#This Row],[pledged]]/Table1[[#This Row],[backers_count]])</f>
        <v>109.04255319148936</v>
      </c>
      <c r="U243" t="str">
        <f>LEFT(Table1[[#This Row],[Category and Sub-Category]],FIND("/",Table1[[#This Row],[Category and Sub-Category]])-1)</f>
        <v>film &amp; video</v>
      </c>
      <c r="V243" t="str">
        <f>RIGHT(Table1[[#This Row],[Category and Sub-Category]],LEN(Table1[[#This Row],[Category and Sub-Category]])-FIND("/",Table1[[#This Row],[Category and Sub-Category]]))</f>
        <v>documentary</v>
      </c>
    </row>
    <row r="244" spans="1:22" ht="43.2" x14ac:dyDescent="0.3">
      <c r="A244">
        <v>242</v>
      </c>
      <c r="B244" s="3" t="s">
        <v>244</v>
      </c>
      <c r="C244" s="3" t="s">
        <v>4352</v>
      </c>
      <c r="D244" s="12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>((Table1[[#This Row],[deadline]]/60)/60/24)+DATE(1970,1,1)</f>
        <v>40897.492939814816</v>
      </c>
      <c r="K244">
        <v>1321357790</v>
      </c>
      <c r="L244" s="11">
        <f>((Table1[[#This Row],[launched_at]]/60)/60/24)+DATE(1970,1,1)</f>
        <v>40862.492939814816</v>
      </c>
      <c r="M244">
        <f>MONTH(Table1[[#This Row],[Date Created Conversion]])</f>
        <v>11</v>
      </c>
      <c r="N244">
        <f>YEAR(Table1[[#This Row],[Date Created Conversion]])</f>
        <v>2011</v>
      </c>
      <c r="O244" t="b">
        <v>1</v>
      </c>
      <c r="P244">
        <v>202</v>
      </c>
      <c r="Q244" t="b">
        <v>1</v>
      </c>
      <c r="R244" t="s">
        <v>8269</v>
      </c>
      <c r="S244" s="6">
        <f>Table1[[#This Row],[pledged]]/Table1[[#This Row],[goal]]</f>
        <v>1.1346153846153846</v>
      </c>
      <c r="T244" s="8">
        <f>IF(Table1[[#This Row],[pledged]]=0,"no backers",Table1[[#This Row],[pledged]]/Table1[[#This Row],[backers_count]])</f>
        <v>73.019801980198025</v>
      </c>
      <c r="U244" t="str">
        <f>LEFT(Table1[[#This Row],[Category and Sub-Category]],FIND("/",Table1[[#This Row],[Category and Sub-Category]])-1)</f>
        <v>film &amp; video</v>
      </c>
      <c r="V244" t="str">
        <f>RIGHT(Table1[[#This Row],[Category and Sub-Category]],LEN(Table1[[#This Row],[Category and Sub-Category]])-FIND("/",Table1[[#This Row],[Category and Sub-Category]]))</f>
        <v>documentary</v>
      </c>
    </row>
    <row r="245" spans="1:22" ht="43.2" x14ac:dyDescent="0.3">
      <c r="A245">
        <v>243</v>
      </c>
      <c r="B245" s="3" t="s">
        <v>245</v>
      </c>
      <c r="C245" s="3" t="s">
        <v>4353</v>
      </c>
      <c r="D245" s="12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>((Table1[[#This Row],[deadline]]/60)/60/24)+DATE(1970,1,1)</f>
        <v>41692.047500000001</v>
      </c>
      <c r="K245">
        <v>1390439304</v>
      </c>
      <c r="L245" s="11">
        <f>((Table1[[#This Row],[launched_at]]/60)/60/24)+DATE(1970,1,1)</f>
        <v>41662.047500000001</v>
      </c>
      <c r="M245">
        <f>MONTH(Table1[[#This Row],[Date Created Conversion]])</f>
        <v>1</v>
      </c>
      <c r="N245">
        <f>YEAR(Table1[[#This Row],[Date Created Conversion]])</f>
        <v>2014</v>
      </c>
      <c r="O245" t="b">
        <v>1</v>
      </c>
      <c r="P245">
        <v>328</v>
      </c>
      <c r="Q245" t="b">
        <v>1</v>
      </c>
      <c r="R245" t="s">
        <v>8269</v>
      </c>
      <c r="S245" s="6">
        <f>Table1[[#This Row],[pledged]]/Table1[[#This Row],[goal]]</f>
        <v>1.0259199999999999</v>
      </c>
      <c r="T245" s="8">
        <f>IF(Table1[[#This Row],[pledged]]=0,"no backers",Table1[[#This Row],[pledged]]/Table1[[#This Row],[backers_count]])</f>
        <v>78.195121951219505</v>
      </c>
      <c r="U245" t="str">
        <f>LEFT(Table1[[#This Row],[Category and Sub-Category]],FIND("/",Table1[[#This Row],[Category and Sub-Category]])-1)</f>
        <v>film &amp; video</v>
      </c>
      <c r="V245" t="str">
        <f>RIGHT(Table1[[#This Row],[Category and Sub-Category]],LEN(Table1[[#This Row],[Category and Sub-Category]])-FIND("/",Table1[[#This Row],[Category and Sub-Category]]))</f>
        <v>documentary</v>
      </c>
    </row>
    <row r="246" spans="1:22" ht="57.6" x14ac:dyDescent="0.3">
      <c r="A246">
        <v>244</v>
      </c>
      <c r="B246" s="4">
        <v>39756</v>
      </c>
      <c r="C246" s="3" t="s">
        <v>4354</v>
      </c>
      <c r="D246" s="12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>((Table1[[#This Row],[deadline]]/60)/60/24)+DATE(1970,1,1)</f>
        <v>40253.29583333333</v>
      </c>
      <c r="K246">
        <v>1265269559</v>
      </c>
      <c r="L246" s="11">
        <f>((Table1[[#This Row],[launched_at]]/60)/60/24)+DATE(1970,1,1)</f>
        <v>40213.323599537034</v>
      </c>
      <c r="M246">
        <f>MONTH(Table1[[#This Row],[Date Created Conversion]])</f>
        <v>2</v>
      </c>
      <c r="N246">
        <f>YEAR(Table1[[#This Row],[Date Created Conversion]])</f>
        <v>2010</v>
      </c>
      <c r="O246" t="b">
        <v>1</v>
      </c>
      <c r="P246">
        <v>84</v>
      </c>
      <c r="Q246" t="b">
        <v>1</v>
      </c>
      <c r="R246" t="s">
        <v>8269</v>
      </c>
      <c r="S246" s="6">
        <f>Table1[[#This Row],[pledged]]/Table1[[#This Row],[goal]]</f>
        <v>1.1375714285714287</v>
      </c>
      <c r="T246" s="8">
        <f>IF(Table1[[#This Row],[pledged]]=0,"no backers",Table1[[#This Row],[pledged]]/Table1[[#This Row],[backers_count]])</f>
        <v>47.398809523809526</v>
      </c>
      <c r="U246" t="str">
        <f>LEFT(Table1[[#This Row],[Category and Sub-Category]],FIND("/",Table1[[#This Row],[Category and Sub-Category]])-1)</f>
        <v>film &amp; video</v>
      </c>
      <c r="V246" t="str">
        <f>RIGHT(Table1[[#This Row],[Category and Sub-Category]],LEN(Table1[[#This Row],[Category and Sub-Category]])-FIND("/",Table1[[#This Row],[Category and Sub-Category]]))</f>
        <v>documentary</v>
      </c>
    </row>
    <row r="247" spans="1:22" ht="43.2" x14ac:dyDescent="0.3">
      <c r="A247">
        <v>245</v>
      </c>
      <c r="B247" s="3" t="s">
        <v>246</v>
      </c>
      <c r="C247" s="3" t="s">
        <v>4355</v>
      </c>
      <c r="D247" s="12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>((Table1[[#This Row],[deadline]]/60)/60/24)+DATE(1970,1,1)</f>
        <v>41137.053067129629</v>
      </c>
      <c r="K247">
        <v>1342487785</v>
      </c>
      <c r="L247" s="11">
        <f>((Table1[[#This Row],[launched_at]]/60)/60/24)+DATE(1970,1,1)</f>
        <v>41107.053067129629</v>
      </c>
      <c r="M247">
        <f>MONTH(Table1[[#This Row],[Date Created Conversion]])</f>
        <v>7</v>
      </c>
      <c r="N247">
        <f>YEAR(Table1[[#This Row],[Date Created Conversion]])</f>
        <v>2012</v>
      </c>
      <c r="O247" t="b">
        <v>1</v>
      </c>
      <c r="P247">
        <v>96</v>
      </c>
      <c r="Q247" t="b">
        <v>1</v>
      </c>
      <c r="R247" t="s">
        <v>8269</v>
      </c>
      <c r="S247" s="6">
        <f>Table1[[#This Row],[pledged]]/Table1[[#This Row],[goal]]</f>
        <v>1.0371999999999999</v>
      </c>
      <c r="T247" s="8">
        <f>IF(Table1[[#This Row],[pledged]]=0,"no backers",Table1[[#This Row],[pledged]]/Table1[[#This Row],[backers_count]])</f>
        <v>54.020833333333336</v>
      </c>
      <c r="U247" t="str">
        <f>LEFT(Table1[[#This Row],[Category and Sub-Category]],FIND("/",Table1[[#This Row],[Category and Sub-Category]])-1)</f>
        <v>film &amp; video</v>
      </c>
      <c r="V247" t="str">
        <f>RIGHT(Table1[[#This Row],[Category and Sub-Category]],LEN(Table1[[#This Row],[Category and Sub-Category]])-FIND("/",Table1[[#This Row],[Category and Sub-Category]]))</f>
        <v>documentary</v>
      </c>
    </row>
    <row r="248" spans="1:22" ht="43.2" x14ac:dyDescent="0.3">
      <c r="A248">
        <v>246</v>
      </c>
      <c r="B248" s="3" t="s">
        <v>247</v>
      </c>
      <c r="C248" s="3" t="s">
        <v>4356</v>
      </c>
      <c r="D248" s="12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>((Table1[[#This Row],[deadline]]/60)/60/24)+DATE(1970,1,1)</f>
        <v>40530.405150462961</v>
      </c>
      <c r="K248">
        <v>1288341805</v>
      </c>
      <c r="L248" s="11">
        <f>((Table1[[#This Row],[launched_at]]/60)/60/24)+DATE(1970,1,1)</f>
        <v>40480.363483796296</v>
      </c>
      <c r="M248">
        <f>MONTH(Table1[[#This Row],[Date Created Conversion]])</f>
        <v>10</v>
      </c>
      <c r="N248">
        <f>YEAR(Table1[[#This Row],[Date Created Conversion]])</f>
        <v>2010</v>
      </c>
      <c r="O248" t="b">
        <v>1</v>
      </c>
      <c r="P248">
        <v>223</v>
      </c>
      <c r="Q248" t="b">
        <v>1</v>
      </c>
      <c r="R248" t="s">
        <v>8269</v>
      </c>
      <c r="S248" s="6">
        <f>Table1[[#This Row],[pledged]]/Table1[[#This Row],[goal]]</f>
        <v>3.0546000000000002</v>
      </c>
      <c r="T248" s="8">
        <f>IF(Table1[[#This Row],[pledged]]=0,"no backers",Table1[[#This Row],[pledged]]/Table1[[#This Row],[backers_count]])</f>
        <v>68.488789237668158</v>
      </c>
      <c r="U248" t="str">
        <f>LEFT(Table1[[#This Row],[Category and Sub-Category]],FIND("/",Table1[[#This Row],[Category and Sub-Category]])-1)</f>
        <v>film &amp; video</v>
      </c>
      <c r="V248" t="str">
        <f>RIGHT(Table1[[#This Row],[Category and Sub-Category]],LEN(Table1[[#This Row],[Category and Sub-Category]])-FIND("/",Table1[[#This Row],[Category and Sub-Category]]))</f>
        <v>documentary</v>
      </c>
    </row>
    <row r="249" spans="1:22" ht="57.6" x14ac:dyDescent="0.3">
      <c r="A249">
        <v>247</v>
      </c>
      <c r="B249" s="3" t="s">
        <v>248</v>
      </c>
      <c r="C249" s="3" t="s">
        <v>4357</v>
      </c>
      <c r="D249" s="12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>((Table1[[#This Row],[deadline]]/60)/60/24)+DATE(1970,1,1)</f>
        <v>40467.152083333334</v>
      </c>
      <c r="K249">
        <v>1284042614</v>
      </c>
      <c r="L249" s="11">
        <f>((Table1[[#This Row],[launched_at]]/60)/60/24)+DATE(1970,1,1)</f>
        <v>40430.604328703703</v>
      </c>
      <c r="M249">
        <f>MONTH(Table1[[#This Row],[Date Created Conversion]])</f>
        <v>9</v>
      </c>
      <c r="N249">
        <f>YEAR(Table1[[#This Row],[Date Created Conversion]])</f>
        <v>2010</v>
      </c>
      <c r="O249" t="b">
        <v>1</v>
      </c>
      <c r="P249">
        <v>62</v>
      </c>
      <c r="Q249" t="b">
        <v>1</v>
      </c>
      <c r="R249" t="s">
        <v>8269</v>
      </c>
      <c r="S249" s="6">
        <f>Table1[[#This Row],[pledged]]/Table1[[#This Row],[goal]]</f>
        <v>1.341</v>
      </c>
      <c r="T249" s="8">
        <f>IF(Table1[[#This Row],[pledged]]=0,"no backers",Table1[[#This Row],[pledged]]/Table1[[#This Row],[backers_count]])</f>
        <v>108.14516129032258</v>
      </c>
      <c r="U249" t="str">
        <f>LEFT(Table1[[#This Row],[Category and Sub-Category]],FIND("/",Table1[[#This Row],[Category and Sub-Category]])-1)</f>
        <v>film &amp; video</v>
      </c>
      <c r="V249" t="str">
        <f>RIGHT(Table1[[#This Row],[Category and Sub-Category]],LEN(Table1[[#This Row],[Category and Sub-Category]])-FIND("/",Table1[[#This Row],[Category and Sub-Category]]))</f>
        <v>documentary</v>
      </c>
    </row>
    <row r="250" spans="1:22" ht="43.2" x14ac:dyDescent="0.3">
      <c r="A250">
        <v>248</v>
      </c>
      <c r="B250" s="3" t="s">
        <v>249</v>
      </c>
      <c r="C250" s="3" t="s">
        <v>4358</v>
      </c>
      <c r="D250" s="12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>((Table1[[#This Row],[deadline]]/60)/60/24)+DATE(1970,1,1)</f>
        <v>40915.774409722224</v>
      </c>
      <c r="K250">
        <v>1322073309</v>
      </c>
      <c r="L250" s="11">
        <f>((Table1[[#This Row],[launched_at]]/60)/60/24)+DATE(1970,1,1)</f>
        <v>40870.774409722224</v>
      </c>
      <c r="M250">
        <f>MONTH(Table1[[#This Row],[Date Created Conversion]])</f>
        <v>11</v>
      </c>
      <c r="N250">
        <f>YEAR(Table1[[#This Row],[Date Created Conversion]])</f>
        <v>2011</v>
      </c>
      <c r="O250" t="b">
        <v>1</v>
      </c>
      <c r="P250">
        <v>146</v>
      </c>
      <c r="Q250" t="b">
        <v>1</v>
      </c>
      <c r="R250" t="s">
        <v>8269</v>
      </c>
      <c r="S250" s="6">
        <f>Table1[[#This Row],[pledged]]/Table1[[#This Row],[goal]]</f>
        <v>1.0133294117647058</v>
      </c>
      <c r="T250" s="8">
        <f>IF(Table1[[#This Row],[pledged]]=0,"no backers",Table1[[#This Row],[pledged]]/Table1[[#This Row],[backers_count]])</f>
        <v>589.95205479452056</v>
      </c>
      <c r="U250" t="str">
        <f>LEFT(Table1[[#This Row],[Category and Sub-Category]],FIND("/",Table1[[#This Row],[Category and Sub-Category]])-1)</f>
        <v>film &amp; video</v>
      </c>
      <c r="V250" t="str">
        <f>RIGHT(Table1[[#This Row],[Category and Sub-Category]],LEN(Table1[[#This Row],[Category and Sub-Category]])-FIND("/",Table1[[#This Row],[Category and Sub-Category]]))</f>
        <v>documentary</v>
      </c>
    </row>
    <row r="251" spans="1:22" ht="57.6" x14ac:dyDescent="0.3">
      <c r="A251">
        <v>249</v>
      </c>
      <c r="B251" s="3" t="s">
        <v>250</v>
      </c>
      <c r="C251" s="3" t="s">
        <v>4359</v>
      </c>
      <c r="D251" s="12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>((Table1[[#This Row],[deadline]]/60)/60/24)+DATE(1970,1,1)</f>
        <v>40412.736111111109</v>
      </c>
      <c r="K251">
        <v>1275603020</v>
      </c>
      <c r="L251" s="11">
        <f>((Table1[[#This Row],[launched_at]]/60)/60/24)+DATE(1970,1,1)</f>
        <v>40332.923842592594</v>
      </c>
      <c r="M251">
        <f>MONTH(Table1[[#This Row],[Date Created Conversion]])</f>
        <v>6</v>
      </c>
      <c r="N251">
        <f>YEAR(Table1[[#This Row],[Date Created Conversion]])</f>
        <v>2010</v>
      </c>
      <c r="O251" t="b">
        <v>1</v>
      </c>
      <c r="P251">
        <v>235</v>
      </c>
      <c r="Q251" t="b">
        <v>1</v>
      </c>
      <c r="R251" t="s">
        <v>8269</v>
      </c>
      <c r="S251" s="6">
        <f>Table1[[#This Row],[pledged]]/Table1[[#This Row],[goal]]</f>
        <v>1.1292</v>
      </c>
      <c r="T251" s="8">
        <f>IF(Table1[[#This Row],[pledged]]=0,"no backers",Table1[[#This Row],[pledged]]/Table1[[#This Row],[backers_count]])</f>
        <v>48.051063829787232</v>
      </c>
      <c r="U251" t="str">
        <f>LEFT(Table1[[#This Row],[Category and Sub-Category]],FIND("/",Table1[[#This Row],[Category and Sub-Category]])-1)</f>
        <v>film &amp; video</v>
      </c>
      <c r="V251" t="str">
        <f>RIGHT(Table1[[#This Row],[Category and Sub-Category]],LEN(Table1[[#This Row],[Category and Sub-Category]])-FIND("/",Table1[[#This Row],[Category and Sub-Category]]))</f>
        <v>documentary</v>
      </c>
    </row>
    <row r="252" spans="1:22" ht="43.2" x14ac:dyDescent="0.3">
      <c r="A252">
        <v>250</v>
      </c>
      <c r="B252" s="3" t="s">
        <v>251</v>
      </c>
      <c r="C252" s="3" t="s">
        <v>4360</v>
      </c>
      <c r="D252" s="1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>((Table1[[#This Row],[deadline]]/60)/60/24)+DATE(1970,1,1)</f>
        <v>41431.565868055557</v>
      </c>
      <c r="K252">
        <v>1367933691</v>
      </c>
      <c r="L252" s="11">
        <f>((Table1[[#This Row],[launched_at]]/60)/60/24)+DATE(1970,1,1)</f>
        <v>41401.565868055557</v>
      </c>
      <c r="M252">
        <f>MONTH(Table1[[#This Row],[Date Created Conversion]])</f>
        <v>5</v>
      </c>
      <c r="N252">
        <f>YEAR(Table1[[#This Row],[Date Created Conversion]])</f>
        <v>2013</v>
      </c>
      <c r="O252" t="b">
        <v>1</v>
      </c>
      <c r="P252">
        <v>437</v>
      </c>
      <c r="Q252" t="b">
        <v>1</v>
      </c>
      <c r="R252" t="s">
        <v>8269</v>
      </c>
      <c r="S252" s="6">
        <f>Table1[[#This Row],[pledged]]/Table1[[#This Row],[goal]]</f>
        <v>1.0558333333333334</v>
      </c>
      <c r="T252" s="8">
        <f>IF(Table1[[#This Row],[pledged]]=0,"no backers",Table1[[#This Row],[pledged]]/Table1[[#This Row],[backers_count]])</f>
        <v>72.482837528604122</v>
      </c>
      <c r="U252" t="str">
        <f>LEFT(Table1[[#This Row],[Category and Sub-Category]],FIND("/",Table1[[#This Row],[Category and Sub-Category]])-1)</f>
        <v>film &amp; video</v>
      </c>
      <c r="V252" t="str">
        <f>RIGHT(Table1[[#This Row],[Category and Sub-Category]],LEN(Table1[[#This Row],[Category and Sub-Category]])-FIND("/",Table1[[#This Row],[Category and Sub-Category]]))</f>
        <v>documentary</v>
      </c>
    </row>
    <row r="253" spans="1:22" ht="43.2" x14ac:dyDescent="0.3">
      <c r="A253">
        <v>251</v>
      </c>
      <c r="B253" s="3" t="s">
        <v>252</v>
      </c>
      <c r="C253" s="3" t="s">
        <v>4361</v>
      </c>
      <c r="D253" s="12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>((Table1[[#This Row],[deadline]]/60)/60/24)+DATE(1970,1,1)</f>
        <v>41045.791666666664</v>
      </c>
      <c r="K253">
        <v>1334429646</v>
      </c>
      <c r="L253" s="11">
        <f>((Table1[[#This Row],[launched_at]]/60)/60/24)+DATE(1970,1,1)</f>
        <v>41013.787569444445</v>
      </c>
      <c r="M253">
        <f>MONTH(Table1[[#This Row],[Date Created Conversion]])</f>
        <v>4</v>
      </c>
      <c r="N253">
        <f>YEAR(Table1[[#This Row],[Date Created Conversion]])</f>
        <v>2012</v>
      </c>
      <c r="O253" t="b">
        <v>1</v>
      </c>
      <c r="P253">
        <v>77</v>
      </c>
      <c r="Q253" t="b">
        <v>1</v>
      </c>
      <c r="R253" t="s">
        <v>8269</v>
      </c>
      <c r="S253" s="6">
        <f>Table1[[#This Row],[pledged]]/Table1[[#This Row],[goal]]</f>
        <v>1.2557142857142858</v>
      </c>
      <c r="T253" s="8">
        <f>IF(Table1[[#This Row],[pledged]]=0,"no backers",Table1[[#This Row],[pledged]]/Table1[[#This Row],[backers_count]])</f>
        <v>57.077922077922075</v>
      </c>
      <c r="U253" t="str">
        <f>LEFT(Table1[[#This Row],[Category and Sub-Category]],FIND("/",Table1[[#This Row],[Category and Sub-Category]])-1)</f>
        <v>film &amp; video</v>
      </c>
      <c r="V253" t="str">
        <f>RIGHT(Table1[[#This Row],[Category and Sub-Category]],LEN(Table1[[#This Row],[Category and Sub-Category]])-FIND("/",Table1[[#This Row],[Category and Sub-Category]]))</f>
        <v>documentary</v>
      </c>
    </row>
    <row r="254" spans="1:22" ht="43.2" x14ac:dyDescent="0.3">
      <c r="A254">
        <v>252</v>
      </c>
      <c r="B254" s="3" t="s">
        <v>253</v>
      </c>
      <c r="C254" s="3" t="s">
        <v>4362</v>
      </c>
      <c r="D254" s="12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>((Table1[[#This Row],[deadline]]/60)/60/24)+DATE(1970,1,1)</f>
        <v>40330.165972222225</v>
      </c>
      <c r="K254">
        <v>1269878058</v>
      </c>
      <c r="L254" s="11">
        <f>((Table1[[#This Row],[launched_at]]/60)/60/24)+DATE(1970,1,1)</f>
        <v>40266.662708333337</v>
      </c>
      <c r="M254">
        <f>MONTH(Table1[[#This Row],[Date Created Conversion]])</f>
        <v>3</v>
      </c>
      <c r="N254">
        <f>YEAR(Table1[[#This Row],[Date Created Conversion]])</f>
        <v>2010</v>
      </c>
      <c r="O254" t="b">
        <v>1</v>
      </c>
      <c r="P254">
        <v>108</v>
      </c>
      <c r="Q254" t="b">
        <v>1</v>
      </c>
      <c r="R254" t="s">
        <v>8269</v>
      </c>
      <c r="S254" s="6">
        <f>Table1[[#This Row],[pledged]]/Table1[[#This Row],[goal]]</f>
        <v>1.8455999999999999</v>
      </c>
      <c r="T254" s="8">
        <f>IF(Table1[[#This Row],[pledged]]=0,"no backers",Table1[[#This Row],[pledged]]/Table1[[#This Row],[backers_count]])</f>
        <v>85.444444444444443</v>
      </c>
      <c r="U254" t="str">
        <f>LEFT(Table1[[#This Row],[Category and Sub-Category]],FIND("/",Table1[[#This Row],[Category and Sub-Category]])-1)</f>
        <v>film &amp; video</v>
      </c>
      <c r="V254" t="str">
        <f>RIGHT(Table1[[#This Row],[Category and Sub-Category]],LEN(Table1[[#This Row],[Category and Sub-Category]])-FIND("/",Table1[[#This Row],[Category and Sub-Category]]))</f>
        <v>documentary</v>
      </c>
    </row>
    <row r="255" spans="1:22" ht="57.6" x14ac:dyDescent="0.3">
      <c r="A255">
        <v>253</v>
      </c>
      <c r="B255" s="3" t="s">
        <v>254</v>
      </c>
      <c r="C255" s="3" t="s">
        <v>4363</v>
      </c>
      <c r="D255" s="12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>((Table1[[#This Row],[deadline]]/60)/60/24)+DATE(1970,1,1)</f>
        <v>40954.650868055556</v>
      </c>
      <c r="K255">
        <v>1326728235</v>
      </c>
      <c r="L255" s="11">
        <f>((Table1[[#This Row],[launched_at]]/60)/60/24)+DATE(1970,1,1)</f>
        <v>40924.650868055556</v>
      </c>
      <c r="M255">
        <f>MONTH(Table1[[#This Row],[Date Created Conversion]])</f>
        <v>1</v>
      </c>
      <c r="N255">
        <f>YEAR(Table1[[#This Row],[Date Created Conversion]])</f>
        <v>2012</v>
      </c>
      <c r="O255" t="b">
        <v>1</v>
      </c>
      <c r="P255">
        <v>7</v>
      </c>
      <c r="Q255" t="b">
        <v>1</v>
      </c>
      <c r="R255" t="s">
        <v>8269</v>
      </c>
      <c r="S255" s="6">
        <f>Table1[[#This Row],[pledged]]/Table1[[#This Row],[goal]]</f>
        <v>1.0073333333333334</v>
      </c>
      <c r="T255" s="8">
        <f>IF(Table1[[#This Row],[pledged]]=0,"no backers",Table1[[#This Row],[pledged]]/Table1[[#This Row],[backers_count]])</f>
        <v>215.85714285714286</v>
      </c>
      <c r="U255" t="str">
        <f>LEFT(Table1[[#This Row],[Category and Sub-Category]],FIND("/",Table1[[#This Row],[Category and Sub-Category]])-1)</f>
        <v>film &amp; video</v>
      </c>
      <c r="V255" t="str">
        <f>RIGHT(Table1[[#This Row],[Category and Sub-Category]],LEN(Table1[[#This Row],[Category and Sub-Category]])-FIND("/",Table1[[#This Row],[Category and Sub-Category]]))</f>
        <v>documentary</v>
      </c>
    </row>
    <row r="256" spans="1:22" ht="43.2" x14ac:dyDescent="0.3">
      <c r="A256">
        <v>254</v>
      </c>
      <c r="B256" s="3" t="s">
        <v>255</v>
      </c>
      <c r="C256" s="3" t="s">
        <v>4364</v>
      </c>
      <c r="D256" s="12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>((Table1[[#This Row],[deadline]]/60)/60/24)+DATE(1970,1,1)</f>
        <v>42294.083333333328</v>
      </c>
      <c r="K256">
        <v>1442443910</v>
      </c>
      <c r="L256" s="11">
        <f>((Table1[[#This Row],[launched_at]]/60)/60/24)+DATE(1970,1,1)</f>
        <v>42263.952662037031</v>
      </c>
      <c r="M256">
        <f>MONTH(Table1[[#This Row],[Date Created Conversion]])</f>
        <v>9</v>
      </c>
      <c r="N256">
        <f>YEAR(Table1[[#This Row],[Date Created Conversion]])</f>
        <v>2015</v>
      </c>
      <c r="O256" t="b">
        <v>1</v>
      </c>
      <c r="P256">
        <v>314</v>
      </c>
      <c r="Q256" t="b">
        <v>1</v>
      </c>
      <c r="R256" t="s">
        <v>8269</v>
      </c>
      <c r="S256" s="6">
        <f>Table1[[#This Row],[pledged]]/Table1[[#This Row],[goal]]</f>
        <v>1.1694724999999999</v>
      </c>
      <c r="T256" s="8">
        <f>IF(Table1[[#This Row],[pledged]]=0,"no backers",Table1[[#This Row],[pledged]]/Table1[[#This Row],[backers_count]])</f>
        <v>89.38643312101911</v>
      </c>
      <c r="U256" t="str">
        <f>LEFT(Table1[[#This Row],[Category and Sub-Category]],FIND("/",Table1[[#This Row],[Category and Sub-Category]])-1)</f>
        <v>film &amp; video</v>
      </c>
      <c r="V256" t="str">
        <f>RIGHT(Table1[[#This Row],[Category and Sub-Category]],LEN(Table1[[#This Row],[Category and Sub-Category]])-FIND("/",Table1[[#This Row],[Category and Sub-Category]]))</f>
        <v>documentary</v>
      </c>
    </row>
    <row r="257" spans="1:22" ht="28.8" x14ac:dyDescent="0.3">
      <c r="A257">
        <v>255</v>
      </c>
      <c r="B257" s="3" t="s">
        <v>256</v>
      </c>
      <c r="C257" s="3" t="s">
        <v>4365</v>
      </c>
      <c r="D257" s="12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>((Table1[[#This Row],[deadline]]/60)/60/24)+DATE(1970,1,1)</f>
        <v>40618.48474537037</v>
      </c>
      <c r="K257">
        <v>1297687082</v>
      </c>
      <c r="L257" s="11">
        <f>((Table1[[#This Row],[launched_at]]/60)/60/24)+DATE(1970,1,1)</f>
        <v>40588.526412037041</v>
      </c>
      <c r="M257">
        <f>MONTH(Table1[[#This Row],[Date Created Conversion]])</f>
        <v>2</v>
      </c>
      <c r="N257">
        <f>YEAR(Table1[[#This Row],[Date Created Conversion]])</f>
        <v>2011</v>
      </c>
      <c r="O257" t="b">
        <v>1</v>
      </c>
      <c r="P257">
        <v>188</v>
      </c>
      <c r="Q257" t="b">
        <v>1</v>
      </c>
      <c r="R257" t="s">
        <v>8269</v>
      </c>
      <c r="S257" s="6">
        <f>Table1[[#This Row],[pledged]]/Table1[[#This Row],[goal]]</f>
        <v>1.0673325</v>
      </c>
      <c r="T257" s="8">
        <f>IF(Table1[[#This Row],[pledged]]=0,"no backers",Table1[[#This Row],[pledged]]/Table1[[#This Row],[backers_count]])</f>
        <v>45.418404255319146</v>
      </c>
      <c r="U257" t="str">
        <f>LEFT(Table1[[#This Row],[Category and Sub-Category]],FIND("/",Table1[[#This Row],[Category and Sub-Category]])-1)</f>
        <v>film &amp; video</v>
      </c>
      <c r="V257" t="str">
        <f>RIGHT(Table1[[#This Row],[Category and Sub-Category]],LEN(Table1[[#This Row],[Category and Sub-Category]])-FIND("/",Table1[[#This Row],[Category and Sub-Category]]))</f>
        <v>documentary</v>
      </c>
    </row>
    <row r="258" spans="1:22" ht="43.2" x14ac:dyDescent="0.3">
      <c r="A258">
        <v>256</v>
      </c>
      <c r="B258" s="3" t="s">
        <v>257</v>
      </c>
      <c r="C258" s="3" t="s">
        <v>4366</v>
      </c>
      <c r="D258" s="12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>((Table1[[#This Row],[deadline]]/60)/60/24)+DATE(1970,1,1)</f>
        <v>41349.769293981481</v>
      </c>
      <c r="K258">
        <v>1360866467</v>
      </c>
      <c r="L258" s="11">
        <f>((Table1[[#This Row],[launched_at]]/60)/60/24)+DATE(1970,1,1)</f>
        <v>41319.769293981481</v>
      </c>
      <c r="M258">
        <f>MONTH(Table1[[#This Row],[Date Created Conversion]])</f>
        <v>2</v>
      </c>
      <c r="N258">
        <f>YEAR(Table1[[#This Row],[Date Created Conversion]])</f>
        <v>2013</v>
      </c>
      <c r="O258" t="b">
        <v>1</v>
      </c>
      <c r="P258">
        <v>275</v>
      </c>
      <c r="Q258" t="b">
        <v>1</v>
      </c>
      <c r="R258" t="s">
        <v>8269</v>
      </c>
      <c r="S258" s="6">
        <f>Table1[[#This Row],[pledged]]/Table1[[#This Row],[goal]]</f>
        <v>1.391</v>
      </c>
      <c r="T258" s="8">
        <f>IF(Table1[[#This Row],[pledged]]=0,"no backers",Table1[[#This Row],[pledged]]/Table1[[#This Row],[backers_count]])</f>
        <v>65.756363636363631</v>
      </c>
      <c r="U258" t="str">
        <f>LEFT(Table1[[#This Row],[Category and Sub-Category]],FIND("/",Table1[[#This Row],[Category and Sub-Category]])-1)</f>
        <v>film &amp; video</v>
      </c>
      <c r="V258" t="str">
        <f>RIGHT(Table1[[#This Row],[Category and Sub-Category]],LEN(Table1[[#This Row],[Category and Sub-Category]])-FIND("/",Table1[[#This Row],[Category and Sub-Category]]))</f>
        <v>documentary</v>
      </c>
    </row>
    <row r="259" spans="1:22" ht="43.2" x14ac:dyDescent="0.3">
      <c r="A259">
        <v>257</v>
      </c>
      <c r="B259" s="3" t="s">
        <v>258</v>
      </c>
      <c r="C259" s="3" t="s">
        <v>4367</v>
      </c>
      <c r="D259" s="12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>((Table1[[#This Row],[deadline]]/60)/60/24)+DATE(1970,1,1)</f>
        <v>42509.626875000002</v>
      </c>
      <c r="K259">
        <v>1461078162</v>
      </c>
      <c r="L259" s="11">
        <f>((Table1[[#This Row],[launched_at]]/60)/60/24)+DATE(1970,1,1)</f>
        <v>42479.626875000002</v>
      </c>
      <c r="M259">
        <f>MONTH(Table1[[#This Row],[Date Created Conversion]])</f>
        <v>4</v>
      </c>
      <c r="N259">
        <f>YEAR(Table1[[#This Row],[Date Created Conversion]])</f>
        <v>2016</v>
      </c>
      <c r="O259" t="b">
        <v>1</v>
      </c>
      <c r="P259">
        <v>560</v>
      </c>
      <c r="Q259" t="b">
        <v>1</v>
      </c>
      <c r="R259" t="s">
        <v>8269</v>
      </c>
      <c r="S259" s="6">
        <f>Table1[[#This Row],[pledged]]/Table1[[#This Row],[goal]]</f>
        <v>1.0672648571428571</v>
      </c>
      <c r="T259" s="8">
        <f>IF(Table1[[#This Row],[pledged]]=0,"no backers",Table1[[#This Row],[pledged]]/Table1[[#This Row],[backers_count]])</f>
        <v>66.70405357142856</v>
      </c>
      <c r="U259" t="str">
        <f>LEFT(Table1[[#This Row],[Category and Sub-Category]],FIND("/",Table1[[#This Row],[Category and Sub-Category]])-1)</f>
        <v>film &amp; video</v>
      </c>
      <c r="V259" t="str">
        <f>RIGHT(Table1[[#This Row],[Category and Sub-Category]],LEN(Table1[[#This Row],[Category and Sub-Category]])-FIND("/",Table1[[#This Row],[Category and Sub-Category]]))</f>
        <v>documentary</v>
      </c>
    </row>
    <row r="260" spans="1:22" ht="43.2" x14ac:dyDescent="0.3">
      <c r="A260">
        <v>258</v>
      </c>
      <c r="B260" s="3" t="s">
        <v>259</v>
      </c>
      <c r="C260" s="3" t="s">
        <v>4368</v>
      </c>
      <c r="D260" s="12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>((Table1[[#This Row],[deadline]]/60)/60/24)+DATE(1970,1,1)</f>
        <v>40712.051689814813</v>
      </c>
      <c r="K260">
        <v>1305767666</v>
      </c>
      <c r="L260" s="11">
        <f>((Table1[[#This Row],[launched_at]]/60)/60/24)+DATE(1970,1,1)</f>
        <v>40682.051689814813</v>
      </c>
      <c r="M260">
        <f>MONTH(Table1[[#This Row],[Date Created Conversion]])</f>
        <v>5</v>
      </c>
      <c r="N260">
        <f>YEAR(Table1[[#This Row],[Date Created Conversion]])</f>
        <v>2011</v>
      </c>
      <c r="O260" t="b">
        <v>1</v>
      </c>
      <c r="P260">
        <v>688</v>
      </c>
      <c r="Q260" t="b">
        <v>1</v>
      </c>
      <c r="R260" t="s">
        <v>8269</v>
      </c>
      <c r="S260" s="6">
        <f>Table1[[#This Row],[pledged]]/Table1[[#This Row],[goal]]</f>
        <v>1.9114</v>
      </c>
      <c r="T260" s="8">
        <f>IF(Table1[[#This Row],[pledged]]=0,"no backers",Table1[[#This Row],[pledged]]/Table1[[#This Row],[backers_count]])</f>
        <v>83.345930232558146</v>
      </c>
      <c r="U260" t="str">
        <f>LEFT(Table1[[#This Row],[Category and Sub-Category]],FIND("/",Table1[[#This Row],[Category and Sub-Category]])-1)</f>
        <v>film &amp; video</v>
      </c>
      <c r="V260" t="str">
        <f>RIGHT(Table1[[#This Row],[Category and Sub-Category]],LEN(Table1[[#This Row],[Category and Sub-Category]])-FIND("/",Table1[[#This Row],[Category and Sub-Category]]))</f>
        <v>documentary</v>
      </c>
    </row>
    <row r="261" spans="1:22" ht="57.6" x14ac:dyDescent="0.3">
      <c r="A261">
        <v>259</v>
      </c>
      <c r="B261" s="3" t="s">
        <v>260</v>
      </c>
      <c r="C261" s="3" t="s">
        <v>4369</v>
      </c>
      <c r="D261" s="12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>((Table1[[#This Row],[deadline]]/60)/60/24)+DATE(1970,1,1)</f>
        <v>42102.738067129627</v>
      </c>
      <c r="K261">
        <v>1425922969</v>
      </c>
      <c r="L261" s="11">
        <f>((Table1[[#This Row],[launched_at]]/60)/60/24)+DATE(1970,1,1)</f>
        <v>42072.738067129627</v>
      </c>
      <c r="M261">
        <f>MONTH(Table1[[#This Row],[Date Created Conversion]])</f>
        <v>3</v>
      </c>
      <c r="N261">
        <f>YEAR(Table1[[#This Row],[Date Created Conversion]])</f>
        <v>2015</v>
      </c>
      <c r="O261" t="b">
        <v>1</v>
      </c>
      <c r="P261">
        <v>942</v>
      </c>
      <c r="Q261" t="b">
        <v>1</v>
      </c>
      <c r="R261" t="s">
        <v>8269</v>
      </c>
      <c r="S261" s="6">
        <f>Table1[[#This Row],[pledged]]/Table1[[#This Row],[goal]]</f>
        <v>1.3193789333333332</v>
      </c>
      <c r="T261" s="8">
        <f>IF(Table1[[#This Row],[pledged]]=0,"no backers",Table1[[#This Row],[pledged]]/Table1[[#This Row],[backers_count]])</f>
        <v>105.04609341825902</v>
      </c>
      <c r="U261" t="str">
        <f>LEFT(Table1[[#This Row],[Category and Sub-Category]],FIND("/",Table1[[#This Row],[Category and Sub-Category]])-1)</f>
        <v>film &amp; video</v>
      </c>
      <c r="V261" t="str">
        <f>RIGHT(Table1[[#This Row],[Category and Sub-Category]],LEN(Table1[[#This Row],[Category and Sub-Category]])-FIND("/",Table1[[#This Row],[Category and Sub-Category]]))</f>
        <v>documentary</v>
      </c>
    </row>
    <row r="262" spans="1:22" ht="43.2" x14ac:dyDescent="0.3">
      <c r="A262">
        <v>260</v>
      </c>
      <c r="B262" s="3" t="s">
        <v>261</v>
      </c>
      <c r="C262" s="3" t="s">
        <v>4370</v>
      </c>
      <c r="D262" s="1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>((Table1[[#This Row],[deadline]]/60)/60/24)+DATE(1970,1,1)</f>
        <v>40376.415972222225</v>
      </c>
      <c r="K262">
        <v>1275415679</v>
      </c>
      <c r="L262" s="11">
        <f>((Table1[[#This Row],[launched_at]]/60)/60/24)+DATE(1970,1,1)</f>
        <v>40330.755543981482</v>
      </c>
      <c r="M262">
        <f>MONTH(Table1[[#This Row],[Date Created Conversion]])</f>
        <v>6</v>
      </c>
      <c r="N262">
        <f>YEAR(Table1[[#This Row],[Date Created Conversion]])</f>
        <v>2010</v>
      </c>
      <c r="O262" t="b">
        <v>1</v>
      </c>
      <c r="P262">
        <v>88</v>
      </c>
      <c r="Q262" t="b">
        <v>1</v>
      </c>
      <c r="R262" t="s">
        <v>8269</v>
      </c>
      <c r="S262" s="6">
        <f>Table1[[#This Row],[pledged]]/Table1[[#This Row],[goal]]</f>
        <v>1.0640000000000001</v>
      </c>
      <c r="T262" s="8">
        <f>IF(Table1[[#This Row],[pledged]]=0,"no backers",Table1[[#This Row],[pledged]]/Table1[[#This Row],[backers_count]])</f>
        <v>120.90909090909091</v>
      </c>
      <c r="U262" t="str">
        <f>LEFT(Table1[[#This Row],[Category and Sub-Category]],FIND("/",Table1[[#This Row],[Category and Sub-Category]])-1)</f>
        <v>film &amp; video</v>
      </c>
      <c r="V262" t="str">
        <f>RIGHT(Table1[[#This Row],[Category and Sub-Category]],LEN(Table1[[#This Row],[Category and Sub-Category]])-FIND("/",Table1[[#This Row],[Category and Sub-Category]]))</f>
        <v>documentary</v>
      </c>
    </row>
    <row r="263" spans="1:22" ht="28.8" x14ac:dyDescent="0.3">
      <c r="A263">
        <v>261</v>
      </c>
      <c r="B263" s="3" t="s">
        <v>262</v>
      </c>
      <c r="C263" s="3" t="s">
        <v>4371</v>
      </c>
      <c r="D263" s="12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>((Table1[[#This Row],[deadline]]/60)/60/24)+DATE(1970,1,1)</f>
        <v>41067.621527777781</v>
      </c>
      <c r="K263">
        <v>1334783704</v>
      </c>
      <c r="L263" s="11">
        <f>((Table1[[#This Row],[launched_at]]/60)/60/24)+DATE(1970,1,1)</f>
        <v>41017.885462962964</v>
      </c>
      <c r="M263">
        <f>MONTH(Table1[[#This Row],[Date Created Conversion]])</f>
        <v>4</v>
      </c>
      <c r="N263">
        <f>YEAR(Table1[[#This Row],[Date Created Conversion]])</f>
        <v>2012</v>
      </c>
      <c r="O263" t="b">
        <v>1</v>
      </c>
      <c r="P263">
        <v>220</v>
      </c>
      <c r="Q263" t="b">
        <v>1</v>
      </c>
      <c r="R263" t="s">
        <v>8269</v>
      </c>
      <c r="S263" s="6">
        <f>Table1[[#This Row],[pledged]]/Table1[[#This Row],[goal]]</f>
        <v>1.0740000000000001</v>
      </c>
      <c r="T263" s="8">
        <f>IF(Table1[[#This Row],[pledged]]=0,"no backers",Table1[[#This Row],[pledged]]/Table1[[#This Row],[backers_count]])</f>
        <v>97.63636363636364</v>
      </c>
      <c r="U263" t="str">
        <f>LEFT(Table1[[#This Row],[Category and Sub-Category]],FIND("/",Table1[[#This Row],[Category and Sub-Category]])-1)</f>
        <v>film &amp; video</v>
      </c>
      <c r="V263" t="str">
        <f>RIGHT(Table1[[#This Row],[Category and Sub-Category]],LEN(Table1[[#This Row],[Category and Sub-Category]])-FIND("/",Table1[[#This Row],[Category and Sub-Category]]))</f>
        <v>documentary</v>
      </c>
    </row>
    <row r="264" spans="1:22" ht="28.8" x14ac:dyDescent="0.3">
      <c r="A264">
        <v>262</v>
      </c>
      <c r="B264" s="3" t="s">
        <v>263</v>
      </c>
      <c r="C264" s="3" t="s">
        <v>4372</v>
      </c>
      <c r="D264" s="12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>((Table1[[#This Row],[deadline]]/60)/60/24)+DATE(1970,1,1)</f>
        <v>40600.24800925926</v>
      </c>
      <c r="K264">
        <v>1294811828</v>
      </c>
      <c r="L264" s="11">
        <f>((Table1[[#This Row],[launched_at]]/60)/60/24)+DATE(1970,1,1)</f>
        <v>40555.24800925926</v>
      </c>
      <c r="M264">
        <f>MONTH(Table1[[#This Row],[Date Created Conversion]])</f>
        <v>1</v>
      </c>
      <c r="N264">
        <f>YEAR(Table1[[#This Row],[Date Created Conversion]])</f>
        <v>2011</v>
      </c>
      <c r="O264" t="b">
        <v>1</v>
      </c>
      <c r="P264">
        <v>145</v>
      </c>
      <c r="Q264" t="b">
        <v>1</v>
      </c>
      <c r="R264" t="s">
        <v>8269</v>
      </c>
      <c r="S264" s="6">
        <f>Table1[[#This Row],[pledged]]/Table1[[#This Row],[goal]]</f>
        <v>2.4</v>
      </c>
      <c r="T264" s="8">
        <f>IF(Table1[[#This Row],[pledged]]=0,"no backers",Table1[[#This Row],[pledged]]/Table1[[#This Row],[backers_count]])</f>
        <v>41.379310344827587</v>
      </c>
      <c r="U264" t="str">
        <f>LEFT(Table1[[#This Row],[Category and Sub-Category]],FIND("/",Table1[[#This Row],[Category and Sub-Category]])-1)</f>
        <v>film &amp; video</v>
      </c>
      <c r="V264" t="str">
        <f>RIGHT(Table1[[#This Row],[Category and Sub-Category]],LEN(Table1[[#This Row],[Category and Sub-Category]])-FIND("/",Table1[[#This Row],[Category and Sub-Category]]))</f>
        <v>documentary</v>
      </c>
    </row>
    <row r="265" spans="1:22" ht="57.6" x14ac:dyDescent="0.3">
      <c r="A265">
        <v>263</v>
      </c>
      <c r="B265" s="3" t="s">
        <v>264</v>
      </c>
      <c r="C265" s="3" t="s">
        <v>4373</v>
      </c>
      <c r="D265" s="12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>((Table1[[#This Row],[deadline]]/60)/60/24)+DATE(1970,1,1)</f>
        <v>41179.954791666663</v>
      </c>
      <c r="K265">
        <v>1346194494</v>
      </c>
      <c r="L265" s="11">
        <f>((Table1[[#This Row],[launched_at]]/60)/60/24)+DATE(1970,1,1)</f>
        <v>41149.954791666663</v>
      </c>
      <c r="M265">
        <f>MONTH(Table1[[#This Row],[Date Created Conversion]])</f>
        <v>8</v>
      </c>
      <c r="N265">
        <f>YEAR(Table1[[#This Row],[Date Created Conversion]])</f>
        <v>2012</v>
      </c>
      <c r="O265" t="b">
        <v>1</v>
      </c>
      <c r="P265">
        <v>963</v>
      </c>
      <c r="Q265" t="b">
        <v>1</v>
      </c>
      <c r="R265" t="s">
        <v>8269</v>
      </c>
      <c r="S265" s="6">
        <f>Table1[[#This Row],[pledged]]/Table1[[#This Row],[goal]]</f>
        <v>1.1808107999999999</v>
      </c>
      <c r="T265" s="8">
        <f>IF(Table1[[#This Row],[pledged]]=0,"no backers",Table1[[#This Row],[pledged]]/Table1[[#This Row],[backers_count]])</f>
        <v>30.654485981308412</v>
      </c>
      <c r="U265" t="str">
        <f>LEFT(Table1[[#This Row],[Category and Sub-Category]],FIND("/",Table1[[#This Row],[Category and Sub-Category]])-1)</f>
        <v>film &amp; video</v>
      </c>
      <c r="V265" t="str">
        <f>RIGHT(Table1[[#This Row],[Category and Sub-Category]],LEN(Table1[[#This Row],[Category and Sub-Category]])-FIND("/",Table1[[#This Row],[Category and Sub-Category]]))</f>
        <v>documentary</v>
      </c>
    </row>
    <row r="266" spans="1:22" ht="57.6" x14ac:dyDescent="0.3">
      <c r="A266">
        <v>264</v>
      </c>
      <c r="B266" s="3" t="s">
        <v>265</v>
      </c>
      <c r="C266" s="3" t="s">
        <v>4374</v>
      </c>
      <c r="D266" s="12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>((Table1[[#This Row],[deadline]]/60)/60/24)+DATE(1970,1,1)</f>
        <v>41040.620312500003</v>
      </c>
      <c r="K266">
        <v>1334155995</v>
      </c>
      <c r="L266" s="11">
        <f>((Table1[[#This Row],[launched_at]]/60)/60/24)+DATE(1970,1,1)</f>
        <v>41010.620312500003</v>
      </c>
      <c r="M266">
        <f>MONTH(Table1[[#This Row],[Date Created Conversion]])</f>
        <v>4</v>
      </c>
      <c r="N266">
        <f>YEAR(Table1[[#This Row],[Date Created Conversion]])</f>
        <v>2012</v>
      </c>
      <c r="O266" t="b">
        <v>1</v>
      </c>
      <c r="P266">
        <v>91</v>
      </c>
      <c r="Q266" t="b">
        <v>1</v>
      </c>
      <c r="R266" t="s">
        <v>8269</v>
      </c>
      <c r="S266" s="6">
        <f>Table1[[#This Row],[pledged]]/Table1[[#This Row],[goal]]</f>
        <v>1.1819999999999999</v>
      </c>
      <c r="T266" s="8">
        <f>IF(Table1[[#This Row],[pledged]]=0,"no backers",Table1[[#This Row],[pledged]]/Table1[[#This Row],[backers_count]])</f>
        <v>64.945054945054949</v>
      </c>
      <c r="U266" t="str">
        <f>LEFT(Table1[[#This Row],[Category and Sub-Category]],FIND("/",Table1[[#This Row],[Category and Sub-Category]])-1)</f>
        <v>film &amp; video</v>
      </c>
      <c r="V266" t="str">
        <f>RIGHT(Table1[[#This Row],[Category and Sub-Category]],LEN(Table1[[#This Row],[Category and Sub-Category]])-FIND("/",Table1[[#This Row],[Category and Sub-Category]]))</f>
        <v>documentary</v>
      </c>
    </row>
    <row r="267" spans="1:22" ht="57.6" x14ac:dyDescent="0.3">
      <c r="A267">
        <v>265</v>
      </c>
      <c r="B267" s="3" t="s">
        <v>266</v>
      </c>
      <c r="C267" s="3" t="s">
        <v>4375</v>
      </c>
      <c r="D267" s="12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>((Table1[[#This Row],[deadline]]/60)/60/24)+DATE(1970,1,1)</f>
        <v>40308.844444444447</v>
      </c>
      <c r="K267">
        <v>1269928430</v>
      </c>
      <c r="L267" s="11">
        <f>((Table1[[#This Row],[launched_at]]/60)/60/24)+DATE(1970,1,1)</f>
        <v>40267.245717592588</v>
      </c>
      <c r="M267">
        <f>MONTH(Table1[[#This Row],[Date Created Conversion]])</f>
        <v>3</v>
      </c>
      <c r="N267">
        <f>YEAR(Table1[[#This Row],[Date Created Conversion]])</f>
        <v>2010</v>
      </c>
      <c r="O267" t="b">
        <v>1</v>
      </c>
      <c r="P267">
        <v>58</v>
      </c>
      <c r="Q267" t="b">
        <v>1</v>
      </c>
      <c r="R267" t="s">
        <v>8269</v>
      </c>
      <c r="S267" s="6">
        <f>Table1[[#This Row],[pledged]]/Table1[[#This Row],[goal]]</f>
        <v>1.111</v>
      </c>
      <c r="T267" s="8">
        <f>IF(Table1[[#This Row],[pledged]]=0,"no backers",Table1[[#This Row],[pledged]]/Table1[[#This Row],[backers_count]])</f>
        <v>95.775862068965523</v>
      </c>
      <c r="U267" t="str">
        <f>LEFT(Table1[[#This Row],[Category and Sub-Category]],FIND("/",Table1[[#This Row],[Category and Sub-Category]])-1)</f>
        <v>film &amp; video</v>
      </c>
      <c r="V267" t="str">
        <f>RIGHT(Table1[[#This Row],[Category and Sub-Category]],LEN(Table1[[#This Row],[Category and Sub-Category]])-FIND("/",Table1[[#This Row],[Category and Sub-Category]]))</f>
        <v>documentary</v>
      </c>
    </row>
    <row r="268" spans="1:22" ht="57.6" x14ac:dyDescent="0.3">
      <c r="A268">
        <v>266</v>
      </c>
      <c r="B268" s="3" t="s">
        <v>267</v>
      </c>
      <c r="C268" s="3" t="s">
        <v>4376</v>
      </c>
      <c r="D268" s="12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>((Table1[[#This Row],[deadline]]/60)/60/24)+DATE(1970,1,1)</f>
        <v>40291.160416666666</v>
      </c>
      <c r="K268">
        <v>1264565507</v>
      </c>
      <c r="L268" s="11">
        <f>((Table1[[#This Row],[launched_at]]/60)/60/24)+DATE(1970,1,1)</f>
        <v>40205.174849537041</v>
      </c>
      <c r="M268">
        <f>MONTH(Table1[[#This Row],[Date Created Conversion]])</f>
        <v>1</v>
      </c>
      <c r="N268">
        <f>YEAR(Table1[[#This Row],[Date Created Conversion]])</f>
        <v>2010</v>
      </c>
      <c r="O268" t="b">
        <v>1</v>
      </c>
      <c r="P268">
        <v>36</v>
      </c>
      <c r="Q268" t="b">
        <v>1</v>
      </c>
      <c r="R268" t="s">
        <v>8269</v>
      </c>
      <c r="S268" s="6">
        <f>Table1[[#This Row],[pledged]]/Table1[[#This Row],[goal]]</f>
        <v>1.4550000000000001</v>
      </c>
      <c r="T268" s="8">
        <f>IF(Table1[[#This Row],[pledged]]=0,"no backers",Table1[[#This Row],[pledged]]/Table1[[#This Row],[backers_count]])</f>
        <v>40.416666666666664</v>
      </c>
      <c r="U268" t="str">
        <f>LEFT(Table1[[#This Row],[Category and Sub-Category]],FIND("/",Table1[[#This Row],[Category and Sub-Category]])-1)</f>
        <v>film &amp; video</v>
      </c>
      <c r="V268" t="str">
        <f>RIGHT(Table1[[#This Row],[Category and Sub-Category]],LEN(Table1[[#This Row],[Category and Sub-Category]])-FIND("/",Table1[[#This Row],[Category and Sub-Category]]))</f>
        <v>documentary</v>
      </c>
    </row>
    <row r="269" spans="1:22" ht="43.2" x14ac:dyDescent="0.3">
      <c r="A269">
        <v>267</v>
      </c>
      <c r="B269" s="3" t="s">
        <v>268</v>
      </c>
      <c r="C269" s="3" t="s">
        <v>4377</v>
      </c>
      <c r="D269" s="12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>((Table1[[#This Row],[deadline]]/60)/60/24)+DATE(1970,1,1)</f>
        <v>41815.452534722222</v>
      </c>
      <c r="K269">
        <v>1401101499</v>
      </c>
      <c r="L269" s="11">
        <f>((Table1[[#This Row],[launched_at]]/60)/60/24)+DATE(1970,1,1)</f>
        <v>41785.452534722222</v>
      </c>
      <c r="M269">
        <f>MONTH(Table1[[#This Row],[Date Created Conversion]])</f>
        <v>5</v>
      </c>
      <c r="N269">
        <f>YEAR(Table1[[#This Row],[Date Created Conversion]])</f>
        <v>2014</v>
      </c>
      <c r="O269" t="b">
        <v>1</v>
      </c>
      <c r="P269">
        <v>165</v>
      </c>
      <c r="Q269" t="b">
        <v>1</v>
      </c>
      <c r="R269" t="s">
        <v>8269</v>
      </c>
      <c r="S269" s="6">
        <f>Table1[[#This Row],[pledged]]/Table1[[#This Row],[goal]]</f>
        <v>1.3162883248730965</v>
      </c>
      <c r="T269" s="8">
        <f>IF(Table1[[#This Row],[pledged]]=0,"no backers",Table1[[#This Row],[pledged]]/Table1[[#This Row],[backers_count]])</f>
        <v>78.578424242424248</v>
      </c>
      <c r="U269" t="str">
        <f>LEFT(Table1[[#This Row],[Category and Sub-Category]],FIND("/",Table1[[#This Row],[Category and Sub-Category]])-1)</f>
        <v>film &amp; video</v>
      </c>
      <c r="V269" t="str">
        <f>RIGHT(Table1[[#This Row],[Category and Sub-Category]],LEN(Table1[[#This Row],[Category and Sub-Category]])-FIND("/",Table1[[#This Row],[Category and Sub-Category]]))</f>
        <v>documentary</v>
      </c>
    </row>
    <row r="270" spans="1:22" ht="43.2" x14ac:dyDescent="0.3">
      <c r="A270">
        <v>268</v>
      </c>
      <c r="B270" s="3" t="s">
        <v>269</v>
      </c>
      <c r="C270" s="3" t="s">
        <v>4378</v>
      </c>
      <c r="D270" s="12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>((Table1[[#This Row],[deadline]]/60)/60/24)+DATE(1970,1,1)</f>
        <v>40854.194189814814</v>
      </c>
      <c r="K270">
        <v>1316749178</v>
      </c>
      <c r="L270" s="11">
        <f>((Table1[[#This Row],[launched_at]]/60)/60/24)+DATE(1970,1,1)</f>
        <v>40809.15252314815</v>
      </c>
      <c r="M270">
        <f>MONTH(Table1[[#This Row],[Date Created Conversion]])</f>
        <v>9</v>
      </c>
      <c r="N270">
        <f>YEAR(Table1[[#This Row],[Date Created Conversion]])</f>
        <v>2011</v>
      </c>
      <c r="O270" t="b">
        <v>1</v>
      </c>
      <c r="P270">
        <v>111</v>
      </c>
      <c r="Q270" t="b">
        <v>1</v>
      </c>
      <c r="R270" t="s">
        <v>8269</v>
      </c>
      <c r="S270" s="6">
        <f>Table1[[#This Row],[pledged]]/Table1[[#This Row],[goal]]</f>
        <v>1.1140000000000001</v>
      </c>
      <c r="T270" s="8">
        <f>IF(Table1[[#This Row],[pledged]]=0,"no backers",Table1[[#This Row],[pledged]]/Table1[[#This Row],[backers_count]])</f>
        <v>50.18018018018018</v>
      </c>
      <c r="U270" t="str">
        <f>LEFT(Table1[[#This Row],[Category and Sub-Category]],FIND("/",Table1[[#This Row],[Category and Sub-Category]])-1)</f>
        <v>film &amp; video</v>
      </c>
      <c r="V270" t="str">
        <f>RIGHT(Table1[[#This Row],[Category and Sub-Category]],LEN(Table1[[#This Row],[Category and Sub-Category]])-FIND("/",Table1[[#This Row],[Category and Sub-Category]]))</f>
        <v>documentary</v>
      </c>
    </row>
    <row r="271" spans="1:22" ht="43.2" x14ac:dyDescent="0.3">
      <c r="A271">
        <v>269</v>
      </c>
      <c r="B271" s="3" t="s">
        <v>270</v>
      </c>
      <c r="C271" s="3" t="s">
        <v>4379</v>
      </c>
      <c r="D271" s="12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>((Table1[[#This Row],[deadline]]/60)/60/24)+DATE(1970,1,1)</f>
        <v>42788.197013888886</v>
      </c>
      <c r="K271">
        <v>1485146622</v>
      </c>
      <c r="L271" s="11">
        <f>((Table1[[#This Row],[launched_at]]/60)/60/24)+DATE(1970,1,1)</f>
        <v>42758.197013888886</v>
      </c>
      <c r="M271">
        <f>MONTH(Table1[[#This Row],[Date Created Conversion]])</f>
        <v>1</v>
      </c>
      <c r="N271">
        <f>YEAR(Table1[[#This Row],[Date Created Conversion]])</f>
        <v>2017</v>
      </c>
      <c r="O271" t="b">
        <v>1</v>
      </c>
      <c r="P271">
        <v>1596</v>
      </c>
      <c r="Q271" t="b">
        <v>1</v>
      </c>
      <c r="R271" t="s">
        <v>8269</v>
      </c>
      <c r="S271" s="6">
        <f>Table1[[#This Row],[pledged]]/Table1[[#This Row],[goal]]</f>
        <v>1.4723377</v>
      </c>
      <c r="T271" s="8">
        <f>IF(Table1[[#This Row],[pledged]]=0,"no backers",Table1[[#This Row],[pledged]]/Table1[[#This Row],[backers_count]])</f>
        <v>92.251735588972423</v>
      </c>
      <c r="U271" t="str">
        <f>LEFT(Table1[[#This Row],[Category and Sub-Category]],FIND("/",Table1[[#This Row],[Category and Sub-Category]])-1)</f>
        <v>film &amp; video</v>
      </c>
      <c r="V271" t="str">
        <f>RIGHT(Table1[[#This Row],[Category and Sub-Category]],LEN(Table1[[#This Row],[Category and Sub-Category]])-FIND("/",Table1[[#This Row],[Category and Sub-Category]]))</f>
        <v>documentary</v>
      </c>
    </row>
    <row r="272" spans="1:22" ht="43.2" x14ac:dyDescent="0.3">
      <c r="A272">
        <v>270</v>
      </c>
      <c r="B272" s="3" t="s">
        <v>271</v>
      </c>
      <c r="C272" s="3" t="s">
        <v>4380</v>
      </c>
      <c r="D272" s="1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>((Table1[[#This Row],[deadline]]/60)/60/24)+DATE(1970,1,1)</f>
        <v>40688.166666666664</v>
      </c>
      <c r="K272">
        <v>1301950070</v>
      </c>
      <c r="L272" s="11">
        <f>((Table1[[#This Row],[launched_at]]/60)/60/24)+DATE(1970,1,1)</f>
        <v>40637.866550925923</v>
      </c>
      <c r="M272">
        <f>MONTH(Table1[[#This Row],[Date Created Conversion]])</f>
        <v>4</v>
      </c>
      <c r="N272">
        <f>YEAR(Table1[[#This Row],[Date Created Conversion]])</f>
        <v>2011</v>
      </c>
      <c r="O272" t="b">
        <v>1</v>
      </c>
      <c r="P272">
        <v>61</v>
      </c>
      <c r="Q272" t="b">
        <v>1</v>
      </c>
      <c r="R272" t="s">
        <v>8269</v>
      </c>
      <c r="S272" s="6">
        <f>Table1[[#This Row],[pledged]]/Table1[[#This Row],[goal]]</f>
        <v>1.5260869565217392</v>
      </c>
      <c r="T272" s="8">
        <f>IF(Table1[[#This Row],[pledged]]=0,"no backers",Table1[[#This Row],[pledged]]/Table1[[#This Row],[backers_count]])</f>
        <v>57.540983606557376</v>
      </c>
      <c r="U272" t="str">
        <f>LEFT(Table1[[#This Row],[Category and Sub-Category]],FIND("/",Table1[[#This Row],[Category and Sub-Category]])-1)</f>
        <v>film &amp; video</v>
      </c>
      <c r="V272" t="str">
        <f>RIGHT(Table1[[#This Row],[Category and Sub-Category]],LEN(Table1[[#This Row],[Category and Sub-Category]])-FIND("/",Table1[[#This Row],[Category and Sub-Category]]))</f>
        <v>documentary</v>
      </c>
    </row>
    <row r="273" spans="1:22" ht="43.2" x14ac:dyDescent="0.3">
      <c r="A273">
        <v>271</v>
      </c>
      <c r="B273" s="3" t="s">
        <v>272</v>
      </c>
      <c r="C273" s="3" t="s">
        <v>4381</v>
      </c>
      <c r="D273" s="12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>((Table1[[#This Row],[deadline]]/60)/60/24)+DATE(1970,1,1)</f>
        <v>41641.333333333336</v>
      </c>
      <c r="K273">
        <v>1386123861</v>
      </c>
      <c r="L273" s="11">
        <f>((Table1[[#This Row],[launched_at]]/60)/60/24)+DATE(1970,1,1)</f>
        <v>41612.10024305556</v>
      </c>
      <c r="M273">
        <f>MONTH(Table1[[#This Row],[Date Created Conversion]])</f>
        <v>12</v>
      </c>
      <c r="N273">
        <f>YEAR(Table1[[#This Row],[Date Created Conversion]])</f>
        <v>2013</v>
      </c>
      <c r="O273" t="b">
        <v>1</v>
      </c>
      <c r="P273">
        <v>287</v>
      </c>
      <c r="Q273" t="b">
        <v>1</v>
      </c>
      <c r="R273" t="s">
        <v>8269</v>
      </c>
      <c r="S273" s="6">
        <f>Table1[[#This Row],[pledged]]/Table1[[#This Row],[goal]]</f>
        <v>1.0468</v>
      </c>
      <c r="T273" s="8">
        <f>IF(Table1[[#This Row],[pledged]]=0,"no backers",Table1[[#This Row],[pledged]]/Table1[[#This Row],[backers_count]])</f>
        <v>109.42160278745645</v>
      </c>
      <c r="U273" t="str">
        <f>LEFT(Table1[[#This Row],[Category and Sub-Category]],FIND("/",Table1[[#This Row],[Category and Sub-Category]])-1)</f>
        <v>film &amp; video</v>
      </c>
      <c r="V273" t="str">
        <f>RIGHT(Table1[[#This Row],[Category and Sub-Category]],LEN(Table1[[#This Row],[Category and Sub-Category]])-FIND("/",Table1[[#This Row],[Category and Sub-Category]]))</f>
        <v>documentary</v>
      </c>
    </row>
    <row r="274" spans="1:22" ht="43.2" x14ac:dyDescent="0.3">
      <c r="A274">
        <v>272</v>
      </c>
      <c r="B274" s="3" t="s">
        <v>273</v>
      </c>
      <c r="C274" s="3" t="s">
        <v>4382</v>
      </c>
      <c r="D274" s="12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>((Table1[[#This Row],[deadline]]/60)/60/24)+DATE(1970,1,1)</f>
        <v>40296.78402777778</v>
      </c>
      <c r="K274">
        <v>1267220191</v>
      </c>
      <c r="L274" s="11">
        <f>((Table1[[#This Row],[launched_at]]/60)/60/24)+DATE(1970,1,1)</f>
        <v>40235.900358796294</v>
      </c>
      <c r="M274">
        <f>MONTH(Table1[[#This Row],[Date Created Conversion]])</f>
        <v>2</v>
      </c>
      <c r="N274">
        <f>YEAR(Table1[[#This Row],[Date Created Conversion]])</f>
        <v>2010</v>
      </c>
      <c r="O274" t="b">
        <v>1</v>
      </c>
      <c r="P274">
        <v>65</v>
      </c>
      <c r="Q274" t="b">
        <v>1</v>
      </c>
      <c r="R274" t="s">
        <v>8269</v>
      </c>
      <c r="S274" s="6">
        <f>Table1[[#This Row],[pledged]]/Table1[[#This Row],[goal]]</f>
        <v>1.7743366666666667</v>
      </c>
      <c r="T274" s="8">
        <f>IF(Table1[[#This Row],[pledged]]=0,"no backers",Table1[[#This Row],[pledged]]/Table1[[#This Row],[backers_count]])</f>
        <v>81.892461538461546</v>
      </c>
      <c r="U274" t="str">
        <f>LEFT(Table1[[#This Row],[Category and Sub-Category]],FIND("/",Table1[[#This Row],[Category and Sub-Category]])-1)</f>
        <v>film &amp; video</v>
      </c>
      <c r="V274" t="str">
        <f>RIGHT(Table1[[#This Row],[Category and Sub-Category]],LEN(Table1[[#This Row],[Category and Sub-Category]])-FIND("/",Table1[[#This Row],[Category and Sub-Category]]))</f>
        <v>documentary</v>
      </c>
    </row>
    <row r="275" spans="1:22" ht="43.2" x14ac:dyDescent="0.3">
      <c r="A275">
        <v>273</v>
      </c>
      <c r="B275" s="3" t="s">
        <v>274</v>
      </c>
      <c r="C275" s="3" t="s">
        <v>4383</v>
      </c>
      <c r="D275" s="12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>((Table1[[#This Row],[deadline]]/60)/60/24)+DATE(1970,1,1)</f>
        <v>40727.498449074075</v>
      </c>
      <c r="K275">
        <v>1307102266</v>
      </c>
      <c r="L275" s="11">
        <f>((Table1[[#This Row],[launched_at]]/60)/60/24)+DATE(1970,1,1)</f>
        <v>40697.498449074075</v>
      </c>
      <c r="M275">
        <f>MONTH(Table1[[#This Row],[Date Created Conversion]])</f>
        <v>6</v>
      </c>
      <c r="N275">
        <f>YEAR(Table1[[#This Row],[Date Created Conversion]])</f>
        <v>2011</v>
      </c>
      <c r="O275" t="b">
        <v>1</v>
      </c>
      <c r="P275">
        <v>118</v>
      </c>
      <c r="Q275" t="b">
        <v>1</v>
      </c>
      <c r="R275" t="s">
        <v>8269</v>
      </c>
      <c r="S275" s="6">
        <f>Table1[[#This Row],[pledged]]/Table1[[#This Row],[goal]]</f>
        <v>1.077758</v>
      </c>
      <c r="T275" s="8">
        <f>IF(Table1[[#This Row],[pledged]]=0,"no backers",Table1[[#This Row],[pledged]]/Table1[[#This Row],[backers_count]])</f>
        <v>45.667711864406776</v>
      </c>
      <c r="U275" t="str">
        <f>LEFT(Table1[[#This Row],[Category and Sub-Category]],FIND("/",Table1[[#This Row],[Category and Sub-Category]])-1)</f>
        <v>film &amp; video</v>
      </c>
      <c r="V275" t="str">
        <f>RIGHT(Table1[[#This Row],[Category and Sub-Category]],LEN(Table1[[#This Row],[Category and Sub-Category]])-FIND("/",Table1[[#This Row],[Category and Sub-Category]]))</f>
        <v>documentary</v>
      </c>
    </row>
    <row r="276" spans="1:22" ht="43.2" x14ac:dyDescent="0.3">
      <c r="A276">
        <v>274</v>
      </c>
      <c r="B276" s="3" t="s">
        <v>275</v>
      </c>
      <c r="C276" s="3" t="s">
        <v>4384</v>
      </c>
      <c r="D276" s="12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>((Table1[[#This Row],[deadline]]/60)/60/24)+DATE(1970,1,1)</f>
        <v>41004.290972222225</v>
      </c>
      <c r="K276">
        <v>1330638829</v>
      </c>
      <c r="L276" s="11">
        <f>((Table1[[#This Row],[launched_at]]/60)/60/24)+DATE(1970,1,1)</f>
        <v>40969.912372685183</v>
      </c>
      <c r="M276">
        <f>MONTH(Table1[[#This Row],[Date Created Conversion]])</f>
        <v>3</v>
      </c>
      <c r="N276">
        <f>YEAR(Table1[[#This Row],[Date Created Conversion]])</f>
        <v>2012</v>
      </c>
      <c r="O276" t="b">
        <v>1</v>
      </c>
      <c r="P276">
        <v>113</v>
      </c>
      <c r="Q276" t="b">
        <v>1</v>
      </c>
      <c r="R276" t="s">
        <v>8269</v>
      </c>
      <c r="S276" s="6">
        <f>Table1[[#This Row],[pledged]]/Table1[[#This Row],[goal]]</f>
        <v>1.56</v>
      </c>
      <c r="T276" s="8">
        <f>IF(Table1[[#This Row],[pledged]]=0,"no backers",Table1[[#This Row],[pledged]]/Table1[[#This Row],[backers_count]])</f>
        <v>55.221238938053098</v>
      </c>
      <c r="U276" t="str">
        <f>LEFT(Table1[[#This Row],[Category and Sub-Category]],FIND("/",Table1[[#This Row],[Category and Sub-Category]])-1)</f>
        <v>film &amp; video</v>
      </c>
      <c r="V276" t="str">
        <f>RIGHT(Table1[[#This Row],[Category and Sub-Category]],LEN(Table1[[#This Row],[Category and Sub-Category]])-FIND("/",Table1[[#This Row],[Category and Sub-Category]]))</f>
        <v>documentary</v>
      </c>
    </row>
    <row r="277" spans="1:22" ht="43.2" x14ac:dyDescent="0.3">
      <c r="A277">
        <v>275</v>
      </c>
      <c r="B277" s="3" t="s">
        <v>276</v>
      </c>
      <c r="C277" s="3" t="s">
        <v>4385</v>
      </c>
      <c r="D277" s="12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>((Table1[[#This Row],[deadline]]/60)/60/24)+DATE(1970,1,1)</f>
        <v>41223.073680555557</v>
      </c>
      <c r="K277">
        <v>1349916366</v>
      </c>
      <c r="L277" s="11">
        <f>((Table1[[#This Row],[launched_at]]/60)/60/24)+DATE(1970,1,1)</f>
        <v>41193.032013888893</v>
      </c>
      <c r="M277">
        <f>MONTH(Table1[[#This Row],[Date Created Conversion]])</f>
        <v>10</v>
      </c>
      <c r="N277">
        <f>YEAR(Table1[[#This Row],[Date Created Conversion]])</f>
        <v>2012</v>
      </c>
      <c r="O277" t="b">
        <v>1</v>
      </c>
      <c r="P277">
        <v>332</v>
      </c>
      <c r="Q277" t="b">
        <v>1</v>
      </c>
      <c r="R277" t="s">
        <v>8269</v>
      </c>
      <c r="S277" s="6">
        <f>Table1[[#This Row],[pledged]]/Table1[[#This Row],[goal]]</f>
        <v>1.08395</v>
      </c>
      <c r="T277" s="8">
        <f>IF(Table1[[#This Row],[pledged]]=0,"no backers",Table1[[#This Row],[pledged]]/Table1[[#This Row],[backers_count]])</f>
        <v>65.298192771084331</v>
      </c>
      <c r="U277" t="str">
        <f>LEFT(Table1[[#This Row],[Category and Sub-Category]],FIND("/",Table1[[#This Row],[Category and Sub-Category]])-1)</f>
        <v>film &amp; video</v>
      </c>
      <c r="V277" t="str">
        <f>RIGHT(Table1[[#This Row],[Category and Sub-Category]],LEN(Table1[[#This Row],[Category and Sub-Category]])-FIND("/",Table1[[#This Row],[Category and Sub-Category]]))</f>
        <v>documentary</v>
      </c>
    </row>
    <row r="278" spans="1:22" ht="43.2" x14ac:dyDescent="0.3">
      <c r="A278">
        <v>276</v>
      </c>
      <c r="B278" s="3" t="s">
        <v>277</v>
      </c>
      <c r="C278" s="3" t="s">
        <v>4386</v>
      </c>
      <c r="D278" s="12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>((Table1[[#This Row],[deadline]]/60)/60/24)+DATE(1970,1,1)</f>
        <v>41027.040208333332</v>
      </c>
      <c r="K278">
        <v>1330394274</v>
      </c>
      <c r="L278" s="11">
        <f>((Table1[[#This Row],[launched_at]]/60)/60/24)+DATE(1970,1,1)</f>
        <v>40967.081874999996</v>
      </c>
      <c r="M278">
        <f>MONTH(Table1[[#This Row],[Date Created Conversion]])</f>
        <v>2</v>
      </c>
      <c r="N278">
        <f>YEAR(Table1[[#This Row],[Date Created Conversion]])</f>
        <v>2012</v>
      </c>
      <c r="O278" t="b">
        <v>1</v>
      </c>
      <c r="P278">
        <v>62</v>
      </c>
      <c r="Q278" t="b">
        <v>1</v>
      </c>
      <c r="R278" t="s">
        <v>8269</v>
      </c>
      <c r="S278" s="6">
        <f>Table1[[#This Row],[pledged]]/Table1[[#This Row],[goal]]</f>
        <v>1.476</v>
      </c>
      <c r="T278" s="8">
        <f>IF(Table1[[#This Row],[pledged]]=0,"no backers",Table1[[#This Row],[pledged]]/Table1[[#This Row],[backers_count]])</f>
        <v>95.225806451612897</v>
      </c>
      <c r="U278" t="str">
        <f>LEFT(Table1[[#This Row],[Category and Sub-Category]],FIND("/",Table1[[#This Row],[Category and Sub-Category]])-1)</f>
        <v>film &amp; video</v>
      </c>
      <c r="V278" t="str">
        <f>RIGHT(Table1[[#This Row],[Category and Sub-Category]],LEN(Table1[[#This Row],[Category and Sub-Category]])-FIND("/",Table1[[#This Row],[Category and Sub-Category]]))</f>
        <v>documentary</v>
      </c>
    </row>
    <row r="279" spans="1:22" ht="43.2" x14ac:dyDescent="0.3">
      <c r="A279">
        <v>277</v>
      </c>
      <c r="B279" s="3" t="s">
        <v>278</v>
      </c>
      <c r="C279" s="3" t="s">
        <v>4387</v>
      </c>
      <c r="D279" s="12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>((Table1[[#This Row],[deadline]]/60)/60/24)+DATE(1970,1,1)</f>
        <v>42147.891423611116</v>
      </c>
      <c r="K279">
        <v>1429824219</v>
      </c>
      <c r="L279" s="11">
        <f>((Table1[[#This Row],[launched_at]]/60)/60/24)+DATE(1970,1,1)</f>
        <v>42117.891423611116</v>
      </c>
      <c r="M279">
        <f>MONTH(Table1[[#This Row],[Date Created Conversion]])</f>
        <v>4</v>
      </c>
      <c r="N279">
        <f>YEAR(Table1[[#This Row],[Date Created Conversion]])</f>
        <v>2015</v>
      </c>
      <c r="O279" t="b">
        <v>1</v>
      </c>
      <c r="P279">
        <v>951</v>
      </c>
      <c r="Q279" t="b">
        <v>1</v>
      </c>
      <c r="R279" t="s">
        <v>8269</v>
      </c>
      <c r="S279" s="6">
        <f>Table1[[#This Row],[pledged]]/Table1[[#This Row],[goal]]</f>
        <v>1.1038153846153846</v>
      </c>
      <c r="T279" s="8">
        <f>IF(Table1[[#This Row],[pledged]]=0,"no backers",Table1[[#This Row],[pledged]]/Table1[[#This Row],[backers_count]])</f>
        <v>75.444794952681391</v>
      </c>
      <c r="U279" t="str">
        <f>LEFT(Table1[[#This Row],[Category and Sub-Category]],FIND("/",Table1[[#This Row],[Category and Sub-Category]])-1)</f>
        <v>film &amp; video</v>
      </c>
      <c r="V279" t="str">
        <f>RIGHT(Table1[[#This Row],[Category and Sub-Category]],LEN(Table1[[#This Row],[Category and Sub-Category]])-FIND("/",Table1[[#This Row],[Category and Sub-Category]]))</f>
        <v>documentary</v>
      </c>
    </row>
    <row r="280" spans="1:22" ht="28.8" x14ac:dyDescent="0.3">
      <c r="A280">
        <v>278</v>
      </c>
      <c r="B280" s="3" t="s">
        <v>279</v>
      </c>
      <c r="C280" s="3" t="s">
        <v>4388</v>
      </c>
      <c r="D280" s="12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>((Table1[[#This Row],[deadline]]/60)/60/24)+DATE(1970,1,1)</f>
        <v>41194.040960648148</v>
      </c>
      <c r="K280">
        <v>1347411539</v>
      </c>
      <c r="L280" s="11">
        <f>((Table1[[#This Row],[launched_at]]/60)/60/24)+DATE(1970,1,1)</f>
        <v>41164.040960648148</v>
      </c>
      <c r="M280">
        <f>MONTH(Table1[[#This Row],[Date Created Conversion]])</f>
        <v>9</v>
      </c>
      <c r="N280">
        <f>YEAR(Table1[[#This Row],[Date Created Conversion]])</f>
        <v>2012</v>
      </c>
      <c r="O280" t="b">
        <v>1</v>
      </c>
      <c r="P280">
        <v>415</v>
      </c>
      <c r="Q280" t="b">
        <v>1</v>
      </c>
      <c r="R280" t="s">
        <v>8269</v>
      </c>
      <c r="S280" s="6">
        <f>Table1[[#This Row],[pledged]]/Table1[[#This Row],[goal]]</f>
        <v>1.5034814814814814</v>
      </c>
      <c r="T280" s="8">
        <f>IF(Table1[[#This Row],[pledged]]=0,"no backers",Table1[[#This Row],[pledged]]/Table1[[#This Row],[backers_count]])</f>
        <v>97.816867469879512</v>
      </c>
      <c r="U280" t="str">
        <f>LEFT(Table1[[#This Row],[Category and Sub-Category]],FIND("/",Table1[[#This Row],[Category and Sub-Category]])-1)</f>
        <v>film &amp; video</v>
      </c>
      <c r="V280" t="str">
        <f>RIGHT(Table1[[#This Row],[Category and Sub-Category]],LEN(Table1[[#This Row],[Category and Sub-Category]])-FIND("/",Table1[[#This Row],[Category and Sub-Category]]))</f>
        <v>documentary</v>
      </c>
    </row>
    <row r="281" spans="1:22" ht="43.2" x14ac:dyDescent="0.3">
      <c r="A281">
        <v>279</v>
      </c>
      <c r="B281" s="3" t="s">
        <v>280</v>
      </c>
      <c r="C281" s="3" t="s">
        <v>4389</v>
      </c>
      <c r="D281" s="12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>((Table1[[#This Row],[deadline]]/60)/60/24)+DATE(1970,1,1)</f>
        <v>42793.084027777775</v>
      </c>
      <c r="K281">
        <v>1485237096</v>
      </c>
      <c r="L281" s="11">
        <f>((Table1[[#This Row],[launched_at]]/60)/60/24)+DATE(1970,1,1)</f>
        <v>42759.244166666671</v>
      </c>
      <c r="M281">
        <f>MONTH(Table1[[#This Row],[Date Created Conversion]])</f>
        <v>1</v>
      </c>
      <c r="N281">
        <f>YEAR(Table1[[#This Row],[Date Created Conversion]])</f>
        <v>2017</v>
      </c>
      <c r="O281" t="b">
        <v>1</v>
      </c>
      <c r="P281">
        <v>305</v>
      </c>
      <c r="Q281" t="b">
        <v>1</v>
      </c>
      <c r="R281" t="s">
        <v>8269</v>
      </c>
      <c r="S281" s="6">
        <f>Table1[[#This Row],[pledged]]/Table1[[#This Row],[goal]]</f>
        <v>1.5731829411764706</v>
      </c>
      <c r="T281" s="8">
        <f>IF(Table1[[#This Row],[pledged]]=0,"no backers",Table1[[#This Row],[pledged]]/Table1[[#This Row],[backers_count]])</f>
        <v>87.685606557377056</v>
      </c>
      <c r="U281" t="str">
        <f>LEFT(Table1[[#This Row],[Category and Sub-Category]],FIND("/",Table1[[#This Row],[Category and Sub-Category]])-1)</f>
        <v>film &amp; video</v>
      </c>
      <c r="V281" t="str">
        <f>RIGHT(Table1[[#This Row],[Category and Sub-Category]],LEN(Table1[[#This Row],[Category and Sub-Category]])-FIND("/",Table1[[#This Row],[Category and Sub-Category]]))</f>
        <v>documentary</v>
      </c>
    </row>
    <row r="282" spans="1:22" ht="43.2" x14ac:dyDescent="0.3">
      <c r="A282">
        <v>280</v>
      </c>
      <c r="B282" s="3" t="s">
        <v>281</v>
      </c>
      <c r="C282" s="3" t="s">
        <v>4390</v>
      </c>
      <c r="D282" s="1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>((Table1[[#This Row],[deadline]]/60)/60/24)+DATE(1970,1,1)</f>
        <v>41789.590682870366</v>
      </c>
      <c r="K282">
        <v>1397571035</v>
      </c>
      <c r="L282" s="11">
        <f>((Table1[[#This Row],[launched_at]]/60)/60/24)+DATE(1970,1,1)</f>
        <v>41744.590682870366</v>
      </c>
      <c r="M282">
        <f>MONTH(Table1[[#This Row],[Date Created Conversion]])</f>
        <v>4</v>
      </c>
      <c r="N282">
        <f>YEAR(Table1[[#This Row],[Date Created Conversion]])</f>
        <v>2014</v>
      </c>
      <c r="O282" t="b">
        <v>1</v>
      </c>
      <c r="P282">
        <v>2139</v>
      </c>
      <c r="Q282" t="b">
        <v>1</v>
      </c>
      <c r="R282" t="s">
        <v>8269</v>
      </c>
      <c r="S282" s="6">
        <f>Table1[[#This Row],[pledged]]/Table1[[#This Row],[goal]]</f>
        <v>1.5614399999999999</v>
      </c>
      <c r="T282" s="8">
        <f>IF(Table1[[#This Row],[pledged]]=0,"no backers",Table1[[#This Row],[pledged]]/Table1[[#This Row],[backers_count]])</f>
        <v>54.748948106591868</v>
      </c>
      <c r="U282" t="str">
        <f>LEFT(Table1[[#This Row],[Category and Sub-Category]],FIND("/",Table1[[#This Row],[Category and Sub-Category]])-1)</f>
        <v>film &amp; video</v>
      </c>
      <c r="V282" t="str">
        <f>RIGHT(Table1[[#This Row],[Category and Sub-Category]],LEN(Table1[[#This Row],[Category and Sub-Category]])-FIND("/",Table1[[#This Row],[Category and Sub-Category]]))</f>
        <v>documentary</v>
      </c>
    </row>
    <row r="283" spans="1:22" ht="43.2" x14ac:dyDescent="0.3">
      <c r="A283">
        <v>281</v>
      </c>
      <c r="B283" s="3" t="s">
        <v>282</v>
      </c>
      <c r="C283" s="3" t="s">
        <v>4391</v>
      </c>
      <c r="D283" s="12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>((Table1[[#This Row],[deadline]]/60)/60/24)+DATE(1970,1,1)</f>
        <v>40035.80972222222</v>
      </c>
      <c r="K283">
        <v>1242532513</v>
      </c>
      <c r="L283" s="11">
        <f>((Table1[[#This Row],[launched_at]]/60)/60/24)+DATE(1970,1,1)</f>
        <v>39950.163344907407</v>
      </c>
      <c r="M283">
        <f>MONTH(Table1[[#This Row],[Date Created Conversion]])</f>
        <v>5</v>
      </c>
      <c r="N283">
        <f>YEAR(Table1[[#This Row],[Date Created Conversion]])</f>
        <v>2009</v>
      </c>
      <c r="O283" t="b">
        <v>1</v>
      </c>
      <c r="P283">
        <v>79</v>
      </c>
      <c r="Q283" t="b">
        <v>1</v>
      </c>
      <c r="R283" t="s">
        <v>8269</v>
      </c>
      <c r="S283" s="6">
        <f>Table1[[#This Row],[pledged]]/Table1[[#This Row],[goal]]</f>
        <v>1.2058763636363636</v>
      </c>
      <c r="T283" s="8">
        <f>IF(Table1[[#This Row],[pledged]]=0,"no backers",Table1[[#This Row],[pledged]]/Table1[[#This Row],[backers_count]])</f>
        <v>83.953417721518989</v>
      </c>
      <c r="U283" t="str">
        <f>LEFT(Table1[[#This Row],[Category and Sub-Category]],FIND("/",Table1[[#This Row],[Category and Sub-Category]])-1)</f>
        <v>film &amp; video</v>
      </c>
      <c r="V283" t="str">
        <f>RIGHT(Table1[[#This Row],[Category and Sub-Category]],LEN(Table1[[#This Row],[Category and Sub-Category]])-FIND("/",Table1[[#This Row],[Category and Sub-Category]]))</f>
        <v>documentary</v>
      </c>
    </row>
    <row r="284" spans="1:22" ht="43.2" x14ac:dyDescent="0.3">
      <c r="A284">
        <v>282</v>
      </c>
      <c r="B284" s="3" t="s">
        <v>283</v>
      </c>
      <c r="C284" s="3" t="s">
        <v>4392</v>
      </c>
      <c r="D284" s="12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>((Table1[[#This Row],[deadline]]/60)/60/24)+DATE(1970,1,1)</f>
        <v>40231.916666666664</v>
      </c>
      <c r="K284">
        <v>1263679492</v>
      </c>
      <c r="L284" s="11">
        <f>((Table1[[#This Row],[launched_at]]/60)/60/24)+DATE(1970,1,1)</f>
        <v>40194.920046296298</v>
      </c>
      <c r="M284">
        <f>MONTH(Table1[[#This Row],[Date Created Conversion]])</f>
        <v>1</v>
      </c>
      <c r="N284">
        <f>YEAR(Table1[[#This Row],[Date Created Conversion]])</f>
        <v>2010</v>
      </c>
      <c r="O284" t="b">
        <v>1</v>
      </c>
      <c r="P284">
        <v>179</v>
      </c>
      <c r="Q284" t="b">
        <v>1</v>
      </c>
      <c r="R284" t="s">
        <v>8269</v>
      </c>
      <c r="S284" s="6">
        <f>Table1[[#This Row],[pledged]]/Table1[[#This Row],[goal]]</f>
        <v>1.0118888888888888</v>
      </c>
      <c r="T284" s="8">
        <f>IF(Table1[[#This Row],[pledged]]=0,"no backers",Table1[[#This Row],[pledged]]/Table1[[#This Row],[backers_count]])</f>
        <v>254.38547486033519</v>
      </c>
      <c r="U284" t="str">
        <f>LEFT(Table1[[#This Row],[Category and Sub-Category]],FIND("/",Table1[[#This Row],[Category and Sub-Category]])-1)</f>
        <v>film &amp; video</v>
      </c>
      <c r="V284" t="str">
        <f>RIGHT(Table1[[#This Row],[Category and Sub-Category]],LEN(Table1[[#This Row],[Category and Sub-Category]])-FIND("/",Table1[[#This Row],[Category and Sub-Category]]))</f>
        <v>documentary</v>
      </c>
    </row>
    <row r="285" spans="1:22" ht="28.8" x14ac:dyDescent="0.3">
      <c r="A285">
        <v>283</v>
      </c>
      <c r="B285" s="3" t="s">
        <v>284</v>
      </c>
      <c r="C285" s="3" t="s">
        <v>4393</v>
      </c>
      <c r="D285" s="12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>((Table1[[#This Row],[deadline]]/60)/60/24)+DATE(1970,1,1)</f>
        <v>40695.207638888889</v>
      </c>
      <c r="K285">
        <v>1305219744</v>
      </c>
      <c r="L285" s="11">
        <f>((Table1[[#This Row],[launched_at]]/60)/60/24)+DATE(1970,1,1)</f>
        <v>40675.71</v>
      </c>
      <c r="M285">
        <f>MONTH(Table1[[#This Row],[Date Created Conversion]])</f>
        <v>5</v>
      </c>
      <c r="N285">
        <f>YEAR(Table1[[#This Row],[Date Created Conversion]])</f>
        <v>2011</v>
      </c>
      <c r="O285" t="b">
        <v>1</v>
      </c>
      <c r="P285">
        <v>202</v>
      </c>
      <c r="Q285" t="b">
        <v>1</v>
      </c>
      <c r="R285" t="s">
        <v>8269</v>
      </c>
      <c r="S285" s="6">
        <f>Table1[[#This Row],[pledged]]/Table1[[#This Row],[goal]]</f>
        <v>1.142725</v>
      </c>
      <c r="T285" s="8">
        <f>IF(Table1[[#This Row],[pledged]]=0,"no backers",Table1[[#This Row],[pledged]]/Table1[[#This Row],[backers_count]])</f>
        <v>101.8269801980198</v>
      </c>
      <c r="U285" t="str">
        <f>LEFT(Table1[[#This Row],[Category and Sub-Category]],FIND("/",Table1[[#This Row],[Category and Sub-Category]])-1)</f>
        <v>film &amp; video</v>
      </c>
      <c r="V285" t="str">
        <f>RIGHT(Table1[[#This Row],[Category and Sub-Category]],LEN(Table1[[#This Row],[Category and Sub-Category]])-FIND("/",Table1[[#This Row],[Category and Sub-Category]]))</f>
        <v>documentary</v>
      </c>
    </row>
    <row r="286" spans="1:22" ht="43.2" x14ac:dyDescent="0.3">
      <c r="A286">
        <v>284</v>
      </c>
      <c r="B286" s="3" t="s">
        <v>285</v>
      </c>
      <c r="C286" s="3" t="s">
        <v>4394</v>
      </c>
      <c r="D286" s="12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>((Table1[[#This Row],[deadline]]/60)/60/24)+DATE(1970,1,1)</f>
        <v>40929.738194444442</v>
      </c>
      <c r="K286">
        <v>1325007780</v>
      </c>
      <c r="L286" s="11">
        <f>((Table1[[#This Row],[launched_at]]/60)/60/24)+DATE(1970,1,1)</f>
        <v>40904.738194444442</v>
      </c>
      <c r="M286">
        <f>MONTH(Table1[[#This Row],[Date Created Conversion]])</f>
        <v>12</v>
      </c>
      <c r="N286">
        <f>YEAR(Table1[[#This Row],[Date Created Conversion]])</f>
        <v>2011</v>
      </c>
      <c r="O286" t="b">
        <v>1</v>
      </c>
      <c r="P286">
        <v>760</v>
      </c>
      <c r="Q286" t="b">
        <v>1</v>
      </c>
      <c r="R286" t="s">
        <v>8269</v>
      </c>
      <c r="S286" s="6">
        <f>Table1[[#This Row],[pledged]]/Table1[[#This Row],[goal]]</f>
        <v>1.0462615</v>
      </c>
      <c r="T286" s="8">
        <f>IF(Table1[[#This Row],[pledged]]=0,"no backers",Table1[[#This Row],[pledged]]/Table1[[#This Row],[backers_count]])</f>
        <v>55.066394736842106</v>
      </c>
      <c r="U286" t="str">
        <f>LEFT(Table1[[#This Row],[Category and Sub-Category]],FIND("/",Table1[[#This Row],[Category and Sub-Category]])-1)</f>
        <v>film &amp; video</v>
      </c>
      <c r="V286" t="str">
        <f>RIGHT(Table1[[#This Row],[Category and Sub-Category]],LEN(Table1[[#This Row],[Category and Sub-Category]])-FIND("/",Table1[[#This Row],[Category and Sub-Category]]))</f>
        <v>documentary</v>
      </c>
    </row>
    <row r="287" spans="1:22" ht="43.2" x14ac:dyDescent="0.3">
      <c r="A287">
        <v>285</v>
      </c>
      <c r="B287" s="3" t="s">
        <v>286</v>
      </c>
      <c r="C287" s="3" t="s">
        <v>4395</v>
      </c>
      <c r="D287" s="12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>((Table1[[#This Row],[deadline]]/60)/60/24)+DATE(1970,1,1)</f>
        <v>41536.756111111114</v>
      </c>
      <c r="K287">
        <v>1377022128</v>
      </c>
      <c r="L287" s="11">
        <f>((Table1[[#This Row],[launched_at]]/60)/60/24)+DATE(1970,1,1)</f>
        <v>41506.756111111114</v>
      </c>
      <c r="M287">
        <f>MONTH(Table1[[#This Row],[Date Created Conversion]])</f>
        <v>8</v>
      </c>
      <c r="N287">
        <f>YEAR(Table1[[#This Row],[Date Created Conversion]])</f>
        <v>2013</v>
      </c>
      <c r="O287" t="b">
        <v>1</v>
      </c>
      <c r="P287">
        <v>563</v>
      </c>
      <c r="Q287" t="b">
        <v>1</v>
      </c>
      <c r="R287" t="s">
        <v>8269</v>
      </c>
      <c r="S287" s="6">
        <f>Table1[[#This Row],[pledged]]/Table1[[#This Row],[goal]]</f>
        <v>2.2882507142857142</v>
      </c>
      <c r="T287" s="8">
        <f>IF(Table1[[#This Row],[pledged]]=0,"no backers",Table1[[#This Row],[pledged]]/Table1[[#This Row],[backers_count]])</f>
        <v>56.901438721136763</v>
      </c>
      <c r="U287" t="str">
        <f>LEFT(Table1[[#This Row],[Category and Sub-Category]],FIND("/",Table1[[#This Row],[Category and Sub-Category]])-1)</f>
        <v>film &amp; video</v>
      </c>
      <c r="V287" t="str">
        <f>RIGHT(Table1[[#This Row],[Category and Sub-Category]],LEN(Table1[[#This Row],[Category and Sub-Category]])-FIND("/",Table1[[#This Row],[Category and Sub-Category]]))</f>
        <v>documentary</v>
      </c>
    </row>
    <row r="288" spans="1:22" ht="43.2" x14ac:dyDescent="0.3">
      <c r="A288">
        <v>286</v>
      </c>
      <c r="B288" s="3" t="s">
        <v>287</v>
      </c>
      <c r="C288" s="3" t="s">
        <v>4396</v>
      </c>
      <c r="D288" s="12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>((Table1[[#This Row],[deadline]]/60)/60/24)+DATE(1970,1,1)</f>
        <v>41358.774583333332</v>
      </c>
      <c r="K288">
        <v>1360352124</v>
      </c>
      <c r="L288" s="11">
        <f>((Table1[[#This Row],[launched_at]]/60)/60/24)+DATE(1970,1,1)</f>
        <v>41313.816249999996</v>
      </c>
      <c r="M288">
        <f>MONTH(Table1[[#This Row],[Date Created Conversion]])</f>
        <v>2</v>
      </c>
      <c r="N288">
        <f>YEAR(Table1[[#This Row],[Date Created Conversion]])</f>
        <v>2013</v>
      </c>
      <c r="O288" t="b">
        <v>1</v>
      </c>
      <c r="P288">
        <v>135</v>
      </c>
      <c r="Q288" t="b">
        <v>1</v>
      </c>
      <c r="R288" t="s">
        <v>8269</v>
      </c>
      <c r="S288" s="6">
        <f>Table1[[#This Row],[pledged]]/Table1[[#This Row],[goal]]</f>
        <v>1.0915333333333332</v>
      </c>
      <c r="T288" s="8">
        <f>IF(Table1[[#This Row],[pledged]]=0,"no backers",Table1[[#This Row],[pledged]]/Table1[[#This Row],[backers_count]])</f>
        <v>121.28148148148148</v>
      </c>
      <c r="U288" t="str">
        <f>LEFT(Table1[[#This Row],[Category and Sub-Category]],FIND("/",Table1[[#This Row],[Category and Sub-Category]])-1)</f>
        <v>film &amp; video</v>
      </c>
      <c r="V288" t="str">
        <f>RIGHT(Table1[[#This Row],[Category and Sub-Category]],LEN(Table1[[#This Row],[Category and Sub-Category]])-FIND("/",Table1[[#This Row],[Category and Sub-Category]]))</f>
        <v>documentary</v>
      </c>
    </row>
    <row r="289" spans="1:22" ht="28.8" x14ac:dyDescent="0.3">
      <c r="A289">
        <v>287</v>
      </c>
      <c r="B289" s="3" t="s">
        <v>288</v>
      </c>
      <c r="C289" s="3" t="s">
        <v>4397</v>
      </c>
      <c r="D289" s="12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>((Table1[[#This Row],[deadline]]/60)/60/24)+DATE(1970,1,1)</f>
        <v>41215.166666666664</v>
      </c>
      <c r="K289">
        <v>1349160018</v>
      </c>
      <c r="L289" s="11">
        <f>((Table1[[#This Row],[launched_at]]/60)/60/24)+DATE(1970,1,1)</f>
        <v>41184.277986111112</v>
      </c>
      <c r="M289">
        <f>MONTH(Table1[[#This Row],[Date Created Conversion]])</f>
        <v>10</v>
      </c>
      <c r="N289">
        <f>YEAR(Table1[[#This Row],[Date Created Conversion]])</f>
        <v>2012</v>
      </c>
      <c r="O289" t="b">
        <v>1</v>
      </c>
      <c r="P289">
        <v>290</v>
      </c>
      <c r="Q289" t="b">
        <v>1</v>
      </c>
      <c r="R289" t="s">
        <v>8269</v>
      </c>
      <c r="S289" s="6">
        <f>Table1[[#This Row],[pledged]]/Table1[[#This Row],[goal]]</f>
        <v>1.7629999999999999</v>
      </c>
      <c r="T289" s="8">
        <f>IF(Table1[[#This Row],[pledged]]=0,"no backers",Table1[[#This Row],[pledged]]/Table1[[#This Row],[backers_count]])</f>
        <v>91.189655172413794</v>
      </c>
      <c r="U289" t="str">
        <f>LEFT(Table1[[#This Row],[Category and Sub-Category]],FIND("/",Table1[[#This Row],[Category and Sub-Category]])-1)</f>
        <v>film &amp; video</v>
      </c>
      <c r="V289" t="str">
        <f>RIGHT(Table1[[#This Row],[Category and Sub-Category]],LEN(Table1[[#This Row],[Category and Sub-Category]])-FIND("/",Table1[[#This Row],[Category and Sub-Category]]))</f>
        <v>documentary</v>
      </c>
    </row>
    <row r="290" spans="1:22" ht="57.6" x14ac:dyDescent="0.3">
      <c r="A290">
        <v>288</v>
      </c>
      <c r="B290" s="3" t="s">
        <v>289</v>
      </c>
      <c r="C290" s="3" t="s">
        <v>4398</v>
      </c>
      <c r="D290" s="12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>((Table1[[#This Row],[deadline]]/60)/60/24)+DATE(1970,1,1)</f>
        <v>41086.168900462959</v>
      </c>
      <c r="K290">
        <v>1337659393</v>
      </c>
      <c r="L290" s="11">
        <f>((Table1[[#This Row],[launched_at]]/60)/60/24)+DATE(1970,1,1)</f>
        <v>41051.168900462959</v>
      </c>
      <c r="M290">
        <f>MONTH(Table1[[#This Row],[Date Created Conversion]])</f>
        <v>5</v>
      </c>
      <c r="N290">
        <f>YEAR(Table1[[#This Row],[Date Created Conversion]])</f>
        <v>2012</v>
      </c>
      <c r="O290" t="b">
        <v>1</v>
      </c>
      <c r="P290">
        <v>447</v>
      </c>
      <c r="Q290" t="b">
        <v>1</v>
      </c>
      <c r="R290" t="s">
        <v>8269</v>
      </c>
      <c r="S290" s="6">
        <f>Table1[[#This Row],[pledged]]/Table1[[#This Row],[goal]]</f>
        <v>1.0321061999999999</v>
      </c>
      <c r="T290" s="8">
        <f>IF(Table1[[#This Row],[pledged]]=0,"no backers",Table1[[#This Row],[pledged]]/Table1[[#This Row],[backers_count]])</f>
        <v>115.44812080536913</v>
      </c>
      <c r="U290" t="str">
        <f>LEFT(Table1[[#This Row],[Category and Sub-Category]],FIND("/",Table1[[#This Row],[Category and Sub-Category]])-1)</f>
        <v>film &amp; video</v>
      </c>
      <c r="V290" t="str">
        <f>RIGHT(Table1[[#This Row],[Category and Sub-Category]],LEN(Table1[[#This Row],[Category and Sub-Category]])-FIND("/",Table1[[#This Row],[Category and Sub-Category]]))</f>
        <v>documentary</v>
      </c>
    </row>
    <row r="291" spans="1:22" ht="43.2" x14ac:dyDescent="0.3">
      <c r="A291">
        <v>289</v>
      </c>
      <c r="B291" s="3" t="s">
        <v>290</v>
      </c>
      <c r="C291" s="3" t="s">
        <v>4399</v>
      </c>
      <c r="D291" s="12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>((Table1[[#This Row],[deadline]]/60)/60/24)+DATE(1970,1,1)</f>
        <v>41580.456412037034</v>
      </c>
      <c r="K291">
        <v>1380797834</v>
      </c>
      <c r="L291" s="11">
        <f>((Table1[[#This Row],[launched_at]]/60)/60/24)+DATE(1970,1,1)</f>
        <v>41550.456412037034</v>
      </c>
      <c r="M291">
        <f>MONTH(Table1[[#This Row],[Date Created Conversion]])</f>
        <v>10</v>
      </c>
      <c r="N291">
        <f>YEAR(Table1[[#This Row],[Date Created Conversion]])</f>
        <v>2013</v>
      </c>
      <c r="O291" t="b">
        <v>1</v>
      </c>
      <c r="P291">
        <v>232</v>
      </c>
      <c r="Q291" t="b">
        <v>1</v>
      </c>
      <c r="R291" t="s">
        <v>8269</v>
      </c>
      <c r="S291" s="6">
        <f>Table1[[#This Row],[pledged]]/Table1[[#This Row],[goal]]</f>
        <v>1.0482</v>
      </c>
      <c r="T291" s="8">
        <f>IF(Table1[[#This Row],[pledged]]=0,"no backers",Table1[[#This Row],[pledged]]/Table1[[#This Row],[backers_count]])</f>
        <v>67.771551724137936</v>
      </c>
      <c r="U291" t="str">
        <f>LEFT(Table1[[#This Row],[Category and Sub-Category]],FIND("/",Table1[[#This Row],[Category and Sub-Category]])-1)</f>
        <v>film &amp; video</v>
      </c>
      <c r="V291" t="str">
        <f>RIGHT(Table1[[#This Row],[Category and Sub-Category]],LEN(Table1[[#This Row],[Category and Sub-Category]])-FIND("/",Table1[[#This Row],[Category and Sub-Category]]))</f>
        <v>documentary</v>
      </c>
    </row>
    <row r="292" spans="1:22" ht="28.8" x14ac:dyDescent="0.3">
      <c r="A292">
        <v>290</v>
      </c>
      <c r="B292" s="3" t="s">
        <v>291</v>
      </c>
      <c r="C292" s="3" t="s">
        <v>4400</v>
      </c>
      <c r="D292" s="1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>((Table1[[#This Row],[deadline]]/60)/60/24)+DATE(1970,1,1)</f>
        <v>40576.332638888889</v>
      </c>
      <c r="K292">
        <v>1292316697</v>
      </c>
      <c r="L292" s="11">
        <f>((Table1[[#This Row],[launched_at]]/60)/60/24)+DATE(1970,1,1)</f>
        <v>40526.36917824074</v>
      </c>
      <c r="M292">
        <f>MONTH(Table1[[#This Row],[Date Created Conversion]])</f>
        <v>12</v>
      </c>
      <c r="N292">
        <f>YEAR(Table1[[#This Row],[Date Created Conversion]])</f>
        <v>2010</v>
      </c>
      <c r="O292" t="b">
        <v>1</v>
      </c>
      <c r="P292">
        <v>168</v>
      </c>
      <c r="Q292" t="b">
        <v>1</v>
      </c>
      <c r="R292" t="s">
        <v>8269</v>
      </c>
      <c r="S292" s="6">
        <f>Table1[[#This Row],[pledged]]/Table1[[#This Row],[goal]]</f>
        <v>1.0668444444444445</v>
      </c>
      <c r="T292" s="8">
        <f>IF(Table1[[#This Row],[pledged]]=0,"no backers",Table1[[#This Row],[pledged]]/Table1[[#This Row],[backers_count]])</f>
        <v>28.576190476190476</v>
      </c>
      <c r="U292" t="str">
        <f>LEFT(Table1[[#This Row],[Category and Sub-Category]],FIND("/",Table1[[#This Row],[Category and Sub-Category]])-1)</f>
        <v>film &amp; video</v>
      </c>
      <c r="V292" t="str">
        <f>RIGHT(Table1[[#This Row],[Category and Sub-Category]],LEN(Table1[[#This Row],[Category and Sub-Category]])-FIND("/",Table1[[#This Row],[Category and Sub-Category]]))</f>
        <v>documentary</v>
      </c>
    </row>
    <row r="293" spans="1:22" ht="43.2" x14ac:dyDescent="0.3">
      <c r="A293">
        <v>291</v>
      </c>
      <c r="B293" s="3" t="s">
        <v>292</v>
      </c>
      <c r="C293" s="3" t="s">
        <v>4401</v>
      </c>
      <c r="D293" s="12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>((Table1[[#This Row],[deadline]]/60)/60/24)+DATE(1970,1,1)</f>
        <v>41395.000694444447</v>
      </c>
      <c r="K293">
        <v>1365791246</v>
      </c>
      <c r="L293" s="11">
        <f>((Table1[[#This Row],[launched_at]]/60)/60/24)+DATE(1970,1,1)</f>
        <v>41376.769050925926</v>
      </c>
      <c r="M293">
        <f>MONTH(Table1[[#This Row],[Date Created Conversion]])</f>
        <v>4</v>
      </c>
      <c r="N293">
        <f>YEAR(Table1[[#This Row],[Date Created Conversion]])</f>
        <v>2013</v>
      </c>
      <c r="O293" t="b">
        <v>1</v>
      </c>
      <c r="P293">
        <v>128</v>
      </c>
      <c r="Q293" t="b">
        <v>1</v>
      </c>
      <c r="R293" t="s">
        <v>8269</v>
      </c>
      <c r="S293" s="6">
        <f>Table1[[#This Row],[pledged]]/Table1[[#This Row],[goal]]</f>
        <v>1.2001999999999999</v>
      </c>
      <c r="T293" s="8">
        <f>IF(Table1[[#This Row],[pledged]]=0,"no backers",Table1[[#This Row],[pledged]]/Table1[[#This Row],[backers_count]])</f>
        <v>46.8828125</v>
      </c>
      <c r="U293" t="str">
        <f>LEFT(Table1[[#This Row],[Category and Sub-Category]],FIND("/",Table1[[#This Row],[Category and Sub-Category]])-1)</f>
        <v>film &amp; video</v>
      </c>
      <c r="V293" t="str">
        <f>RIGHT(Table1[[#This Row],[Category and Sub-Category]],LEN(Table1[[#This Row],[Category and Sub-Category]])-FIND("/",Table1[[#This Row],[Category and Sub-Category]]))</f>
        <v>documentary</v>
      </c>
    </row>
    <row r="294" spans="1:22" ht="57.6" x14ac:dyDescent="0.3">
      <c r="A294">
        <v>292</v>
      </c>
      <c r="B294" s="3" t="s">
        <v>293</v>
      </c>
      <c r="C294" s="3" t="s">
        <v>4402</v>
      </c>
      <c r="D294" s="12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>((Table1[[#This Row],[deadline]]/60)/60/24)+DATE(1970,1,1)</f>
        <v>40845.165972222225</v>
      </c>
      <c r="K294">
        <v>1317064599</v>
      </c>
      <c r="L294" s="11">
        <f>((Table1[[#This Row],[launched_at]]/60)/60/24)+DATE(1970,1,1)</f>
        <v>40812.803229166668</v>
      </c>
      <c r="M294">
        <f>MONTH(Table1[[#This Row],[Date Created Conversion]])</f>
        <v>9</v>
      </c>
      <c r="N294">
        <f>YEAR(Table1[[#This Row],[Date Created Conversion]])</f>
        <v>2011</v>
      </c>
      <c r="O294" t="b">
        <v>1</v>
      </c>
      <c r="P294">
        <v>493</v>
      </c>
      <c r="Q294" t="b">
        <v>1</v>
      </c>
      <c r="R294" t="s">
        <v>8269</v>
      </c>
      <c r="S294" s="6">
        <f>Table1[[#This Row],[pledged]]/Table1[[#This Row],[goal]]</f>
        <v>1.0150693333333334</v>
      </c>
      <c r="T294" s="8">
        <f>IF(Table1[[#This Row],[pledged]]=0,"no backers",Table1[[#This Row],[pledged]]/Table1[[#This Row],[backers_count]])</f>
        <v>154.42231237322514</v>
      </c>
      <c r="U294" t="str">
        <f>LEFT(Table1[[#This Row],[Category and Sub-Category]],FIND("/",Table1[[#This Row],[Category and Sub-Category]])-1)</f>
        <v>film &amp; video</v>
      </c>
      <c r="V294" t="str">
        <f>RIGHT(Table1[[#This Row],[Category and Sub-Category]],LEN(Table1[[#This Row],[Category and Sub-Category]])-FIND("/",Table1[[#This Row],[Category and Sub-Category]]))</f>
        <v>documentary</v>
      </c>
    </row>
    <row r="295" spans="1:22" ht="43.2" x14ac:dyDescent="0.3">
      <c r="A295">
        <v>293</v>
      </c>
      <c r="B295" s="3" t="s">
        <v>294</v>
      </c>
      <c r="C295" s="3" t="s">
        <v>4403</v>
      </c>
      <c r="D295" s="12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>((Table1[[#This Row],[deadline]]/60)/60/24)+DATE(1970,1,1)</f>
        <v>41749.667986111112</v>
      </c>
      <c r="K295">
        <v>1395417714</v>
      </c>
      <c r="L295" s="11">
        <f>((Table1[[#This Row],[launched_at]]/60)/60/24)+DATE(1970,1,1)</f>
        <v>41719.667986111112</v>
      </c>
      <c r="M295">
        <f>MONTH(Table1[[#This Row],[Date Created Conversion]])</f>
        <v>3</v>
      </c>
      <c r="N295">
        <f>YEAR(Table1[[#This Row],[Date Created Conversion]])</f>
        <v>2014</v>
      </c>
      <c r="O295" t="b">
        <v>1</v>
      </c>
      <c r="P295">
        <v>131</v>
      </c>
      <c r="Q295" t="b">
        <v>1</v>
      </c>
      <c r="R295" t="s">
        <v>8269</v>
      </c>
      <c r="S295" s="6">
        <f>Table1[[#This Row],[pledged]]/Table1[[#This Row],[goal]]</f>
        <v>1.0138461538461538</v>
      </c>
      <c r="T295" s="8">
        <f>IF(Table1[[#This Row],[pledged]]=0,"no backers",Table1[[#This Row],[pledged]]/Table1[[#This Row],[backers_count]])</f>
        <v>201.22137404580153</v>
      </c>
      <c r="U295" t="str">
        <f>LEFT(Table1[[#This Row],[Category and Sub-Category]],FIND("/",Table1[[#This Row],[Category and Sub-Category]])-1)</f>
        <v>film &amp; video</v>
      </c>
      <c r="V295" t="str">
        <f>RIGHT(Table1[[#This Row],[Category and Sub-Category]],LEN(Table1[[#This Row],[Category and Sub-Category]])-FIND("/",Table1[[#This Row],[Category and Sub-Category]]))</f>
        <v>documentary</v>
      </c>
    </row>
    <row r="296" spans="1:22" ht="72" x14ac:dyDescent="0.3">
      <c r="A296">
        <v>294</v>
      </c>
      <c r="B296" s="3" t="s">
        <v>295</v>
      </c>
      <c r="C296" s="3" t="s">
        <v>4404</v>
      </c>
      <c r="D296" s="12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>((Table1[[#This Row],[deadline]]/60)/60/24)+DATE(1970,1,1)</f>
        <v>40378.666666666664</v>
      </c>
      <c r="K296">
        <v>1276480894</v>
      </c>
      <c r="L296" s="11">
        <f>((Table1[[#This Row],[launched_at]]/60)/60/24)+DATE(1970,1,1)</f>
        <v>40343.084421296298</v>
      </c>
      <c r="M296">
        <f>MONTH(Table1[[#This Row],[Date Created Conversion]])</f>
        <v>6</v>
      </c>
      <c r="N296">
        <f>YEAR(Table1[[#This Row],[Date Created Conversion]])</f>
        <v>2010</v>
      </c>
      <c r="O296" t="b">
        <v>1</v>
      </c>
      <c r="P296">
        <v>50</v>
      </c>
      <c r="Q296" t="b">
        <v>1</v>
      </c>
      <c r="R296" t="s">
        <v>8269</v>
      </c>
      <c r="S296" s="6">
        <f>Table1[[#This Row],[pledged]]/Table1[[#This Row],[goal]]</f>
        <v>1</v>
      </c>
      <c r="T296" s="8">
        <f>IF(Table1[[#This Row],[pledged]]=0,"no backers",Table1[[#This Row],[pledged]]/Table1[[#This Row],[backers_count]])</f>
        <v>100</v>
      </c>
      <c r="U296" t="str">
        <f>LEFT(Table1[[#This Row],[Category and Sub-Category]],FIND("/",Table1[[#This Row],[Category and Sub-Category]])-1)</f>
        <v>film &amp; video</v>
      </c>
      <c r="V296" t="str">
        <f>RIGHT(Table1[[#This Row],[Category and Sub-Category]],LEN(Table1[[#This Row],[Category and Sub-Category]])-FIND("/",Table1[[#This Row],[Category and Sub-Category]]))</f>
        <v>documentary</v>
      </c>
    </row>
    <row r="297" spans="1:22" ht="43.2" x14ac:dyDescent="0.3">
      <c r="A297">
        <v>295</v>
      </c>
      <c r="B297" s="3" t="s">
        <v>296</v>
      </c>
      <c r="C297" s="3" t="s">
        <v>4405</v>
      </c>
      <c r="D297" s="12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>((Table1[[#This Row],[deadline]]/60)/60/24)+DATE(1970,1,1)</f>
        <v>41579</v>
      </c>
      <c r="K297">
        <v>1378080409</v>
      </c>
      <c r="L297" s="11">
        <f>((Table1[[#This Row],[launched_at]]/60)/60/24)+DATE(1970,1,1)</f>
        <v>41519.004733796297</v>
      </c>
      <c r="M297">
        <f>MONTH(Table1[[#This Row],[Date Created Conversion]])</f>
        <v>9</v>
      </c>
      <c r="N297">
        <f>YEAR(Table1[[#This Row],[Date Created Conversion]])</f>
        <v>2013</v>
      </c>
      <c r="O297" t="b">
        <v>1</v>
      </c>
      <c r="P297">
        <v>665</v>
      </c>
      <c r="Q297" t="b">
        <v>1</v>
      </c>
      <c r="R297" t="s">
        <v>8269</v>
      </c>
      <c r="S297" s="6">
        <f>Table1[[#This Row],[pledged]]/Table1[[#This Row],[goal]]</f>
        <v>1.3310911999999999</v>
      </c>
      <c r="T297" s="8">
        <f>IF(Table1[[#This Row],[pledged]]=0,"no backers",Table1[[#This Row],[pledged]]/Table1[[#This Row],[backers_count]])</f>
        <v>100.08204511278196</v>
      </c>
      <c r="U297" t="str">
        <f>LEFT(Table1[[#This Row],[Category and Sub-Category]],FIND("/",Table1[[#This Row],[Category and Sub-Category]])-1)</f>
        <v>film &amp; video</v>
      </c>
      <c r="V297" t="str">
        <f>RIGHT(Table1[[#This Row],[Category and Sub-Category]],LEN(Table1[[#This Row],[Category and Sub-Category]])-FIND("/",Table1[[#This Row],[Category and Sub-Category]]))</f>
        <v>documentary</v>
      </c>
    </row>
    <row r="298" spans="1:22" ht="43.2" x14ac:dyDescent="0.3">
      <c r="A298">
        <v>296</v>
      </c>
      <c r="B298" s="3" t="s">
        <v>297</v>
      </c>
      <c r="C298" s="3" t="s">
        <v>4406</v>
      </c>
      <c r="D298" s="12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>((Table1[[#This Row],[deadline]]/60)/60/24)+DATE(1970,1,1)</f>
        <v>41159.475497685184</v>
      </c>
      <c r="K298">
        <v>1344857083</v>
      </c>
      <c r="L298" s="11">
        <f>((Table1[[#This Row],[launched_at]]/60)/60/24)+DATE(1970,1,1)</f>
        <v>41134.475497685184</v>
      </c>
      <c r="M298">
        <f>MONTH(Table1[[#This Row],[Date Created Conversion]])</f>
        <v>8</v>
      </c>
      <c r="N298">
        <f>YEAR(Table1[[#This Row],[Date Created Conversion]])</f>
        <v>2012</v>
      </c>
      <c r="O298" t="b">
        <v>1</v>
      </c>
      <c r="P298">
        <v>129</v>
      </c>
      <c r="Q298" t="b">
        <v>1</v>
      </c>
      <c r="R298" t="s">
        <v>8269</v>
      </c>
      <c r="S298" s="6">
        <f>Table1[[#This Row],[pledged]]/Table1[[#This Row],[goal]]</f>
        <v>1.187262</v>
      </c>
      <c r="T298" s="8">
        <f>IF(Table1[[#This Row],[pledged]]=0,"no backers",Table1[[#This Row],[pledged]]/Table1[[#This Row],[backers_count]])</f>
        <v>230.08953488372092</v>
      </c>
      <c r="U298" t="str">
        <f>LEFT(Table1[[#This Row],[Category and Sub-Category]],FIND("/",Table1[[#This Row],[Category and Sub-Category]])-1)</f>
        <v>film &amp; video</v>
      </c>
      <c r="V298" t="str">
        <f>RIGHT(Table1[[#This Row],[Category and Sub-Category]],LEN(Table1[[#This Row],[Category and Sub-Category]])-FIND("/",Table1[[#This Row],[Category and Sub-Category]]))</f>
        <v>documentary</v>
      </c>
    </row>
    <row r="299" spans="1:22" ht="43.2" x14ac:dyDescent="0.3">
      <c r="A299">
        <v>297</v>
      </c>
      <c r="B299" s="3" t="s">
        <v>298</v>
      </c>
      <c r="C299" s="3" t="s">
        <v>4407</v>
      </c>
      <c r="D299" s="12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>((Table1[[#This Row],[deadline]]/60)/60/24)+DATE(1970,1,1)</f>
        <v>42125.165972222225</v>
      </c>
      <c r="K299">
        <v>1427390901</v>
      </c>
      <c r="L299" s="11">
        <f>((Table1[[#This Row],[launched_at]]/60)/60/24)+DATE(1970,1,1)</f>
        <v>42089.72802083334</v>
      </c>
      <c r="M299">
        <f>MONTH(Table1[[#This Row],[Date Created Conversion]])</f>
        <v>3</v>
      </c>
      <c r="N299">
        <f>YEAR(Table1[[#This Row],[Date Created Conversion]])</f>
        <v>2015</v>
      </c>
      <c r="O299" t="b">
        <v>1</v>
      </c>
      <c r="P299">
        <v>142</v>
      </c>
      <c r="Q299" t="b">
        <v>1</v>
      </c>
      <c r="R299" t="s">
        <v>8269</v>
      </c>
      <c r="S299" s="6">
        <f>Table1[[#This Row],[pledged]]/Table1[[#This Row],[goal]]</f>
        <v>1.0064</v>
      </c>
      <c r="T299" s="8">
        <f>IF(Table1[[#This Row],[pledged]]=0,"no backers",Table1[[#This Row],[pledged]]/Table1[[#This Row],[backers_count]])</f>
        <v>141.74647887323943</v>
      </c>
      <c r="U299" t="str">
        <f>LEFT(Table1[[#This Row],[Category and Sub-Category]],FIND("/",Table1[[#This Row],[Category and Sub-Category]])-1)</f>
        <v>film &amp; video</v>
      </c>
      <c r="V299" t="str">
        <f>RIGHT(Table1[[#This Row],[Category and Sub-Category]],LEN(Table1[[#This Row],[Category and Sub-Category]])-FIND("/",Table1[[#This Row],[Category and Sub-Category]]))</f>
        <v>documentary</v>
      </c>
    </row>
    <row r="300" spans="1:22" ht="28.8" x14ac:dyDescent="0.3">
      <c r="A300">
        <v>298</v>
      </c>
      <c r="B300" s="3" t="s">
        <v>299</v>
      </c>
      <c r="C300" s="3" t="s">
        <v>4408</v>
      </c>
      <c r="D300" s="12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>((Table1[[#This Row],[deadline]]/60)/60/24)+DATE(1970,1,1)</f>
        <v>41768.875</v>
      </c>
      <c r="K300">
        <v>1394536048</v>
      </c>
      <c r="L300" s="11">
        <f>((Table1[[#This Row],[launched_at]]/60)/60/24)+DATE(1970,1,1)</f>
        <v>41709.463518518518</v>
      </c>
      <c r="M300">
        <f>MONTH(Table1[[#This Row],[Date Created Conversion]])</f>
        <v>3</v>
      </c>
      <c r="N300">
        <f>YEAR(Table1[[#This Row],[Date Created Conversion]])</f>
        <v>2014</v>
      </c>
      <c r="O300" t="b">
        <v>1</v>
      </c>
      <c r="P300">
        <v>2436</v>
      </c>
      <c r="Q300" t="b">
        <v>1</v>
      </c>
      <c r="R300" t="s">
        <v>8269</v>
      </c>
      <c r="S300" s="6">
        <f>Table1[[#This Row],[pledged]]/Table1[[#This Row],[goal]]</f>
        <v>1.089324126984127</v>
      </c>
      <c r="T300" s="8">
        <f>IF(Table1[[#This Row],[pledged]]=0,"no backers",Table1[[#This Row],[pledged]]/Table1[[#This Row],[backers_count]])</f>
        <v>56.344351395730705</v>
      </c>
      <c r="U300" t="str">
        <f>LEFT(Table1[[#This Row],[Category and Sub-Category]],FIND("/",Table1[[#This Row],[Category and Sub-Category]])-1)</f>
        <v>film &amp; video</v>
      </c>
      <c r="V300" t="str">
        <f>RIGHT(Table1[[#This Row],[Category and Sub-Category]],LEN(Table1[[#This Row],[Category and Sub-Category]])-FIND("/",Table1[[#This Row],[Category and Sub-Category]]))</f>
        <v>documentary</v>
      </c>
    </row>
    <row r="301" spans="1:22" ht="57.6" x14ac:dyDescent="0.3">
      <c r="A301">
        <v>299</v>
      </c>
      <c r="B301" s="3" t="s">
        <v>300</v>
      </c>
      <c r="C301" s="3" t="s">
        <v>4409</v>
      </c>
      <c r="D301" s="12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>((Table1[[#This Row],[deadline]]/60)/60/24)+DATE(1970,1,1)</f>
        <v>40499.266898148147</v>
      </c>
      <c r="K301">
        <v>1287379460</v>
      </c>
      <c r="L301" s="11">
        <f>((Table1[[#This Row],[launched_at]]/60)/60/24)+DATE(1970,1,1)</f>
        <v>40469.225231481483</v>
      </c>
      <c r="M301">
        <f>MONTH(Table1[[#This Row],[Date Created Conversion]])</f>
        <v>10</v>
      </c>
      <c r="N301">
        <f>YEAR(Table1[[#This Row],[Date Created Conversion]])</f>
        <v>2010</v>
      </c>
      <c r="O301" t="b">
        <v>1</v>
      </c>
      <c r="P301">
        <v>244</v>
      </c>
      <c r="Q301" t="b">
        <v>1</v>
      </c>
      <c r="R301" t="s">
        <v>8269</v>
      </c>
      <c r="S301" s="6">
        <f>Table1[[#This Row],[pledged]]/Table1[[#This Row],[goal]]</f>
        <v>1.789525</v>
      </c>
      <c r="T301" s="8">
        <f>IF(Table1[[#This Row],[pledged]]=0,"no backers",Table1[[#This Row],[pledged]]/Table1[[#This Row],[backers_count]])</f>
        <v>73.341188524590166</v>
      </c>
      <c r="U301" t="str">
        <f>LEFT(Table1[[#This Row],[Category and Sub-Category]],FIND("/",Table1[[#This Row],[Category and Sub-Category]])-1)</f>
        <v>film &amp; video</v>
      </c>
      <c r="V301" t="str">
        <f>RIGHT(Table1[[#This Row],[Category and Sub-Category]],LEN(Table1[[#This Row],[Category and Sub-Category]])-FIND("/",Table1[[#This Row],[Category and Sub-Category]]))</f>
        <v>documentary</v>
      </c>
    </row>
    <row r="302" spans="1:22" ht="43.2" x14ac:dyDescent="0.3">
      <c r="A302">
        <v>300</v>
      </c>
      <c r="B302" s="3" t="s">
        <v>301</v>
      </c>
      <c r="C302" s="3" t="s">
        <v>4410</v>
      </c>
      <c r="D302" s="1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>((Table1[[#This Row],[deadline]]/60)/60/24)+DATE(1970,1,1)</f>
        <v>40657.959930555553</v>
      </c>
      <c r="K302">
        <v>1301007738</v>
      </c>
      <c r="L302" s="11">
        <f>((Table1[[#This Row],[launched_at]]/60)/60/24)+DATE(1970,1,1)</f>
        <v>40626.959930555553</v>
      </c>
      <c r="M302">
        <f>MONTH(Table1[[#This Row],[Date Created Conversion]])</f>
        <v>3</v>
      </c>
      <c r="N302">
        <f>YEAR(Table1[[#This Row],[Date Created Conversion]])</f>
        <v>2011</v>
      </c>
      <c r="O302" t="b">
        <v>1</v>
      </c>
      <c r="P302">
        <v>298</v>
      </c>
      <c r="Q302" t="b">
        <v>1</v>
      </c>
      <c r="R302" t="s">
        <v>8269</v>
      </c>
      <c r="S302" s="6">
        <f>Table1[[#This Row],[pledged]]/Table1[[#This Row],[goal]]</f>
        <v>1.0172264</v>
      </c>
      <c r="T302" s="8">
        <f>IF(Table1[[#This Row],[pledged]]=0,"no backers",Table1[[#This Row],[pledged]]/Table1[[#This Row],[backers_count]])</f>
        <v>85.337785234899329</v>
      </c>
      <c r="U302" t="str">
        <f>LEFT(Table1[[#This Row],[Category and Sub-Category]],FIND("/",Table1[[#This Row],[Category and Sub-Category]])-1)</f>
        <v>film &amp; video</v>
      </c>
      <c r="V302" t="str">
        <f>RIGHT(Table1[[#This Row],[Category and Sub-Category]],LEN(Table1[[#This Row],[Category and Sub-Category]])-FIND("/",Table1[[#This Row],[Category and Sub-Category]]))</f>
        <v>documentary</v>
      </c>
    </row>
    <row r="303" spans="1:22" ht="43.2" x14ac:dyDescent="0.3">
      <c r="A303">
        <v>301</v>
      </c>
      <c r="B303" s="3" t="s">
        <v>302</v>
      </c>
      <c r="C303" s="3" t="s">
        <v>4411</v>
      </c>
      <c r="D303" s="12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>((Table1[[#This Row],[deadline]]/60)/60/24)+DATE(1970,1,1)</f>
        <v>41352.696006944447</v>
      </c>
      <c r="K303">
        <v>1360258935</v>
      </c>
      <c r="L303" s="11">
        <f>((Table1[[#This Row],[launched_at]]/60)/60/24)+DATE(1970,1,1)</f>
        <v>41312.737673611111</v>
      </c>
      <c r="M303">
        <f>MONTH(Table1[[#This Row],[Date Created Conversion]])</f>
        <v>2</v>
      </c>
      <c r="N303">
        <f>YEAR(Table1[[#This Row],[Date Created Conversion]])</f>
        <v>2013</v>
      </c>
      <c r="O303" t="b">
        <v>1</v>
      </c>
      <c r="P303">
        <v>251</v>
      </c>
      <c r="Q303" t="b">
        <v>1</v>
      </c>
      <c r="R303" t="s">
        <v>8269</v>
      </c>
      <c r="S303" s="6">
        <f>Table1[[#This Row],[pledged]]/Table1[[#This Row],[goal]]</f>
        <v>1.1873499999999999</v>
      </c>
      <c r="T303" s="8">
        <f>IF(Table1[[#This Row],[pledged]]=0,"no backers",Table1[[#This Row],[pledged]]/Table1[[#This Row],[backers_count]])</f>
        <v>61.496215139442228</v>
      </c>
      <c r="U303" t="str">
        <f>LEFT(Table1[[#This Row],[Category and Sub-Category]],FIND("/",Table1[[#This Row],[Category and Sub-Category]])-1)</f>
        <v>film &amp; video</v>
      </c>
      <c r="V303" t="str">
        <f>RIGHT(Table1[[#This Row],[Category and Sub-Category]],LEN(Table1[[#This Row],[Category and Sub-Category]])-FIND("/",Table1[[#This Row],[Category and Sub-Category]]))</f>
        <v>documentary</v>
      </c>
    </row>
    <row r="304" spans="1:22" ht="57.6" x14ac:dyDescent="0.3">
      <c r="A304">
        <v>302</v>
      </c>
      <c r="B304" s="3" t="s">
        <v>303</v>
      </c>
      <c r="C304" s="3" t="s">
        <v>4412</v>
      </c>
      <c r="D304" s="12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>((Table1[[#This Row],[deadline]]/60)/60/24)+DATE(1970,1,1)</f>
        <v>40963.856921296298</v>
      </c>
      <c r="K304">
        <v>1327523638</v>
      </c>
      <c r="L304" s="11">
        <f>((Table1[[#This Row],[launched_at]]/60)/60/24)+DATE(1970,1,1)</f>
        <v>40933.856921296298</v>
      </c>
      <c r="M304">
        <f>MONTH(Table1[[#This Row],[Date Created Conversion]])</f>
        <v>1</v>
      </c>
      <c r="N304">
        <f>YEAR(Table1[[#This Row],[Date Created Conversion]])</f>
        <v>2012</v>
      </c>
      <c r="O304" t="b">
        <v>1</v>
      </c>
      <c r="P304">
        <v>108</v>
      </c>
      <c r="Q304" t="b">
        <v>1</v>
      </c>
      <c r="R304" t="s">
        <v>8269</v>
      </c>
      <c r="S304" s="6">
        <f>Table1[[#This Row],[pledged]]/Table1[[#This Row],[goal]]</f>
        <v>1.0045999999999999</v>
      </c>
      <c r="T304" s="8">
        <f>IF(Table1[[#This Row],[pledged]]=0,"no backers",Table1[[#This Row],[pledged]]/Table1[[#This Row],[backers_count]])</f>
        <v>93.018518518518519</v>
      </c>
      <c r="U304" t="str">
        <f>LEFT(Table1[[#This Row],[Category and Sub-Category]],FIND("/",Table1[[#This Row],[Category and Sub-Category]])-1)</f>
        <v>film &amp; video</v>
      </c>
      <c r="V304" t="str">
        <f>RIGHT(Table1[[#This Row],[Category and Sub-Category]],LEN(Table1[[#This Row],[Category and Sub-Category]])-FIND("/",Table1[[#This Row],[Category and Sub-Category]]))</f>
        <v>documentary</v>
      </c>
    </row>
    <row r="305" spans="1:22" ht="43.2" x14ac:dyDescent="0.3">
      <c r="A305">
        <v>303</v>
      </c>
      <c r="B305" s="3" t="s">
        <v>304</v>
      </c>
      <c r="C305" s="3" t="s">
        <v>4413</v>
      </c>
      <c r="D305" s="12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>((Table1[[#This Row],[deadline]]/60)/60/24)+DATE(1970,1,1)</f>
        <v>41062.071134259262</v>
      </c>
      <c r="K305">
        <v>1336009346</v>
      </c>
      <c r="L305" s="11">
        <f>((Table1[[#This Row],[launched_at]]/60)/60/24)+DATE(1970,1,1)</f>
        <v>41032.071134259262</v>
      </c>
      <c r="M305">
        <f>MONTH(Table1[[#This Row],[Date Created Conversion]])</f>
        <v>5</v>
      </c>
      <c r="N305">
        <f>YEAR(Table1[[#This Row],[Date Created Conversion]])</f>
        <v>2012</v>
      </c>
      <c r="O305" t="b">
        <v>1</v>
      </c>
      <c r="P305">
        <v>82</v>
      </c>
      <c r="Q305" t="b">
        <v>1</v>
      </c>
      <c r="R305" t="s">
        <v>8269</v>
      </c>
      <c r="S305" s="6">
        <f>Table1[[#This Row],[pledged]]/Table1[[#This Row],[goal]]</f>
        <v>1.3746666666666667</v>
      </c>
      <c r="T305" s="8">
        <f>IF(Table1[[#This Row],[pledged]]=0,"no backers",Table1[[#This Row],[pledged]]/Table1[[#This Row],[backers_count]])</f>
        <v>50.292682926829265</v>
      </c>
      <c r="U305" t="str">
        <f>LEFT(Table1[[#This Row],[Category and Sub-Category]],FIND("/",Table1[[#This Row],[Category and Sub-Category]])-1)</f>
        <v>film &amp; video</v>
      </c>
      <c r="V305" t="str">
        <f>RIGHT(Table1[[#This Row],[Category and Sub-Category]],LEN(Table1[[#This Row],[Category and Sub-Category]])-FIND("/",Table1[[#This Row],[Category and Sub-Category]]))</f>
        <v>documentary</v>
      </c>
    </row>
    <row r="306" spans="1:22" ht="28.8" x14ac:dyDescent="0.3">
      <c r="A306">
        <v>304</v>
      </c>
      <c r="B306" s="3" t="s">
        <v>305</v>
      </c>
      <c r="C306" s="3" t="s">
        <v>4414</v>
      </c>
      <c r="D306" s="12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>((Table1[[#This Row],[deadline]]/60)/60/24)+DATE(1970,1,1)</f>
        <v>41153.083333333336</v>
      </c>
      <c r="K306">
        <v>1343096197</v>
      </c>
      <c r="L306" s="11">
        <f>((Table1[[#This Row],[launched_at]]/60)/60/24)+DATE(1970,1,1)</f>
        <v>41114.094872685186</v>
      </c>
      <c r="M306">
        <f>MONTH(Table1[[#This Row],[Date Created Conversion]])</f>
        <v>7</v>
      </c>
      <c r="N306">
        <f>YEAR(Table1[[#This Row],[Date Created Conversion]])</f>
        <v>2012</v>
      </c>
      <c r="O306" t="b">
        <v>1</v>
      </c>
      <c r="P306">
        <v>74</v>
      </c>
      <c r="Q306" t="b">
        <v>1</v>
      </c>
      <c r="R306" t="s">
        <v>8269</v>
      </c>
      <c r="S306" s="6">
        <f>Table1[[#This Row],[pledged]]/Table1[[#This Row],[goal]]</f>
        <v>2.3164705882352941</v>
      </c>
      <c r="T306" s="8">
        <f>IF(Table1[[#This Row],[pledged]]=0,"no backers",Table1[[#This Row],[pledged]]/Table1[[#This Row],[backers_count]])</f>
        <v>106.43243243243244</v>
      </c>
      <c r="U306" t="str">
        <f>LEFT(Table1[[#This Row],[Category and Sub-Category]],FIND("/",Table1[[#This Row],[Category and Sub-Category]])-1)</f>
        <v>film &amp; video</v>
      </c>
      <c r="V306" t="str">
        <f>RIGHT(Table1[[#This Row],[Category and Sub-Category]],LEN(Table1[[#This Row],[Category and Sub-Category]])-FIND("/",Table1[[#This Row],[Category and Sub-Category]]))</f>
        <v>documentary</v>
      </c>
    </row>
    <row r="307" spans="1:22" ht="43.2" x14ac:dyDescent="0.3">
      <c r="A307">
        <v>305</v>
      </c>
      <c r="B307" s="3" t="s">
        <v>306</v>
      </c>
      <c r="C307" s="3" t="s">
        <v>4415</v>
      </c>
      <c r="D307" s="12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>((Table1[[#This Row],[deadline]]/60)/60/24)+DATE(1970,1,1)</f>
        <v>40978.630196759259</v>
      </c>
      <c r="K307">
        <v>1328800049</v>
      </c>
      <c r="L307" s="11">
        <f>((Table1[[#This Row],[launched_at]]/60)/60/24)+DATE(1970,1,1)</f>
        <v>40948.630196759259</v>
      </c>
      <c r="M307">
        <f>MONTH(Table1[[#This Row],[Date Created Conversion]])</f>
        <v>2</v>
      </c>
      <c r="N307">
        <f>YEAR(Table1[[#This Row],[Date Created Conversion]])</f>
        <v>2012</v>
      </c>
      <c r="O307" t="b">
        <v>1</v>
      </c>
      <c r="P307">
        <v>189</v>
      </c>
      <c r="Q307" t="b">
        <v>1</v>
      </c>
      <c r="R307" t="s">
        <v>8269</v>
      </c>
      <c r="S307" s="6">
        <f>Table1[[#This Row],[pledged]]/Table1[[#This Row],[goal]]</f>
        <v>1.3033333333333332</v>
      </c>
      <c r="T307" s="8">
        <f>IF(Table1[[#This Row],[pledged]]=0,"no backers",Table1[[#This Row],[pledged]]/Table1[[#This Row],[backers_count]])</f>
        <v>51.719576719576722</v>
      </c>
      <c r="U307" t="str">
        <f>LEFT(Table1[[#This Row],[Category and Sub-Category]],FIND("/",Table1[[#This Row],[Category and Sub-Category]])-1)</f>
        <v>film &amp; video</v>
      </c>
      <c r="V307" t="str">
        <f>RIGHT(Table1[[#This Row],[Category and Sub-Category]],LEN(Table1[[#This Row],[Category and Sub-Category]])-FIND("/",Table1[[#This Row],[Category and Sub-Category]]))</f>
        <v>documentary</v>
      </c>
    </row>
    <row r="308" spans="1:22" ht="28.8" x14ac:dyDescent="0.3">
      <c r="A308">
        <v>306</v>
      </c>
      <c r="B308" s="3" t="s">
        <v>307</v>
      </c>
      <c r="C308" s="3" t="s">
        <v>4416</v>
      </c>
      <c r="D308" s="12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>((Table1[[#This Row],[deadline]]/60)/60/24)+DATE(1970,1,1)</f>
        <v>41353.795520833337</v>
      </c>
      <c r="K308">
        <v>1362081933</v>
      </c>
      <c r="L308" s="11">
        <f>((Table1[[#This Row],[launched_at]]/60)/60/24)+DATE(1970,1,1)</f>
        <v>41333.837187500001</v>
      </c>
      <c r="M308">
        <f>MONTH(Table1[[#This Row],[Date Created Conversion]])</f>
        <v>2</v>
      </c>
      <c r="N308">
        <f>YEAR(Table1[[#This Row],[Date Created Conversion]])</f>
        <v>2013</v>
      </c>
      <c r="O308" t="b">
        <v>1</v>
      </c>
      <c r="P308">
        <v>80</v>
      </c>
      <c r="Q308" t="b">
        <v>1</v>
      </c>
      <c r="R308" t="s">
        <v>8269</v>
      </c>
      <c r="S308" s="6">
        <f>Table1[[#This Row],[pledged]]/Table1[[#This Row],[goal]]</f>
        <v>2.9289999999999998</v>
      </c>
      <c r="T308" s="8">
        <f>IF(Table1[[#This Row],[pledged]]=0,"no backers",Table1[[#This Row],[pledged]]/Table1[[#This Row],[backers_count]])</f>
        <v>36.612499999999997</v>
      </c>
      <c r="U308" t="str">
        <f>LEFT(Table1[[#This Row],[Category and Sub-Category]],FIND("/",Table1[[#This Row],[Category and Sub-Category]])-1)</f>
        <v>film &amp; video</v>
      </c>
      <c r="V308" t="str">
        <f>RIGHT(Table1[[#This Row],[Category and Sub-Category]],LEN(Table1[[#This Row],[Category and Sub-Category]])-FIND("/",Table1[[#This Row],[Category and Sub-Category]]))</f>
        <v>documentary</v>
      </c>
    </row>
    <row r="309" spans="1:22" x14ac:dyDescent="0.3">
      <c r="A309">
        <v>307</v>
      </c>
      <c r="B309" s="3" t="s">
        <v>308</v>
      </c>
      <c r="C309" s="3" t="s">
        <v>4417</v>
      </c>
      <c r="D309" s="12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>((Table1[[#This Row],[deadline]]/60)/60/24)+DATE(1970,1,1)</f>
        <v>41312.944456018515</v>
      </c>
      <c r="K309">
        <v>1357684801</v>
      </c>
      <c r="L309" s="11">
        <f>((Table1[[#This Row],[launched_at]]/60)/60/24)+DATE(1970,1,1)</f>
        <v>41282.944456018515</v>
      </c>
      <c r="M309">
        <f>MONTH(Table1[[#This Row],[Date Created Conversion]])</f>
        <v>1</v>
      </c>
      <c r="N309">
        <f>YEAR(Table1[[#This Row],[Date Created Conversion]])</f>
        <v>2013</v>
      </c>
      <c r="O309" t="b">
        <v>1</v>
      </c>
      <c r="P309">
        <v>576</v>
      </c>
      <c r="Q309" t="b">
        <v>1</v>
      </c>
      <c r="R309" t="s">
        <v>8269</v>
      </c>
      <c r="S309" s="6">
        <f>Table1[[#This Row],[pledged]]/Table1[[#This Row],[goal]]</f>
        <v>1.1131818181818183</v>
      </c>
      <c r="T309" s="8">
        <f>IF(Table1[[#This Row],[pledged]]=0,"no backers",Table1[[#This Row],[pledged]]/Table1[[#This Row],[backers_count]])</f>
        <v>42.517361111111114</v>
      </c>
      <c r="U309" t="str">
        <f>LEFT(Table1[[#This Row],[Category and Sub-Category]],FIND("/",Table1[[#This Row],[Category and Sub-Category]])-1)</f>
        <v>film &amp; video</v>
      </c>
      <c r="V309" t="str">
        <f>RIGHT(Table1[[#This Row],[Category and Sub-Category]],LEN(Table1[[#This Row],[Category and Sub-Category]])-FIND("/",Table1[[#This Row],[Category and Sub-Category]]))</f>
        <v>documentary</v>
      </c>
    </row>
    <row r="310" spans="1:22" ht="43.2" x14ac:dyDescent="0.3">
      <c r="A310">
        <v>308</v>
      </c>
      <c r="B310" s="3" t="s">
        <v>309</v>
      </c>
      <c r="C310" s="3" t="s">
        <v>4418</v>
      </c>
      <c r="D310" s="12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>((Table1[[#This Row],[deadline]]/60)/60/24)+DATE(1970,1,1)</f>
        <v>40612.694560185184</v>
      </c>
      <c r="K310">
        <v>1295887210</v>
      </c>
      <c r="L310" s="11">
        <f>((Table1[[#This Row],[launched_at]]/60)/60/24)+DATE(1970,1,1)</f>
        <v>40567.694560185184</v>
      </c>
      <c r="M310">
        <f>MONTH(Table1[[#This Row],[Date Created Conversion]])</f>
        <v>1</v>
      </c>
      <c r="N310">
        <f>YEAR(Table1[[#This Row],[Date Created Conversion]])</f>
        <v>2011</v>
      </c>
      <c r="O310" t="b">
        <v>1</v>
      </c>
      <c r="P310">
        <v>202</v>
      </c>
      <c r="Q310" t="b">
        <v>1</v>
      </c>
      <c r="R310" t="s">
        <v>8269</v>
      </c>
      <c r="S310" s="6">
        <f>Table1[[#This Row],[pledged]]/Table1[[#This Row],[goal]]</f>
        <v>1.0556666666666668</v>
      </c>
      <c r="T310" s="8">
        <f>IF(Table1[[#This Row],[pledged]]=0,"no backers",Table1[[#This Row],[pledged]]/Table1[[#This Row],[backers_count]])</f>
        <v>62.712871287128714</v>
      </c>
      <c r="U310" t="str">
        <f>LEFT(Table1[[#This Row],[Category and Sub-Category]],FIND("/",Table1[[#This Row],[Category and Sub-Category]])-1)</f>
        <v>film &amp; video</v>
      </c>
      <c r="V310" t="str">
        <f>RIGHT(Table1[[#This Row],[Category and Sub-Category]],LEN(Table1[[#This Row],[Category and Sub-Category]])-FIND("/",Table1[[#This Row],[Category and Sub-Category]]))</f>
        <v>documentary</v>
      </c>
    </row>
    <row r="311" spans="1:22" ht="43.2" x14ac:dyDescent="0.3">
      <c r="A311">
        <v>309</v>
      </c>
      <c r="B311" s="3" t="s">
        <v>310</v>
      </c>
      <c r="C311" s="3" t="s">
        <v>4419</v>
      </c>
      <c r="D311" s="12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>((Table1[[#This Row],[deadline]]/60)/60/24)+DATE(1970,1,1)</f>
        <v>41155.751550925925</v>
      </c>
      <c r="K311">
        <v>1344880934</v>
      </c>
      <c r="L311" s="11">
        <f>((Table1[[#This Row],[launched_at]]/60)/60/24)+DATE(1970,1,1)</f>
        <v>41134.751550925925</v>
      </c>
      <c r="M311">
        <f>MONTH(Table1[[#This Row],[Date Created Conversion]])</f>
        <v>8</v>
      </c>
      <c r="N311">
        <f>YEAR(Table1[[#This Row],[Date Created Conversion]])</f>
        <v>2012</v>
      </c>
      <c r="O311" t="b">
        <v>1</v>
      </c>
      <c r="P311">
        <v>238</v>
      </c>
      <c r="Q311" t="b">
        <v>1</v>
      </c>
      <c r="R311" t="s">
        <v>8269</v>
      </c>
      <c r="S311" s="6">
        <f>Table1[[#This Row],[pledged]]/Table1[[#This Row],[goal]]</f>
        <v>1.1894444444444445</v>
      </c>
      <c r="T311" s="8">
        <f>IF(Table1[[#This Row],[pledged]]=0,"no backers",Table1[[#This Row],[pledged]]/Table1[[#This Row],[backers_count]])</f>
        <v>89.957983193277315</v>
      </c>
      <c r="U311" t="str">
        <f>LEFT(Table1[[#This Row],[Category and Sub-Category]],FIND("/",Table1[[#This Row],[Category and Sub-Category]])-1)</f>
        <v>film &amp; video</v>
      </c>
      <c r="V311" t="str">
        <f>RIGHT(Table1[[#This Row],[Category and Sub-Category]],LEN(Table1[[#This Row],[Category and Sub-Category]])-FIND("/",Table1[[#This Row],[Category and Sub-Category]]))</f>
        <v>documentary</v>
      </c>
    </row>
    <row r="312" spans="1:22" ht="43.2" x14ac:dyDescent="0.3">
      <c r="A312">
        <v>310</v>
      </c>
      <c r="B312" s="3" t="s">
        <v>311</v>
      </c>
      <c r="C312" s="3" t="s">
        <v>4420</v>
      </c>
      <c r="D312" s="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>((Table1[[#This Row],[deadline]]/60)/60/24)+DATE(1970,1,1)</f>
        <v>40836.083333333336</v>
      </c>
      <c r="K312">
        <v>1317788623</v>
      </c>
      <c r="L312" s="11">
        <f>((Table1[[#This Row],[launched_at]]/60)/60/24)+DATE(1970,1,1)</f>
        <v>40821.183136574073</v>
      </c>
      <c r="M312">
        <f>MONTH(Table1[[#This Row],[Date Created Conversion]])</f>
        <v>10</v>
      </c>
      <c r="N312">
        <f>YEAR(Table1[[#This Row],[Date Created Conversion]])</f>
        <v>2011</v>
      </c>
      <c r="O312" t="b">
        <v>1</v>
      </c>
      <c r="P312">
        <v>36</v>
      </c>
      <c r="Q312" t="b">
        <v>1</v>
      </c>
      <c r="R312" t="s">
        <v>8269</v>
      </c>
      <c r="S312" s="6">
        <f>Table1[[#This Row],[pledged]]/Table1[[#This Row],[goal]]</f>
        <v>1.04129</v>
      </c>
      <c r="T312" s="8">
        <f>IF(Table1[[#This Row],[pledged]]=0,"no backers",Table1[[#This Row],[pledged]]/Table1[[#This Row],[backers_count]])</f>
        <v>28.924722222222222</v>
      </c>
      <c r="U312" t="str">
        <f>LEFT(Table1[[#This Row],[Category and Sub-Category]],FIND("/",Table1[[#This Row],[Category and Sub-Category]])-1)</f>
        <v>film &amp; video</v>
      </c>
      <c r="V312" t="str">
        <f>RIGHT(Table1[[#This Row],[Category and Sub-Category]],LEN(Table1[[#This Row],[Category and Sub-Category]])-FIND("/",Table1[[#This Row],[Category and Sub-Category]]))</f>
        <v>documentary</v>
      </c>
    </row>
    <row r="313" spans="1:22" ht="43.2" x14ac:dyDescent="0.3">
      <c r="A313">
        <v>311</v>
      </c>
      <c r="B313" s="3" t="s">
        <v>312</v>
      </c>
      <c r="C313" s="3" t="s">
        <v>4421</v>
      </c>
      <c r="D313" s="12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>((Table1[[#This Row],[deadline]]/60)/60/24)+DATE(1970,1,1)</f>
        <v>40909.332638888889</v>
      </c>
      <c r="K313">
        <v>1321852592</v>
      </c>
      <c r="L313" s="11">
        <f>((Table1[[#This Row],[launched_at]]/60)/60/24)+DATE(1970,1,1)</f>
        <v>40868.219814814816</v>
      </c>
      <c r="M313">
        <f>MONTH(Table1[[#This Row],[Date Created Conversion]])</f>
        <v>11</v>
      </c>
      <c r="N313">
        <f>YEAR(Table1[[#This Row],[Date Created Conversion]])</f>
        <v>2011</v>
      </c>
      <c r="O313" t="b">
        <v>1</v>
      </c>
      <c r="P313">
        <v>150</v>
      </c>
      <c r="Q313" t="b">
        <v>1</v>
      </c>
      <c r="R313" t="s">
        <v>8269</v>
      </c>
      <c r="S313" s="6">
        <f>Table1[[#This Row],[pledged]]/Table1[[#This Row],[goal]]</f>
        <v>1.0410165</v>
      </c>
      <c r="T313" s="8">
        <f>IF(Table1[[#This Row],[pledged]]=0,"no backers",Table1[[#This Row],[pledged]]/Table1[[#This Row],[backers_count]])</f>
        <v>138.8022</v>
      </c>
      <c r="U313" t="str">
        <f>LEFT(Table1[[#This Row],[Category and Sub-Category]],FIND("/",Table1[[#This Row],[Category and Sub-Category]])-1)</f>
        <v>film &amp; video</v>
      </c>
      <c r="V313" t="str">
        <f>RIGHT(Table1[[#This Row],[Category and Sub-Category]],LEN(Table1[[#This Row],[Category and Sub-Category]])-FIND("/",Table1[[#This Row],[Category and Sub-Category]]))</f>
        <v>documentary</v>
      </c>
    </row>
    <row r="314" spans="1:22" ht="57.6" x14ac:dyDescent="0.3">
      <c r="A314">
        <v>312</v>
      </c>
      <c r="B314" s="3" t="s">
        <v>313</v>
      </c>
      <c r="C314" s="3" t="s">
        <v>4422</v>
      </c>
      <c r="D314" s="12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>((Table1[[#This Row],[deadline]]/60)/60/24)+DATE(1970,1,1)</f>
        <v>41378.877685185187</v>
      </c>
      <c r="K314">
        <v>1363381432</v>
      </c>
      <c r="L314" s="11">
        <f>((Table1[[#This Row],[launched_at]]/60)/60/24)+DATE(1970,1,1)</f>
        <v>41348.877685185187</v>
      </c>
      <c r="M314">
        <f>MONTH(Table1[[#This Row],[Date Created Conversion]])</f>
        <v>3</v>
      </c>
      <c r="N314">
        <f>YEAR(Table1[[#This Row],[Date Created Conversion]])</f>
        <v>2013</v>
      </c>
      <c r="O314" t="b">
        <v>1</v>
      </c>
      <c r="P314">
        <v>146</v>
      </c>
      <c r="Q314" t="b">
        <v>1</v>
      </c>
      <c r="R314" t="s">
        <v>8269</v>
      </c>
      <c r="S314" s="6">
        <f>Table1[[#This Row],[pledged]]/Table1[[#This Row],[goal]]</f>
        <v>1.1187499999999999</v>
      </c>
      <c r="T314" s="8">
        <f>IF(Table1[[#This Row],[pledged]]=0,"no backers",Table1[[#This Row],[pledged]]/Table1[[#This Row],[backers_count]])</f>
        <v>61.301369863013697</v>
      </c>
      <c r="U314" t="str">
        <f>LEFT(Table1[[#This Row],[Category and Sub-Category]],FIND("/",Table1[[#This Row],[Category and Sub-Category]])-1)</f>
        <v>film &amp; video</v>
      </c>
      <c r="V314" t="str">
        <f>RIGHT(Table1[[#This Row],[Category and Sub-Category]],LEN(Table1[[#This Row],[Category and Sub-Category]])-FIND("/",Table1[[#This Row],[Category and Sub-Category]]))</f>
        <v>documentary</v>
      </c>
    </row>
    <row r="315" spans="1:22" ht="57.6" x14ac:dyDescent="0.3">
      <c r="A315">
        <v>313</v>
      </c>
      <c r="B315" s="3" t="s">
        <v>314</v>
      </c>
      <c r="C315" s="3" t="s">
        <v>4423</v>
      </c>
      <c r="D315" s="12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>((Table1[[#This Row],[deadline]]/60)/60/24)+DATE(1970,1,1)</f>
        <v>40401.665972222225</v>
      </c>
      <c r="K315">
        <v>1277702894</v>
      </c>
      <c r="L315" s="11">
        <f>((Table1[[#This Row],[launched_at]]/60)/60/24)+DATE(1970,1,1)</f>
        <v>40357.227939814817</v>
      </c>
      <c r="M315">
        <f>MONTH(Table1[[#This Row],[Date Created Conversion]])</f>
        <v>6</v>
      </c>
      <c r="N315">
        <f>YEAR(Table1[[#This Row],[Date Created Conversion]])</f>
        <v>2010</v>
      </c>
      <c r="O315" t="b">
        <v>1</v>
      </c>
      <c r="P315">
        <v>222</v>
      </c>
      <c r="Q315" t="b">
        <v>1</v>
      </c>
      <c r="R315" t="s">
        <v>8269</v>
      </c>
      <c r="S315" s="6">
        <f>Table1[[#This Row],[pledged]]/Table1[[#This Row],[goal]]</f>
        <v>1.0473529411764706</v>
      </c>
      <c r="T315" s="8">
        <f>IF(Table1[[#This Row],[pledged]]=0,"no backers",Table1[[#This Row],[pledged]]/Table1[[#This Row],[backers_count]])</f>
        <v>80.202702702702709</v>
      </c>
      <c r="U315" t="str">
        <f>LEFT(Table1[[#This Row],[Category and Sub-Category]],FIND("/",Table1[[#This Row],[Category and Sub-Category]])-1)</f>
        <v>film &amp; video</v>
      </c>
      <c r="V315" t="str">
        <f>RIGHT(Table1[[#This Row],[Category and Sub-Category]],LEN(Table1[[#This Row],[Category and Sub-Category]])-FIND("/",Table1[[#This Row],[Category and Sub-Category]]))</f>
        <v>documentary</v>
      </c>
    </row>
    <row r="316" spans="1:22" ht="43.2" x14ac:dyDescent="0.3">
      <c r="A316">
        <v>314</v>
      </c>
      <c r="B316" s="3" t="s">
        <v>315</v>
      </c>
      <c r="C316" s="3" t="s">
        <v>4424</v>
      </c>
      <c r="D316" s="12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>((Table1[[#This Row],[deadline]]/60)/60/24)+DATE(1970,1,1)</f>
        <v>41334.833194444444</v>
      </c>
      <c r="K316">
        <v>1359575988</v>
      </c>
      <c r="L316" s="11">
        <f>((Table1[[#This Row],[launched_at]]/60)/60/24)+DATE(1970,1,1)</f>
        <v>41304.833194444444</v>
      </c>
      <c r="M316">
        <f>MONTH(Table1[[#This Row],[Date Created Conversion]])</f>
        <v>1</v>
      </c>
      <c r="N316">
        <f>YEAR(Table1[[#This Row],[Date Created Conversion]])</f>
        <v>2013</v>
      </c>
      <c r="O316" t="b">
        <v>1</v>
      </c>
      <c r="P316">
        <v>120</v>
      </c>
      <c r="Q316" t="b">
        <v>1</v>
      </c>
      <c r="R316" t="s">
        <v>8269</v>
      </c>
      <c r="S316" s="6">
        <f>Table1[[#This Row],[pledged]]/Table1[[#This Row],[goal]]</f>
        <v>3.8515000000000001</v>
      </c>
      <c r="T316" s="8">
        <f>IF(Table1[[#This Row],[pledged]]=0,"no backers",Table1[[#This Row],[pledged]]/Table1[[#This Row],[backers_count]])</f>
        <v>32.095833333333331</v>
      </c>
      <c r="U316" t="str">
        <f>LEFT(Table1[[#This Row],[Category and Sub-Category]],FIND("/",Table1[[#This Row],[Category and Sub-Category]])-1)</f>
        <v>film &amp; video</v>
      </c>
      <c r="V316" t="str">
        <f>RIGHT(Table1[[#This Row],[Category and Sub-Category]],LEN(Table1[[#This Row],[Category and Sub-Category]])-FIND("/",Table1[[#This Row],[Category and Sub-Category]]))</f>
        <v>documentary</v>
      </c>
    </row>
    <row r="317" spans="1:22" ht="43.2" x14ac:dyDescent="0.3">
      <c r="A317">
        <v>315</v>
      </c>
      <c r="B317" s="3" t="s">
        <v>316</v>
      </c>
      <c r="C317" s="3" t="s">
        <v>4425</v>
      </c>
      <c r="D317" s="12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>((Table1[[#This Row],[deadline]]/60)/60/24)+DATE(1970,1,1)</f>
        <v>41143.77238425926</v>
      </c>
      <c r="K317">
        <v>1343068334</v>
      </c>
      <c r="L317" s="11">
        <f>((Table1[[#This Row],[launched_at]]/60)/60/24)+DATE(1970,1,1)</f>
        <v>41113.77238425926</v>
      </c>
      <c r="M317">
        <f>MONTH(Table1[[#This Row],[Date Created Conversion]])</f>
        <v>7</v>
      </c>
      <c r="N317">
        <f>YEAR(Table1[[#This Row],[Date Created Conversion]])</f>
        <v>2012</v>
      </c>
      <c r="O317" t="b">
        <v>1</v>
      </c>
      <c r="P317">
        <v>126</v>
      </c>
      <c r="Q317" t="b">
        <v>1</v>
      </c>
      <c r="R317" t="s">
        <v>8269</v>
      </c>
      <c r="S317" s="6">
        <f>Table1[[#This Row],[pledged]]/Table1[[#This Row],[goal]]</f>
        <v>1.01248</v>
      </c>
      <c r="T317" s="8">
        <f>IF(Table1[[#This Row],[pledged]]=0,"no backers",Table1[[#This Row],[pledged]]/Table1[[#This Row],[backers_count]])</f>
        <v>200.88888888888889</v>
      </c>
      <c r="U317" t="str">
        <f>LEFT(Table1[[#This Row],[Category and Sub-Category]],FIND("/",Table1[[#This Row],[Category and Sub-Category]])-1)</f>
        <v>film &amp; video</v>
      </c>
      <c r="V317" t="str">
        <f>RIGHT(Table1[[#This Row],[Category and Sub-Category]],LEN(Table1[[#This Row],[Category and Sub-Category]])-FIND("/",Table1[[#This Row],[Category and Sub-Category]]))</f>
        <v>documentary</v>
      </c>
    </row>
    <row r="318" spans="1:22" ht="28.8" x14ac:dyDescent="0.3">
      <c r="A318">
        <v>316</v>
      </c>
      <c r="B318" s="3" t="s">
        <v>317</v>
      </c>
      <c r="C318" s="3" t="s">
        <v>4426</v>
      </c>
      <c r="D318" s="12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>((Table1[[#This Row],[deadline]]/60)/60/24)+DATE(1970,1,1)</f>
        <v>41984.207638888889</v>
      </c>
      <c r="K318">
        <v>1415398197</v>
      </c>
      <c r="L318" s="11">
        <f>((Table1[[#This Row],[launched_at]]/60)/60/24)+DATE(1970,1,1)</f>
        <v>41950.923576388886</v>
      </c>
      <c r="M318">
        <f>MONTH(Table1[[#This Row],[Date Created Conversion]])</f>
        <v>11</v>
      </c>
      <c r="N318">
        <f>YEAR(Table1[[#This Row],[Date Created Conversion]])</f>
        <v>2014</v>
      </c>
      <c r="O318" t="b">
        <v>1</v>
      </c>
      <c r="P318">
        <v>158</v>
      </c>
      <c r="Q318" t="b">
        <v>1</v>
      </c>
      <c r="R318" t="s">
        <v>8269</v>
      </c>
      <c r="S318" s="6">
        <f>Table1[[#This Row],[pledged]]/Table1[[#This Row],[goal]]</f>
        <v>1.1377333333333333</v>
      </c>
      <c r="T318" s="8">
        <f>IF(Table1[[#This Row],[pledged]]=0,"no backers",Table1[[#This Row],[pledged]]/Table1[[#This Row],[backers_count]])</f>
        <v>108.01265822784811</v>
      </c>
      <c r="U318" t="str">
        <f>LEFT(Table1[[#This Row],[Category and Sub-Category]],FIND("/",Table1[[#This Row],[Category and Sub-Category]])-1)</f>
        <v>film &amp; video</v>
      </c>
      <c r="V318" t="str">
        <f>RIGHT(Table1[[#This Row],[Category and Sub-Category]],LEN(Table1[[#This Row],[Category and Sub-Category]])-FIND("/",Table1[[#This Row],[Category and Sub-Category]]))</f>
        <v>documentary</v>
      </c>
    </row>
    <row r="319" spans="1:22" ht="43.2" x14ac:dyDescent="0.3">
      <c r="A319">
        <v>317</v>
      </c>
      <c r="B319" s="3" t="s">
        <v>318</v>
      </c>
      <c r="C319" s="3" t="s">
        <v>4427</v>
      </c>
      <c r="D319" s="12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>((Table1[[#This Row],[deadline]]/60)/60/24)+DATE(1970,1,1)</f>
        <v>41619.676886574074</v>
      </c>
      <c r="K319">
        <v>1384186483</v>
      </c>
      <c r="L319" s="11">
        <f>((Table1[[#This Row],[launched_at]]/60)/60/24)+DATE(1970,1,1)</f>
        <v>41589.676886574074</v>
      </c>
      <c r="M319">
        <f>MONTH(Table1[[#This Row],[Date Created Conversion]])</f>
        <v>11</v>
      </c>
      <c r="N319">
        <f>YEAR(Table1[[#This Row],[Date Created Conversion]])</f>
        <v>2013</v>
      </c>
      <c r="O319" t="b">
        <v>1</v>
      </c>
      <c r="P319">
        <v>316</v>
      </c>
      <c r="Q319" t="b">
        <v>1</v>
      </c>
      <c r="R319" t="s">
        <v>8269</v>
      </c>
      <c r="S319" s="6">
        <f>Table1[[#This Row],[pledged]]/Table1[[#This Row],[goal]]</f>
        <v>1.0080333333333333</v>
      </c>
      <c r="T319" s="8">
        <f>IF(Table1[[#This Row],[pledged]]=0,"no backers",Table1[[#This Row],[pledged]]/Table1[[#This Row],[backers_count]])</f>
        <v>95.699367088607602</v>
      </c>
      <c r="U319" t="str">
        <f>LEFT(Table1[[#This Row],[Category and Sub-Category]],FIND("/",Table1[[#This Row],[Category and Sub-Category]])-1)</f>
        <v>film &amp; video</v>
      </c>
      <c r="V319" t="str">
        <f>RIGHT(Table1[[#This Row],[Category and Sub-Category]],LEN(Table1[[#This Row],[Category and Sub-Category]])-FIND("/",Table1[[#This Row],[Category and Sub-Category]]))</f>
        <v>documentary</v>
      </c>
    </row>
    <row r="320" spans="1:22" ht="43.2" x14ac:dyDescent="0.3">
      <c r="A320">
        <v>318</v>
      </c>
      <c r="B320" s="3" t="s">
        <v>319</v>
      </c>
      <c r="C320" s="3" t="s">
        <v>4428</v>
      </c>
      <c r="D320" s="12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>((Table1[[#This Row],[deadline]]/60)/60/24)+DATE(1970,1,1)</f>
        <v>41359.997118055559</v>
      </c>
      <c r="K320">
        <v>1361753751</v>
      </c>
      <c r="L320" s="11">
        <f>((Table1[[#This Row],[launched_at]]/60)/60/24)+DATE(1970,1,1)</f>
        <v>41330.038784722223</v>
      </c>
      <c r="M320">
        <f>MONTH(Table1[[#This Row],[Date Created Conversion]])</f>
        <v>2</v>
      </c>
      <c r="N320">
        <f>YEAR(Table1[[#This Row],[Date Created Conversion]])</f>
        <v>2013</v>
      </c>
      <c r="O320" t="b">
        <v>1</v>
      </c>
      <c r="P320">
        <v>284</v>
      </c>
      <c r="Q320" t="b">
        <v>1</v>
      </c>
      <c r="R320" t="s">
        <v>8269</v>
      </c>
      <c r="S320" s="6">
        <f>Table1[[#This Row],[pledged]]/Table1[[#This Row],[goal]]</f>
        <v>2.8332000000000002</v>
      </c>
      <c r="T320" s="8">
        <f>IF(Table1[[#This Row],[pledged]]=0,"no backers",Table1[[#This Row],[pledged]]/Table1[[#This Row],[backers_count]])</f>
        <v>49.880281690140848</v>
      </c>
      <c r="U320" t="str">
        <f>LEFT(Table1[[#This Row],[Category and Sub-Category]],FIND("/",Table1[[#This Row],[Category and Sub-Category]])-1)</f>
        <v>film &amp; video</v>
      </c>
      <c r="V320" t="str">
        <f>RIGHT(Table1[[#This Row],[Category and Sub-Category]],LEN(Table1[[#This Row],[Category and Sub-Category]])-FIND("/",Table1[[#This Row],[Category and Sub-Category]]))</f>
        <v>documentary</v>
      </c>
    </row>
    <row r="321" spans="1:22" ht="57.6" x14ac:dyDescent="0.3">
      <c r="A321">
        <v>319</v>
      </c>
      <c r="B321" s="3" t="s">
        <v>320</v>
      </c>
      <c r="C321" s="3" t="s">
        <v>4429</v>
      </c>
      <c r="D321" s="12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>((Table1[[#This Row],[deadline]]/60)/60/24)+DATE(1970,1,1)</f>
        <v>40211.332638888889</v>
      </c>
      <c r="K321">
        <v>1257538029</v>
      </c>
      <c r="L321" s="11">
        <f>((Table1[[#This Row],[launched_at]]/60)/60/24)+DATE(1970,1,1)</f>
        <v>40123.83829861111</v>
      </c>
      <c r="M321">
        <f>MONTH(Table1[[#This Row],[Date Created Conversion]])</f>
        <v>11</v>
      </c>
      <c r="N321">
        <f>YEAR(Table1[[#This Row],[Date Created Conversion]])</f>
        <v>2009</v>
      </c>
      <c r="O321" t="b">
        <v>1</v>
      </c>
      <c r="P321">
        <v>51</v>
      </c>
      <c r="Q321" t="b">
        <v>1</v>
      </c>
      <c r="R321" t="s">
        <v>8269</v>
      </c>
      <c r="S321" s="6">
        <f>Table1[[#This Row],[pledged]]/Table1[[#This Row],[goal]]</f>
        <v>1.1268</v>
      </c>
      <c r="T321" s="8">
        <f>IF(Table1[[#This Row],[pledged]]=0,"no backers",Table1[[#This Row],[pledged]]/Table1[[#This Row],[backers_count]])</f>
        <v>110.47058823529412</v>
      </c>
      <c r="U321" t="str">
        <f>LEFT(Table1[[#This Row],[Category and Sub-Category]],FIND("/",Table1[[#This Row],[Category and Sub-Category]])-1)</f>
        <v>film &amp; video</v>
      </c>
      <c r="V321" t="str">
        <f>RIGHT(Table1[[#This Row],[Category and Sub-Category]],LEN(Table1[[#This Row],[Category and Sub-Category]])-FIND("/",Table1[[#This Row],[Category and Sub-Category]]))</f>
        <v>documentary</v>
      </c>
    </row>
    <row r="322" spans="1:22" ht="43.2" x14ac:dyDescent="0.3">
      <c r="A322">
        <v>320</v>
      </c>
      <c r="B322" s="3" t="s">
        <v>321</v>
      </c>
      <c r="C322" s="3" t="s">
        <v>4430</v>
      </c>
      <c r="D322" s="1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>((Table1[[#This Row],[deadline]]/60)/60/24)+DATE(1970,1,1)</f>
        <v>42360.958333333328</v>
      </c>
      <c r="K322">
        <v>1448284433</v>
      </c>
      <c r="L322" s="11">
        <f>((Table1[[#This Row],[launched_at]]/60)/60/24)+DATE(1970,1,1)</f>
        <v>42331.551307870366</v>
      </c>
      <c r="M322">
        <f>MONTH(Table1[[#This Row],[Date Created Conversion]])</f>
        <v>11</v>
      </c>
      <c r="N322">
        <f>YEAR(Table1[[#This Row],[Date Created Conversion]])</f>
        <v>2015</v>
      </c>
      <c r="O322" t="b">
        <v>1</v>
      </c>
      <c r="P322">
        <v>158</v>
      </c>
      <c r="Q322" t="b">
        <v>1</v>
      </c>
      <c r="R322" t="s">
        <v>8269</v>
      </c>
      <c r="S322" s="6">
        <f>Table1[[#This Row],[pledged]]/Table1[[#This Row],[goal]]</f>
        <v>1.0658000000000001</v>
      </c>
      <c r="T322" s="8">
        <f>IF(Table1[[#This Row],[pledged]]=0,"no backers",Table1[[#This Row],[pledged]]/Table1[[#This Row],[backers_count]])</f>
        <v>134.91139240506328</v>
      </c>
      <c r="U322" t="str">
        <f>LEFT(Table1[[#This Row],[Category and Sub-Category]],FIND("/",Table1[[#This Row],[Category and Sub-Category]])-1)</f>
        <v>film &amp; video</v>
      </c>
      <c r="V322" t="str">
        <f>RIGHT(Table1[[#This Row],[Category and Sub-Category]],LEN(Table1[[#This Row],[Category and Sub-Category]])-FIND("/",Table1[[#This Row],[Category and Sub-Category]]))</f>
        <v>documentary</v>
      </c>
    </row>
    <row r="323" spans="1:22" ht="43.2" x14ac:dyDescent="0.3">
      <c r="A323">
        <v>321</v>
      </c>
      <c r="B323" s="3" t="s">
        <v>322</v>
      </c>
      <c r="C323" s="3" t="s">
        <v>4431</v>
      </c>
      <c r="D323" s="12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>((Table1[[#This Row],[deadline]]/60)/60/24)+DATE(1970,1,1)</f>
        <v>42682.488263888896</v>
      </c>
      <c r="K323">
        <v>1475577786</v>
      </c>
      <c r="L323" s="11">
        <f>((Table1[[#This Row],[launched_at]]/60)/60/24)+DATE(1970,1,1)</f>
        <v>42647.446597222224</v>
      </c>
      <c r="M323">
        <f>MONTH(Table1[[#This Row],[Date Created Conversion]])</f>
        <v>10</v>
      </c>
      <c r="N323">
        <f>YEAR(Table1[[#This Row],[Date Created Conversion]])</f>
        <v>2016</v>
      </c>
      <c r="O323" t="b">
        <v>1</v>
      </c>
      <c r="P323">
        <v>337</v>
      </c>
      <c r="Q323" t="b">
        <v>1</v>
      </c>
      <c r="R323" t="s">
        <v>8269</v>
      </c>
      <c r="S323" s="6">
        <f>Table1[[#This Row],[pledged]]/Table1[[#This Row],[goal]]</f>
        <v>1.0266285714285714</v>
      </c>
      <c r="T323" s="8">
        <f>IF(Table1[[#This Row],[pledged]]=0,"no backers",Table1[[#This Row],[pledged]]/Table1[[#This Row],[backers_count]])</f>
        <v>106.62314540059347</v>
      </c>
      <c r="U323" t="str">
        <f>LEFT(Table1[[#This Row],[Category and Sub-Category]],FIND("/",Table1[[#This Row],[Category and Sub-Category]])-1)</f>
        <v>film &amp; video</v>
      </c>
      <c r="V323" t="str">
        <f>RIGHT(Table1[[#This Row],[Category and Sub-Category]],LEN(Table1[[#This Row],[Category and Sub-Category]])-FIND("/",Table1[[#This Row],[Category and Sub-Category]]))</f>
        <v>documentary</v>
      </c>
    </row>
    <row r="324" spans="1:22" ht="43.2" x14ac:dyDescent="0.3">
      <c r="A324">
        <v>322</v>
      </c>
      <c r="B324" s="3" t="s">
        <v>323</v>
      </c>
      <c r="C324" s="3" t="s">
        <v>4432</v>
      </c>
      <c r="D324" s="12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>((Table1[[#This Row],[deadline]]/60)/60/24)+DATE(1970,1,1)</f>
        <v>42503.57</v>
      </c>
      <c r="K324">
        <v>1460554848</v>
      </c>
      <c r="L324" s="11">
        <f>((Table1[[#This Row],[launched_at]]/60)/60/24)+DATE(1970,1,1)</f>
        <v>42473.57</v>
      </c>
      <c r="M324">
        <f>MONTH(Table1[[#This Row],[Date Created Conversion]])</f>
        <v>4</v>
      </c>
      <c r="N324">
        <f>YEAR(Table1[[#This Row],[Date Created Conversion]])</f>
        <v>2016</v>
      </c>
      <c r="O324" t="b">
        <v>1</v>
      </c>
      <c r="P324">
        <v>186</v>
      </c>
      <c r="Q324" t="b">
        <v>1</v>
      </c>
      <c r="R324" t="s">
        <v>8269</v>
      </c>
      <c r="S324" s="6">
        <f>Table1[[#This Row],[pledged]]/Table1[[#This Row],[goal]]</f>
        <v>1.0791200000000001</v>
      </c>
      <c r="T324" s="8">
        <f>IF(Table1[[#This Row],[pledged]]=0,"no backers",Table1[[#This Row],[pledged]]/Table1[[#This Row],[backers_count]])</f>
        <v>145.04301075268816</v>
      </c>
      <c r="U324" t="str">
        <f>LEFT(Table1[[#This Row],[Category and Sub-Category]],FIND("/",Table1[[#This Row],[Category and Sub-Category]])-1)</f>
        <v>film &amp; video</v>
      </c>
      <c r="V324" t="str">
        <f>RIGHT(Table1[[#This Row],[Category and Sub-Category]],LEN(Table1[[#This Row],[Category and Sub-Category]])-FIND("/",Table1[[#This Row],[Category and Sub-Category]]))</f>
        <v>documentary</v>
      </c>
    </row>
    <row r="325" spans="1:22" ht="43.2" x14ac:dyDescent="0.3">
      <c r="A325">
        <v>323</v>
      </c>
      <c r="B325" s="3" t="s">
        <v>324</v>
      </c>
      <c r="C325" s="3" t="s">
        <v>4433</v>
      </c>
      <c r="D325" s="12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>((Table1[[#This Row],[deadline]]/60)/60/24)+DATE(1970,1,1)</f>
        <v>42725.332638888889</v>
      </c>
      <c r="K325">
        <v>1479886966</v>
      </c>
      <c r="L325" s="11">
        <f>((Table1[[#This Row],[launched_at]]/60)/60/24)+DATE(1970,1,1)</f>
        <v>42697.32136574074</v>
      </c>
      <c r="M325">
        <f>MONTH(Table1[[#This Row],[Date Created Conversion]])</f>
        <v>11</v>
      </c>
      <c r="N325">
        <f>YEAR(Table1[[#This Row],[Date Created Conversion]])</f>
        <v>2016</v>
      </c>
      <c r="O325" t="b">
        <v>1</v>
      </c>
      <c r="P325">
        <v>58</v>
      </c>
      <c r="Q325" t="b">
        <v>1</v>
      </c>
      <c r="R325" t="s">
        <v>8269</v>
      </c>
      <c r="S325" s="6">
        <f>Table1[[#This Row],[pledged]]/Table1[[#This Row],[goal]]</f>
        <v>1.2307407407407407</v>
      </c>
      <c r="T325" s="8">
        <f>IF(Table1[[#This Row],[pledged]]=0,"no backers",Table1[[#This Row],[pledged]]/Table1[[#This Row],[backers_count]])</f>
        <v>114.58620689655173</v>
      </c>
      <c r="U325" t="str">
        <f>LEFT(Table1[[#This Row],[Category and Sub-Category]],FIND("/",Table1[[#This Row],[Category and Sub-Category]])-1)</f>
        <v>film &amp; video</v>
      </c>
      <c r="V325" t="str">
        <f>RIGHT(Table1[[#This Row],[Category and Sub-Category]],LEN(Table1[[#This Row],[Category and Sub-Category]])-FIND("/",Table1[[#This Row],[Category and Sub-Category]]))</f>
        <v>documentary</v>
      </c>
    </row>
    <row r="326" spans="1:22" ht="43.2" x14ac:dyDescent="0.3">
      <c r="A326">
        <v>324</v>
      </c>
      <c r="B326" s="3" t="s">
        <v>325</v>
      </c>
      <c r="C326" s="3" t="s">
        <v>4434</v>
      </c>
      <c r="D326" s="12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>((Table1[[#This Row],[deadline]]/60)/60/24)+DATE(1970,1,1)</f>
        <v>42217.626250000001</v>
      </c>
      <c r="K326">
        <v>1435590108</v>
      </c>
      <c r="L326" s="11">
        <f>((Table1[[#This Row],[launched_at]]/60)/60/24)+DATE(1970,1,1)</f>
        <v>42184.626250000001</v>
      </c>
      <c r="M326">
        <f>MONTH(Table1[[#This Row],[Date Created Conversion]])</f>
        <v>6</v>
      </c>
      <c r="N326">
        <f>YEAR(Table1[[#This Row],[Date Created Conversion]])</f>
        <v>2015</v>
      </c>
      <c r="O326" t="b">
        <v>1</v>
      </c>
      <c r="P326">
        <v>82</v>
      </c>
      <c r="Q326" t="b">
        <v>1</v>
      </c>
      <c r="R326" t="s">
        <v>8269</v>
      </c>
      <c r="S326" s="6">
        <f>Table1[[#This Row],[pledged]]/Table1[[#This Row],[goal]]</f>
        <v>1.016</v>
      </c>
      <c r="T326" s="8">
        <f>IF(Table1[[#This Row],[pledged]]=0,"no backers",Table1[[#This Row],[pledged]]/Table1[[#This Row],[backers_count]])</f>
        <v>105.3170731707317</v>
      </c>
      <c r="U326" t="str">
        <f>LEFT(Table1[[#This Row],[Category and Sub-Category]],FIND("/",Table1[[#This Row],[Category and Sub-Category]])-1)</f>
        <v>film &amp; video</v>
      </c>
      <c r="V326" t="str">
        <f>RIGHT(Table1[[#This Row],[Category and Sub-Category]],LEN(Table1[[#This Row],[Category and Sub-Category]])-FIND("/",Table1[[#This Row],[Category and Sub-Category]]))</f>
        <v>documentary</v>
      </c>
    </row>
    <row r="327" spans="1:22" ht="43.2" x14ac:dyDescent="0.3">
      <c r="A327">
        <v>325</v>
      </c>
      <c r="B327" s="3" t="s">
        <v>326</v>
      </c>
      <c r="C327" s="3" t="s">
        <v>4435</v>
      </c>
      <c r="D327" s="12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>((Table1[[#This Row],[deadline]]/60)/60/24)+DATE(1970,1,1)</f>
        <v>42724.187881944439</v>
      </c>
      <c r="K327">
        <v>1479184233</v>
      </c>
      <c r="L327" s="11">
        <f>((Table1[[#This Row],[launched_at]]/60)/60/24)+DATE(1970,1,1)</f>
        <v>42689.187881944439</v>
      </c>
      <c r="M327">
        <f>MONTH(Table1[[#This Row],[Date Created Conversion]])</f>
        <v>11</v>
      </c>
      <c r="N327">
        <f>YEAR(Table1[[#This Row],[Date Created Conversion]])</f>
        <v>2016</v>
      </c>
      <c r="O327" t="b">
        <v>1</v>
      </c>
      <c r="P327">
        <v>736</v>
      </c>
      <c r="Q327" t="b">
        <v>1</v>
      </c>
      <c r="R327" t="s">
        <v>8269</v>
      </c>
      <c r="S327" s="6">
        <f>Table1[[#This Row],[pledged]]/Table1[[#This Row],[goal]]</f>
        <v>1.04396</v>
      </c>
      <c r="T327" s="8">
        <f>IF(Table1[[#This Row],[pledged]]=0,"no backers",Table1[[#This Row],[pledged]]/Table1[[#This Row],[backers_count]])</f>
        <v>70.921195652173907</v>
      </c>
      <c r="U327" t="str">
        <f>LEFT(Table1[[#This Row],[Category and Sub-Category]],FIND("/",Table1[[#This Row],[Category and Sub-Category]])-1)</f>
        <v>film &amp; video</v>
      </c>
      <c r="V327" t="str">
        <f>RIGHT(Table1[[#This Row],[Category and Sub-Category]],LEN(Table1[[#This Row],[Category and Sub-Category]])-FIND("/",Table1[[#This Row],[Category and Sub-Category]]))</f>
        <v>documentary</v>
      </c>
    </row>
    <row r="328" spans="1:22" ht="43.2" x14ac:dyDescent="0.3">
      <c r="A328">
        <v>326</v>
      </c>
      <c r="B328" s="3" t="s">
        <v>327</v>
      </c>
      <c r="C328" s="3" t="s">
        <v>4436</v>
      </c>
      <c r="D328" s="12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>((Table1[[#This Row],[deadline]]/60)/60/24)+DATE(1970,1,1)</f>
        <v>42808.956250000003</v>
      </c>
      <c r="K328">
        <v>1486625606</v>
      </c>
      <c r="L328" s="11">
        <f>((Table1[[#This Row],[launched_at]]/60)/60/24)+DATE(1970,1,1)</f>
        <v>42775.314884259264</v>
      </c>
      <c r="M328">
        <f>MONTH(Table1[[#This Row],[Date Created Conversion]])</f>
        <v>2</v>
      </c>
      <c r="N328">
        <f>YEAR(Table1[[#This Row],[Date Created Conversion]])</f>
        <v>2017</v>
      </c>
      <c r="O328" t="b">
        <v>1</v>
      </c>
      <c r="P328">
        <v>1151</v>
      </c>
      <c r="Q328" t="b">
        <v>1</v>
      </c>
      <c r="R328" t="s">
        <v>8269</v>
      </c>
      <c r="S328" s="6">
        <f>Table1[[#This Row],[pledged]]/Table1[[#This Row],[goal]]</f>
        <v>1.1292973333333334</v>
      </c>
      <c r="T328" s="8">
        <f>IF(Table1[[#This Row],[pledged]]=0,"no backers",Table1[[#This Row],[pledged]]/Table1[[#This Row],[backers_count]])</f>
        <v>147.17167680278018</v>
      </c>
      <c r="U328" t="str">
        <f>LEFT(Table1[[#This Row],[Category and Sub-Category]],FIND("/",Table1[[#This Row],[Category and Sub-Category]])-1)</f>
        <v>film &amp; video</v>
      </c>
      <c r="V328" t="str">
        <f>RIGHT(Table1[[#This Row],[Category and Sub-Category]],LEN(Table1[[#This Row],[Category and Sub-Category]])-FIND("/",Table1[[#This Row],[Category and Sub-Category]]))</f>
        <v>documentary</v>
      </c>
    </row>
    <row r="329" spans="1:22" ht="43.2" x14ac:dyDescent="0.3">
      <c r="A329">
        <v>327</v>
      </c>
      <c r="B329" s="3" t="s">
        <v>328</v>
      </c>
      <c r="C329" s="3" t="s">
        <v>4437</v>
      </c>
      <c r="D329" s="12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>((Table1[[#This Row],[deadline]]/60)/60/24)+DATE(1970,1,1)</f>
        <v>42085.333333333328</v>
      </c>
      <c r="K329">
        <v>1424669929</v>
      </c>
      <c r="L329" s="11">
        <f>((Table1[[#This Row],[launched_at]]/60)/60/24)+DATE(1970,1,1)</f>
        <v>42058.235289351855</v>
      </c>
      <c r="M329">
        <f>MONTH(Table1[[#This Row],[Date Created Conversion]])</f>
        <v>2</v>
      </c>
      <c r="N329">
        <f>YEAR(Table1[[#This Row],[Date Created Conversion]])</f>
        <v>2015</v>
      </c>
      <c r="O329" t="b">
        <v>1</v>
      </c>
      <c r="P329">
        <v>34</v>
      </c>
      <c r="Q329" t="b">
        <v>1</v>
      </c>
      <c r="R329" t="s">
        <v>8269</v>
      </c>
      <c r="S329" s="6">
        <f>Table1[[#This Row],[pledged]]/Table1[[#This Row],[goal]]</f>
        <v>1.3640000000000001</v>
      </c>
      <c r="T329" s="8">
        <f>IF(Table1[[#This Row],[pledged]]=0,"no backers",Table1[[#This Row],[pledged]]/Table1[[#This Row],[backers_count]])</f>
        <v>160.47058823529412</v>
      </c>
      <c r="U329" t="str">
        <f>LEFT(Table1[[#This Row],[Category and Sub-Category]],FIND("/",Table1[[#This Row],[Category and Sub-Category]])-1)</f>
        <v>film &amp; video</v>
      </c>
      <c r="V329" t="str">
        <f>RIGHT(Table1[[#This Row],[Category and Sub-Category]],LEN(Table1[[#This Row],[Category and Sub-Category]])-FIND("/",Table1[[#This Row],[Category and Sub-Category]]))</f>
        <v>documentary</v>
      </c>
    </row>
    <row r="330" spans="1:22" ht="43.2" x14ac:dyDescent="0.3">
      <c r="A330">
        <v>328</v>
      </c>
      <c r="B330" s="3" t="s">
        <v>329</v>
      </c>
      <c r="C330" s="3" t="s">
        <v>4438</v>
      </c>
      <c r="D330" s="12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>((Table1[[#This Row],[deadline]]/60)/60/24)+DATE(1970,1,1)</f>
        <v>42309.166666666672</v>
      </c>
      <c r="K330">
        <v>1443739388</v>
      </c>
      <c r="L330" s="11">
        <f>((Table1[[#This Row],[launched_at]]/60)/60/24)+DATE(1970,1,1)</f>
        <v>42278.946620370371</v>
      </c>
      <c r="M330">
        <f>MONTH(Table1[[#This Row],[Date Created Conversion]])</f>
        <v>10</v>
      </c>
      <c r="N330">
        <f>YEAR(Table1[[#This Row],[Date Created Conversion]])</f>
        <v>2015</v>
      </c>
      <c r="O330" t="b">
        <v>1</v>
      </c>
      <c r="P330">
        <v>498</v>
      </c>
      <c r="Q330" t="b">
        <v>1</v>
      </c>
      <c r="R330" t="s">
        <v>8269</v>
      </c>
      <c r="S330" s="6">
        <f>Table1[[#This Row],[pledged]]/Table1[[#This Row],[goal]]</f>
        <v>1.036144</v>
      </c>
      <c r="T330" s="8">
        <f>IF(Table1[[#This Row],[pledged]]=0,"no backers",Table1[[#This Row],[pledged]]/Table1[[#This Row],[backers_count]])</f>
        <v>156.04578313253012</v>
      </c>
      <c r="U330" t="str">
        <f>LEFT(Table1[[#This Row],[Category and Sub-Category]],FIND("/",Table1[[#This Row],[Category and Sub-Category]])-1)</f>
        <v>film &amp; video</v>
      </c>
      <c r="V330" t="str">
        <f>RIGHT(Table1[[#This Row],[Category and Sub-Category]],LEN(Table1[[#This Row],[Category and Sub-Category]])-FIND("/",Table1[[#This Row],[Category and Sub-Category]]))</f>
        <v>documentary</v>
      </c>
    </row>
    <row r="331" spans="1:22" ht="43.2" x14ac:dyDescent="0.3">
      <c r="A331">
        <v>329</v>
      </c>
      <c r="B331" s="3" t="s">
        <v>330</v>
      </c>
      <c r="C331" s="3" t="s">
        <v>4439</v>
      </c>
      <c r="D331" s="12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>((Table1[[#This Row],[deadline]]/60)/60/24)+DATE(1970,1,1)</f>
        <v>42315.166666666672</v>
      </c>
      <c r="K331">
        <v>1444821127</v>
      </c>
      <c r="L331" s="11">
        <f>((Table1[[#This Row],[launched_at]]/60)/60/24)+DATE(1970,1,1)</f>
        <v>42291.46674768519</v>
      </c>
      <c r="M331">
        <f>MONTH(Table1[[#This Row],[Date Created Conversion]])</f>
        <v>10</v>
      </c>
      <c r="N331">
        <f>YEAR(Table1[[#This Row],[Date Created Conversion]])</f>
        <v>2015</v>
      </c>
      <c r="O331" t="b">
        <v>1</v>
      </c>
      <c r="P331">
        <v>167</v>
      </c>
      <c r="Q331" t="b">
        <v>1</v>
      </c>
      <c r="R331" t="s">
        <v>8269</v>
      </c>
      <c r="S331" s="6">
        <f>Table1[[#This Row],[pledged]]/Table1[[#This Row],[goal]]</f>
        <v>1.0549999999999999</v>
      </c>
      <c r="T331" s="8">
        <f>IF(Table1[[#This Row],[pledged]]=0,"no backers",Table1[[#This Row],[pledged]]/Table1[[#This Row],[backers_count]])</f>
        <v>63.17365269461078</v>
      </c>
      <c r="U331" t="str">
        <f>LEFT(Table1[[#This Row],[Category and Sub-Category]],FIND("/",Table1[[#This Row],[Category and Sub-Category]])-1)</f>
        <v>film &amp; video</v>
      </c>
      <c r="V331" t="str">
        <f>RIGHT(Table1[[#This Row],[Category and Sub-Category]],LEN(Table1[[#This Row],[Category and Sub-Category]])-FIND("/",Table1[[#This Row],[Category and Sub-Category]]))</f>
        <v>documentary</v>
      </c>
    </row>
    <row r="332" spans="1:22" ht="43.2" x14ac:dyDescent="0.3">
      <c r="A332">
        <v>330</v>
      </c>
      <c r="B332" s="3" t="s">
        <v>331</v>
      </c>
      <c r="C332" s="3" t="s">
        <v>4440</v>
      </c>
      <c r="D332" s="1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>((Table1[[#This Row],[deadline]]/60)/60/24)+DATE(1970,1,1)</f>
        <v>41411.165972222225</v>
      </c>
      <c r="K332">
        <v>1366028563</v>
      </c>
      <c r="L332" s="11">
        <f>((Table1[[#This Row],[launched_at]]/60)/60/24)+DATE(1970,1,1)</f>
        <v>41379.515775462962</v>
      </c>
      <c r="M332">
        <f>MONTH(Table1[[#This Row],[Date Created Conversion]])</f>
        <v>4</v>
      </c>
      <c r="N332">
        <f>YEAR(Table1[[#This Row],[Date Created Conversion]])</f>
        <v>2013</v>
      </c>
      <c r="O332" t="b">
        <v>1</v>
      </c>
      <c r="P332">
        <v>340</v>
      </c>
      <c r="Q332" t="b">
        <v>1</v>
      </c>
      <c r="R332" t="s">
        <v>8269</v>
      </c>
      <c r="S332" s="6">
        <f>Table1[[#This Row],[pledged]]/Table1[[#This Row],[goal]]</f>
        <v>1.0182857142857142</v>
      </c>
      <c r="T332" s="8">
        <f>IF(Table1[[#This Row],[pledged]]=0,"no backers",Table1[[#This Row],[pledged]]/Table1[[#This Row],[backers_count]])</f>
        <v>104.82352941176471</v>
      </c>
      <c r="U332" t="str">
        <f>LEFT(Table1[[#This Row],[Category and Sub-Category]],FIND("/",Table1[[#This Row],[Category and Sub-Category]])-1)</f>
        <v>film &amp; video</v>
      </c>
      <c r="V332" t="str">
        <f>RIGHT(Table1[[#This Row],[Category and Sub-Category]],LEN(Table1[[#This Row],[Category and Sub-Category]])-FIND("/",Table1[[#This Row],[Category and Sub-Category]]))</f>
        <v>documentary</v>
      </c>
    </row>
    <row r="333" spans="1:22" ht="43.2" x14ac:dyDescent="0.3">
      <c r="A333">
        <v>331</v>
      </c>
      <c r="B333" s="3" t="s">
        <v>332</v>
      </c>
      <c r="C333" s="3" t="s">
        <v>4441</v>
      </c>
      <c r="D333" s="12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>((Table1[[#This Row],[deadline]]/60)/60/24)+DATE(1970,1,1)</f>
        <v>42538.581412037034</v>
      </c>
      <c r="K333">
        <v>1463493434</v>
      </c>
      <c r="L333" s="11">
        <f>((Table1[[#This Row],[launched_at]]/60)/60/24)+DATE(1970,1,1)</f>
        <v>42507.581412037034</v>
      </c>
      <c r="M333">
        <f>MONTH(Table1[[#This Row],[Date Created Conversion]])</f>
        <v>5</v>
      </c>
      <c r="N333">
        <f>YEAR(Table1[[#This Row],[Date Created Conversion]])</f>
        <v>2016</v>
      </c>
      <c r="O333" t="b">
        <v>1</v>
      </c>
      <c r="P333">
        <v>438</v>
      </c>
      <c r="Q333" t="b">
        <v>1</v>
      </c>
      <c r="R333" t="s">
        <v>8269</v>
      </c>
      <c r="S333" s="6">
        <f>Table1[[#This Row],[pledged]]/Table1[[#This Row],[goal]]</f>
        <v>1.0660499999999999</v>
      </c>
      <c r="T333" s="8">
        <f>IF(Table1[[#This Row],[pledged]]=0,"no backers",Table1[[#This Row],[pledged]]/Table1[[#This Row],[backers_count]])</f>
        <v>97.356164383561648</v>
      </c>
      <c r="U333" t="str">
        <f>LEFT(Table1[[#This Row],[Category and Sub-Category]],FIND("/",Table1[[#This Row],[Category and Sub-Category]])-1)</f>
        <v>film &amp; video</v>
      </c>
      <c r="V333" t="str">
        <f>RIGHT(Table1[[#This Row],[Category and Sub-Category]],LEN(Table1[[#This Row],[Category and Sub-Category]])-FIND("/",Table1[[#This Row],[Category and Sub-Category]]))</f>
        <v>documentary</v>
      </c>
    </row>
    <row r="334" spans="1:22" ht="43.2" x14ac:dyDescent="0.3">
      <c r="A334">
        <v>332</v>
      </c>
      <c r="B334" s="3" t="s">
        <v>333</v>
      </c>
      <c r="C334" s="3" t="s">
        <v>4442</v>
      </c>
      <c r="D334" s="12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>((Table1[[#This Row],[deadline]]/60)/60/24)+DATE(1970,1,1)</f>
        <v>42305.333333333328</v>
      </c>
      <c r="K334">
        <v>1442420377</v>
      </c>
      <c r="L334" s="11">
        <f>((Table1[[#This Row],[launched_at]]/60)/60/24)+DATE(1970,1,1)</f>
        <v>42263.680289351847</v>
      </c>
      <c r="M334">
        <f>MONTH(Table1[[#This Row],[Date Created Conversion]])</f>
        <v>9</v>
      </c>
      <c r="N334">
        <f>YEAR(Table1[[#This Row],[Date Created Conversion]])</f>
        <v>2015</v>
      </c>
      <c r="O334" t="b">
        <v>1</v>
      </c>
      <c r="P334">
        <v>555</v>
      </c>
      <c r="Q334" t="b">
        <v>1</v>
      </c>
      <c r="R334" t="s">
        <v>8269</v>
      </c>
      <c r="S334" s="6">
        <f>Table1[[#This Row],[pledged]]/Table1[[#This Row],[goal]]</f>
        <v>1.13015</v>
      </c>
      <c r="T334" s="8">
        <f>IF(Table1[[#This Row],[pledged]]=0,"no backers",Table1[[#This Row],[pledged]]/Table1[[#This Row],[backers_count]])</f>
        <v>203.63063063063063</v>
      </c>
      <c r="U334" t="str">
        <f>LEFT(Table1[[#This Row],[Category and Sub-Category]],FIND("/",Table1[[#This Row],[Category and Sub-Category]])-1)</f>
        <v>film &amp; video</v>
      </c>
      <c r="V334" t="str">
        <f>RIGHT(Table1[[#This Row],[Category and Sub-Category]],LEN(Table1[[#This Row],[Category and Sub-Category]])-FIND("/",Table1[[#This Row],[Category and Sub-Category]]))</f>
        <v>documentary</v>
      </c>
    </row>
    <row r="335" spans="1:22" ht="43.2" x14ac:dyDescent="0.3">
      <c r="A335">
        <v>333</v>
      </c>
      <c r="B335" s="3" t="s">
        <v>334</v>
      </c>
      <c r="C335" s="3" t="s">
        <v>4443</v>
      </c>
      <c r="D335" s="12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>((Table1[[#This Row],[deadline]]/60)/60/24)+DATE(1970,1,1)</f>
        <v>42467.59480324074</v>
      </c>
      <c r="K335">
        <v>1457450191</v>
      </c>
      <c r="L335" s="11">
        <f>((Table1[[#This Row],[launched_at]]/60)/60/24)+DATE(1970,1,1)</f>
        <v>42437.636469907404</v>
      </c>
      <c r="M335">
        <f>MONTH(Table1[[#This Row],[Date Created Conversion]])</f>
        <v>3</v>
      </c>
      <c r="N335">
        <f>YEAR(Table1[[#This Row],[Date Created Conversion]])</f>
        <v>2016</v>
      </c>
      <c r="O335" t="b">
        <v>1</v>
      </c>
      <c r="P335">
        <v>266</v>
      </c>
      <c r="Q335" t="b">
        <v>1</v>
      </c>
      <c r="R335" t="s">
        <v>8269</v>
      </c>
      <c r="S335" s="6">
        <f>Table1[[#This Row],[pledged]]/Table1[[#This Row],[goal]]</f>
        <v>1.252275</v>
      </c>
      <c r="T335" s="8">
        <f>IF(Table1[[#This Row],[pledged]]=0,"no backers",Table1[[#This Row],[pledged]]/Table1[[#This Row],[backers_count]])</f>
        <v>188.31203007518798</v>
      </c>
      <c r="U335" t="str">
        <f>LEFT(Table1[[#This Row],[Category and Sub-Category]],FIND("/",Table1[[#This Row],[Category and Sub-Category]])-1)</f>
        <v>film &amp; video</v>
      </c>
      <c r="V335" t="str">
        <f>RIGHT(Table1[[#This Row],[Category and Sub-Category]],LEN(Table1[[#This Row],[Category and Sub-Category]])-FIND("/",Table1[[#This Row],[Category and Sub-Category]]))</f>
        <v>documentary</v>
      </c>
    </row>
    <row r="336" spans="1:22" ht="57.6" x14ac:dyDescent="0.3">
      <c r="A336">
        <v>334</v>
      </c>
      <c r="B336" s="3" t="s">
        <v>335</v>
      </c>
      <c r="C336" s="3" t="s">
        <v>4444</v>
      </c>
      <c r="D336" s="12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>((Table1[[#This Row],[deadline]]/60)/60/24)+DATE(1970,1,1)</f>
        <v>42139.791666666672</v>
      </c>
      <c r="K336">
        <v>1428423757</v>
      </c>
      <c r="L336" s="11">
        <f>((Table1[[#This Row],[launched_at]]/60)/60/24)+DATE(1970,1,1)</f>
        <v>42101.682372685187</v>
      </c>
      <c r="M336">
        <f>MONTH(Table1[[#This Row],[Date Created Conversion]])</f>
        <v>4</v>
      </c>
      <c r="N336">
        <f>YEAR(Table1[[#This Row],[Date Created Conversion]])</f>
        <v>2015</v>
      </c>
      <c r="O336" t="b">
        <v>1</v>
      </c>
      <c r="P336">
        <v>69</v>
      </c>
      <c r="Q336" t="b">
        <v>1</v>
      </c>
      <c r="R336" t="s">
        <v>8269</v>
      </c>
      <c r="S336" s="6">
        <f>Table1[[#This Row],[pledged]]/Table1[[#This Row],[goal]]</f>
        <v>1.0119</v>
      </c>
      <c r="T336" s="8">
        <f>IF(Table1[[#This Row],[pledged]]=0,"no backers",Table1[[#This Row],[pledged]]/Table1[[#This Row],[backers_count]])</f>
        <v>146.65217391304347</v>
      </c>
      <c r="U336" t="str">
        <f>LEFT(Table1[[#This Row],[Category and Sub-Category]],FIND("/",Table1[[#This Row],[Category and Sub-Category]])-1)</f>
        <v>film &amp; video</v>
      </c>
      <c r="V336" t="str">
        <f>RIGHT(Table1[[#This Row],[Category and Sub-Category]],LEN(Table1[[#This Row],[Category and Sub-Category]])-FIND("/",Table1[[#This Row],[Category and Sub-Category]]))</f>
        <v>documentary</v>
      </c>
    </row>
    <row r="337" spans="1:22" ht="43.2" x14ac:dyDescent="0.3">
      <c r="A337">
        <v>335</v>
      </c>
      <c r="B337" s="3" t="s">
        <v>336</v>
      </c>
      <c r="C337" s="3" t="s">
        <v>4445</v>
      </c>
      <c r="D337" s="12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>((Table1[[#This Row],[deadline]]/60)/60/24)+DATE(1970,1,1)</f>
        <v>42132.916666666672</v>
      </c>
      <c r="K337">
        <v>1428428515</v>
      </c>
      <c r="L337" s="11">
        <f>((Table1[[#This Row],[launched_at]]/60)/60/24)+DATE(1970,1,1)</f>
        <v>42101.737442129626</v>
      </c>
      <c r="M337">
        <f>MONTH(Table1[[#This Row],[Date Created Conversion]])</f>
        <v>4</v>
      </c>
      <c r="N337">
        <f>YEAR(Table1[[#This Row],[Date Created Conversion]])</f>
        <v>2015</v>
      </c>
      <c r="O337" t="b">
        <v>1</v>
      </c>
      <c r="P337">
        <v>80</v>
      </c>
      <c r="Q337" t="b">
        <v>1</v>
      </c>
      <c r="R337" t="s">
        <v>8269</v>
      </c>
      <c r="S337" s="6">
        <f>Table1[[#This Row],[pledged]]/Table1[[#This Row],[goal]]</f>
        <v>1.0276470588235294</v>
      </c>
      <c r="T337" s="8">
        <f>IF(Table1[[#This Row],[pledged]]=0,"no backers",Table1[[#This Row],[pledged]]/Table1[[#This Row],[backers_count]])</f>
        <v>109.1875</v>
      </c>
      <c r="U337" t="str">
        <f>LEFT(Table1[[#This Row],[Category and Sub-Category]],FIND("/",Table1[[#This Row],[Category and Sub-Category]])-1)</f>
        <v>film &amp; video</v>
      </c>
      <c r="V337" t="str">
        <f>RIGHT(Table1[[#This Row],[Category and Sub-Category]],LEN(Table1[[#This Row],[Category and Sub-Category]])-FIND("/",Table1[[#This Row],[Category and Sub-Category]]))</f>
        <v>documentary</v>
      </c>
    </row>
    <row r="338" spans="1:22" ht="43.2" x14ac:dyDescent="0.3">
      <c r="A338">
        <v>336</v>
      </c>
      <c r="B338" s="3" t="s">
        <v>337</v>
      </c>
      <c r="C338" s="3" t="s">
        <v>4446</v>
      </c>
      <c r="D338" s="12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>((Table1[[#This Row],[deadline]]/60)/60/24)+DATE(1970,1,1)</f>
        <v>42321.637939814813</v>
      </c>
      <c r="K338">
        <v>1444832318</v>
      </c>
      <c r="L338" s="11">
        <f>((Table1[[#This Row],[launched_at]]/60)/60/24)+DATE(1970,1,1)</f>
        <v>42291.596273148149</v>
      </c>
      <c r="M338">
        <f>MONTH(Table1[[#This Row],[Date Created Conversion]])</f>
        <v>10</v>
      </c>
      <c r="N338">
        <f>YEAR(Table1[[#This Row],[Date Created Conversion]])</f>
        <v>2015</v>
      </c>
      <c r="O338" t="b">
        <v>1</v>
      </c>
      <c r="P338">
        <v>493</v>
      </c>
      <c r="Q338" t="b">
        <v>1</v>
      </c>
      <c r="R338" t="s">
        <v>8269</v>
      </c>
      <c r="S338" s="6">
        <f>Table1[[#This Row],[pledged]]/Table1[[#This Row],[goal]]</f>
        <v>1.1683911999999999</v>
      </c>
      <c r="T338" s="8">
        <f>IF(Table1[[#This Row],[pledged]]=0,"no backers",Table1[[#This Row],[pledged]]/Table1[[#This Row],[backers_count]])</f>
        <v>59.249046653144013</v>
      </c>
      <c r="U338" t="str">
        <f>LEFT(Table1[[#This Row],[Category and Sub-Category]],FIND("/",Table1[[#This Row],[Category and Sub-Category]])-1)</f>
        <v>film &amp; video</v>
      </c>
      <c r="V338" t="str">
        <f>RIGHT(Table1[[#This Row],[Category and Sub-Category]],LEN(Table1[[#This Row],[Category and Sub-Category]])-FIND("/",Table1[[#This Row],[Category and Sub-Category]]))</f>
        <v>documentary</v>
      </c>
    </row>
    <row r="339" spans="1:22" ht="43.2" x14ac:dyDescent="0.3">
      <c r="A339">
        <v>337</v>
      </c>
      <c r="B339" s="3" t="s">
        <v>338</v>
      </c>
      <c r="C339" s="3" t="s">
        <v>4447</v>
      </c>
      <c r="D339" s="12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>((Table1[[#This Row],[deadline]]/60)/60/24)+DATE(1970,1,1)</f>
        <v>42077.086898148147</v>
      </c>
      <c r="K339">
        <v>1423710308</v>
      </c>
      <c r="L339" s="11">
        <f>((Table1[[#This Row],[launched_at]]/60)/60/24)+DATE(1970,1,1)</f>
        <v>42047.128564814819</v>
      </c>
      <c r="M339">
        <f>MONTH(Table1[[#This Row],[Date Created Conversion]])</f>
        <v>2</v>
      </c>
      <c r="N339">
        <f>YEAR(Table1[[#This Row],[Date Created Conversion]])</f>
        <v>2015</v>
      </c>
      <c r="O339" t="b">
        <v>1</v>
      </c>
      <c r="P339">
        <v>31</v>
      </c>
      <c r="Q339" t="b">
        <v>1</v>
      </c>
      <c r="R339" t="s">
        <v>8269</v>
      </c>
      <c r="S339" s="6">
        <f>Table1[[#This Row],[pledged]]/Table1[[#This Row],[goal]]</f>
        <v>1.0116833333333335</v>
      </c>
      <c r="T339" s="8">
        <f>IF(Table1[[#This Row],[pledged]]=0,"no backers",Table1[[#This Row],[pledged]]/Table1[[#This Row],[backers_count]])</f>
        <v>97.904838709677421</v>
      </c>
      <c r="U339" t="str">
        <f>LEFT(Table1[[#This Row],[Category and Sub-Category]],FIND("/",Table1[[#This Row],[Category and Sub-Category]])-1)</f>
        <v>film &amp; video</v>
      </c>
      <c r="V339" t="str">
        <f>RIGHT(Table1[[#This Row],[Category and Sub-Category]],LEN(Table1[[#This Row],[Category and Sub-Category]])-FIND("/",Table1[[#This Row],[Category and Sub-Category]]))</f>
        <v>documentary</v>
      </c>
    </row>
    <row r="340" spans="1:22" ht="43.2" x14ac:dyDescent="0.3">
      <c r="A340">
        <v>338</v>
      </c>
      <c r="B340" s="3" t="s">
        <v>339</v>
      </c>
      <c r="C340" s="3" t="s">
        <v>4448</v>
      </c>
      <c r="D340" s="12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>((Table1[[#This Row],[deadline]]/60)/60/24)+DATE(1970,1,1)</f>
        <v>42616.041666666672</v>
      </c>
      <c r="K340">
        <v>1468001290</v>
      </c>
      <c r="L340" s="11">
        <f>((Table1[[#This Row],[launched_at]]/60)/60/24)+DATE(1970,1,1)</f>
        <v>42559.755671296298</v>
      </c>
      <c r="M340">
        <f>MONTH(Table1[[#This Row],[Date Created Conversion]])</f>
        <v>7</v>
      </c>
      <c r="N340">
        <f>YEAR(Table1[[#This Row],[Date Created Conversion]])</f>
        <v>2016</v>
      </c>
      <c r="O340" t="b">
        <v>1</v>
      </c>
      <c r="P340">
        <v>236</v>
      </c>
      <c r="Q340" t="b">
        <v>1</v>
      </c>
      <c r="R340" t="s">
        <v>8269</v>
      </c>
      <c r="S340" s="6">
        <f>Table1[[#This Row],[pledged]]/Table1[[#This Row],[goal]]</f>
        <v>1.1013360000000001</v>
      </c>
      <c r="T340" s="8">
        <f>IF(Table1[[#This Row],[pledged]]=0,"no backers",Table1[[#This Row],[pledged]]/Table1[[#This Row],[backers_count]])</f>
        <v>70.000169491525426</v>
      </c>
      <c r="U340" t="str">
        <f>LEFT(Table1[[#This Row],[Category and Sub-Category]],FIND("/",Table1[[#This Row],[Category and Sub-Category]])-1)</f>
        <v>film &amp; video</v>
      </c>
      <c r="V340" t="str">
        <f>RIGHT(Table1[[#This Row],[Category and Sub-Category]],LEN(Table1[[#This Row],[Category and Sub-Category]])-FIND("/",Table1[[#This Row],[Category and Sub-Category]]))</f>
        <v>documentary</v>
      </c>
    </row>
    <row r="341" spans="1:22" ht="43.2" x14ac:dyDescent="0.3">
      <c r="A341">
        <v>339</v>
      </c>
      <c r="B341" s="3" t="s">
        <v>340</v>
      </c>
      <c r="C341" s="3" t="s">
        <v>4449</v>
      </c>
      <c r="D341" s="12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>((Table1[[#This Row],[deadline]]/60)/60/24)+DATE(1970,1,1)</f>
        <v>42123.760046296295</v>
      </c>
      <c r="K341">
        <v>1427739268</v>
      </c>
      <c r="L341" s="11">
        <f>((Table1[[#This Row],[launched_at]]/60)/60/24)+DATE(1970,1,1)</f>
        <v>42093.760046296295</v>
      </c>
      <c r="M341">
        <f>MONTH(Table1[[#This Row],[Date Created Conversion]])</f>
        <v>3</v>
      </c>
      <c r="N341">
        <f>YEAR(Table1[[#This Row],[Date Created Conversion]])</f>
        <v>2015</v>
      </c>
      <c r="O341" t="b">
        <v>1</v>
      </c>
      <c r="P341">
        <v>89</v>
      </c>
      <c r="Q341" t="b">
        <v>1</v>
      </c>
      <c r="R341" t="s">
        <v>8269</v>
      </c>
      <c r="S341" s="6">
        <f>Table1[[#This Row],[pledged]]/Table1[[#This Row],[goal]]</f>
        <v>1.0808333333333333</v>
      </c>
      <c r="T341" s="8">
        <f>IF(Table1[[#This Row],[pledged]]=0,"no backers",Table1[[#This Row],[pledged]]/Table1[[#This Row],[backers_count]])</f>
        <v>72.865168539325836</v>
      </c>
      <c r="U341" t="str">
        <f>LEFT(Table1[[#This Row],[Category and Sub-Category]],FIND("/",Table1[[#This Row],[Category and Sub-Category]])-1)</f>
        <v>film &amp; video</v>
      </c>
      <c r="V341" t="str">
        <f>RIGHT(Table1[[#This Row],[Category and Sub-Category]],LEN(Table1[[#This Row],[Category and Sub-Category]])-FIND("/",Table1[[#This Row],[Category and Sub-Category]]))</f>
        <v>documentary</v>
      </c>
    </row>
    <row r="342" spans="1:22" ht="43.2" x14ac:dyDescent="0.3">
      <c r="A342">
        <v>340</v>
      </c>
      <c r="B342" s="3" t="s">
        <v>341</v>
      </c>
      <c r="C342" s="3" t="s">
        <v>4450</v>
      </c>
      <c r="D342" s="1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>((Table1[[#This Row],[deadline]]/60)/60/24)+DATE(1970,1,1)</f>
        <v>42802.875</v>
      </c>
      <c r="K342">
        <v>1486397007</v>
      </c>
      <c r="L342" s="11">
        <f>((Table1[[#This Row],[launched_at]]/60)/60/24)+DATE(1970,1,1)</f>
        <v>42772.669062500005</v>
      </c>
      <c r="M342">
        <f>MONTH(Table1[[#This Row],[Date Created Conversion]])</f>
        <v>2</v>
      </c>
      <c r="N342">
        <f>YEAR(Table1[[#This Row],[Date Created Conversion]])</f>
        <v>2017</v>
      </c>
      <c r="O342" t="b">
        <v>1</v>
      </c>
      <c r="P342">
        <v>299</v>
      </c>
      <c r="Q342" t="b">
        <v>1</v>
      </c>
      <c r="R342" t="s">
        <v>8269</v>
      </c>
      <c r="S342" s="6">
        <f>Table1[[#This Row],[pledged]]/Table1[[#This Row],[goal]]</f>
        <v>1.2502285714285715</v>
      </c>
      <c r="T342" s="8">
        <f>IF(Table1[[#This Row],[pledged]]=0,"no backers",Table1[[#This Row],[pledged]]/Table1[[#This Row],[backers_count]])</f>
        <v>146.34782608695653</v>
      </c>
      <c r="U342" t="str">
        <f>LEFT(Table1[[#This Row],[Category and Sub-Category]],FIND("/",Table1[[#This Row],[Category and Sub-Category]])-1)</f>
        <v>film &amp; video</v>
      </c>
      <c r="V342" t="str">
        <f>RIGHT(Table1[[#This Row],[Category and Sub-Category]],LEN(Table1[[#This Row],[Category and Sub-Category]])-FIND("/",Table1[[#This Row],[Category and Sub-Category]]))</f>
        <v>documentary</v>
      </c>
    </row>
    <row r="343" spans="1:22" ht="43.2" x14ac:dyDescent="0.3">
      <c r="A343">
        <v>341</v>
      </c>
      <c r="B343" s="3" t="s">
        <v>342</v>
      </c>
      <c r="C343" s="3" t="s">
        <v>4451</v>
      </c>
      <c r="D343" s="12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>((Table1[[#This Row],[deadline]]/60)/60/24)+DATE(1970,1,1)</f>
        <v>41913.165972222225</v>
      </c>
      <c r="K343">
        <v>1410555998</v>
      </c>
      <c r="L343" s="11">
        <f>((Table1[[#This Row],[launched_at]]/60)/60/24)+DATE(1970,1,1)</f>
        <v>41894.879606481481</v>
      </c>
      <c r="M343">
        <f>MONTH(Table1[[#This Row],[Date Created Conversion]])</f>
        <v>9</v>
      </c>
      <c r="N343">
        <f>YEAR(Table1[[#This Row],[Date Created Conversion]])</f>
        <v>2014</v>
      </c>
      <c r="O343" t="b">
        <v>1</v>
      </c>
      <c r="P343">
        <v>55</v>
      </c>
      <c r="Q343" t="b">
        <v>1</v>
      </c>
      <c r="R343" t="s">
        <v>8269</v>
      </c>
      <c r="S343" s="6">
        <f>Table1[[#This Row],[pledged]]/Table1[[#This Row],[goal]]</f>
        <v>1.0671428571428572</v>
      </c>
      <c r="T343" s="8">
        <f>IF(Table1[[#This Row],[pledged]]=0,"no backers",Table1[[#This Row],[pledged]]/Table1[[#This Row],[backers_count]])</f>
        <v>67.909090909090907</v>
      </c>
      <c r="U343" t="str">
        <f>LEFT(Table1[[#This Row],[Category and Sub-Category]],FIND("/",Table1[[#This Row],[Category and Sub-Category]])-1)</f>
        <v>film &amp; video</v>
      </c>
      <c r="V343" t="str">
        <f>RIGHT(Table1[[#This Row],[Category and Sub-Category]],LEN(Table1[[#This Row],[Category and Sub-Category]])-FIND("/",Table1[[#This Row],[Category and Sub-Category]]))</f>
        <v>documentary</v>
      </c>
    </row>
    <row r="344" spans="1:22" ht="28.8" x14ac:dyDescent="0.3">
      <c r="A344">
        <v>342</v>
      </c>
      <c r="B344" s="3" t="s">
        <v>343</v>
      </c>
      <c r="C344" s="3" t="s">
        <v>4452</v>
      </c>
      <c r="D344" s="12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>((Table1[[#This Row],[deadline]]/60)/60/24)+DATE(1970,1,1)</f>
        <v>42489.780844907407</v>
      </c>
      <c r="K344">
        <v>1459363465</v>
      </c>
      <c r="L344" s="11">
        <f>((Table1[[#This Row],[launched_at]]/60)/60/24)+DATE(1970,1,1)</f>
        <v>42459.780844907407</v>
      </c>
      <c r="M344">
        <f>MONTH(Table1[[#This Row],[Date Created Conversion]])</f>
        <v>3</v>
      </c>
      <c r="N344">
        <f>YEAR(Table1[[#This Row],[Date Created Conversion]])</f>
        <v>2016</v>
      </c>
      <c r="O344" t="b">
        <v>1</v>
      </c>
      <c r="P344">
        <v>325</v>
      </c>
      <c r="Q344" t="b">
        <v>1</v>
      </c>
      <c r="R344" t="s">
        <v>8269</v>
      </c>
      <c r="S344" s="6">
        <f>Table1[[#This Row],[pledged]]/Table1[[#This Row],[goal]]</f>
        <v>1.0036639999999999</v>
      </c>
      <c r="T344" s="8">
        <f>IF(Table1[[#This Row],[pledged]]=0,"no backers",Table1[[#This Row],[pledged]]/Table1[[#This Row],[backers_count]])</f>
        <v>169.85083076923075</v>
      </c>
      <c r="U344" t="str">
        <f>LEFT(Table1[[#This Row],[Category and Sub-Category]],FIND("/",Table1[[#This Row],[Category and Sub-Category]])-1)</f>
        <v>film &amp; video</v>
      </c>
      <c r="V344" t="str">
        <f>RIGHT(Table1[[#This Row],[Category and Sub-Category]],LEN(Table1[[#This Row],[Category and Sub-Category]])-FIND("/",Table1[[#This Row],[Category and Sub-Category]]))</f>
        <v>documentary</v>
      </c>
    </row>
    <row r="345" spans="1:22" ht="43.2" x14ac:dyDescent="0.3">
      <c r="A345">
        <v>343</v>
      </c>
      <c r="B345" s="3" t="s">
        <v>344</v>
      </c>
      <c r="C345" s="3" t="s">
        <v>4453</v>
      </c>
      <c r="D345" s="12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>((Table1[[#This Row],[deadline]]/60)/60/24)+DATE(1970,1,1)</f>
        <v>41957.125</v>
      </c>
      <c r="K345">
        <v>1413308545</v>
      </c>
      <c r="L345" s="11">
        <f>((Table1[[#This Row],[launched_at]]/60)/60/24)+DATE(1970,1,1)</f>
        <v>41926.73778935185</v>
      </c>
      <c r="M345">
        <f>MONTH(Table1[[#This Row],[Date Created Conversion]])</f>
        <v>10</v>
      </c>
      <c r="N345">
        <f>YEAR(Table1[[#This Row],[Date Created Conversion]])</f>
        <v>2014</v>
      </c>
      <c r="O345" t="b">
        <v>1</v>
      </c>
      <c r="P345">
        <v>524</v>
      </c>
      <c r="Q345" t="b">
        <v>1</v>
      </c>
      <c r="R345" t="s">
        <v>8269</v>
      </c>
      <c r="S345" s="6">
        <f>Table1[[#This Row],[pledged]]/Table1[[#This Row],[goal]]</f>
        <v>1.0202863333333334</v>
      </c>
      <c r="T345" s="8">
        <f>IF(Table1[[#This Row],[pledged]]=0,"no backers",Table1[[#This Row],[pledged]]/Table1[[#This Row],[backers_count]])</f>
        <v>58.413339694656486</v>
      </c>
      <c r="U345" t="str">
        <f>LEFT(Table1[[#This Row],[Category and Sub-Category]],FIND("/",Table1[[#This Row],[Category and Sub-Category]])-1)</f>
        <v>film &amp; video</v>
      </c>
      <c r="V345" t="str">
        <f>RIGHT(Table1[[#This Row],[Category and Sub-Category]],LEN(Table1[[#This Row],[Category and Sub-Category]])-FIND("/",Table1[[#This Row],[Category and Sub-Category]]))</f>
        <v>documentary</v>
      </c>
    </row>
    <row r="346" spans="1:22" ht="43.2" x14ac:dyDescent="0.3">
      <c r="A346">
        <v>344</v>
      </c>
      <c r="B346" s="3" t="s">
        <v>345</v>
      </c>
      <c r="C346" s="3" t="s">
        <v>4454</v>
      </c>
      <c r="D346" s="12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>((Table1[[#This Row],[deadline]]/60)/60/24)+DATE(1970,1,1)</f>
        <v>42156.097222222219</v>
      </c>
      <c r="K346">
        <v>1429312694</v>
      </c>
      <c r="L346" s="11">
        <f>((Table1[[#This Row],[launched_at]]/60)/60/24)+DATE(1970,1,1)</f>
        <v>42111.970995370371</v>
      </c>
      <c r="M346">
        <f>MONTH(Table1[[#This Row],[Date Created Conversion]])</f>
        <v>4</v>
      </c>
      <c r="N346">
        <f>YEAR(Table1[[#This Row],[Date Created Conversion]])</f>
        <v>2015</v>
      </c>
      <c r="O346" t="b">
        <v>1</v>
      </c>
      <c r="P346">
        <v>285</v>
      </c>
      <c r="Q346" t="b">
        <v>1</v>
      </c>
      <c r="R346" t="s">
        <v>8269</v>
      </c>
      <c r="S346" s="6">
        <f>Table1[[#This Row],[pledged]]/Table1[[#This Row],[goal]]</f>
        <v>1.0208358208955224</v>
      </c>
      <c r="T346" s="8">
        <f>IF(Table1[[#This Row],[pledged]]=0,"no backers",Table1[[#This Row],[pledged]]/Table1[[#This Row],[backers_count]])</f>
        <v>119.99298245614035</v>
      </c>
      <c r="U346" t="str">
        <f>LEFT(Table1[[#This Row],[Category and Sub-Category]],FIND("/",Table1[[#This Row],[Category and Sub-Category]])-1)</f>
        <v>film &amp; video</v>
      </c>
      <c r="V346" t="str">
        <f>RIGHT(Table1[[#This Row],[Category and Sub-Category]],LEN(Table1[[#This Row],[Category and Sub-Category]])-FIND("/",Table1[[#This Row],[Category and Sub-Category]]))</f>
        <v>documentary</v>
      </c>
    </row>
    <row r="347" spans="1:22" ht="43.2" x14ac:dyDescent="0.3">
      <c r="A347">
        <v>345</v>
      </c>
      <c r="B347" s="3" t="s">
        <v>346</v>
      </c>
      <c r="C347" s="3" t="s">
        <v>4455</v>
      </c>
      <c r="D347" s="12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>((Table1[[#This Row],[deadline]]/60)/60/24)+DATE(1970,1,1)</f>
        <v>42144.944328703699</v>
      </c>
      <c r="K347">
        <v>1429569590</v>
      </c>
      <c r="L347" s="11">
        <f>((Table1[[#This Row],[launched_at]]/60)/60/24)+DATE(1970,1,1)</f>
        <v>42114.944328703699</v>
      </c>
      <c r="M347">
        <f>MONTH(Table1[[#This Row],[Date Created Conversion]])</f>
        <v>4</v>
      </c>
      <c r="N347">
        <f>YEAR(Table1[[#This Row],[Date Created Conversion]])</f>
        <v>2015</v>
      </c>
      <c r="O347" t="b">
        <v>1</v>
      </c>
      <c r="P347">
        <v>179</v>
      </c>
      <c r="Q347" t="b">
        <v>1</v>
      </c>
      <c r="R347" t="s">
        <v>8269</v>
      </c>
      <c r="S347" s="6">
        <f>Table1[[#This Row],[pledged]]/Table1[[#This Row],[goal]]</f>
        <v>1.2327586206896552</v>
      </c>
      <c r="T347" s="8">
        <f>IF(Table1[[#This Row],[pledged]]=0,"no backers",Table1[[#This Row],[pledged]]/Table1[[#This Row],[backers_count]])</f>
        <v>99.860335195530723</v>
      </c>
      <c r="U347" t="str">
        <f>LEFT(Table1[[#This Row],[Category and Sub-Category]],FIND("/",Table1[[#This Row],[Category and Sub-Category]])-1)</f>
        <v>film &amp; video</v>
      </c>
      <c r="V347" t="str">
        <f>RIGHT(Table1[[#This Row],[Category and Sub-Category]],LEN(Table1[[#This Row],[Category and Sub-Category]])-FIND("/",Table1[[#This Row],[Category and Sub-Category]]))</f>
        <v>documentary</v>
      </c>
    </row>
    <row r="348" spans="1:22" ht="43.2" x14ac:dyDescent="0.3">
      <c r="A348">
        <v>346</v>
      </c>
      <c r="B348" s="3" t="s">
        <v>347</v>
      </c>
      <c r="C348" s="3" t="s">
        <v>4456</v>
      </c>
      <c r="D348" s="12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>((Table1[[#This Row],[deadline]]/60)/60/24)+DATE(1970,1,1)</f>
        <v>42291.500243055561</v>
      </c>
      <c r="K348">
        <v>1442232021</v>
      </c>
      <c r="L348" s="11">
        <f>((Table1[[#This Row],[launched_at]]/60)/60/24)+DATE(1970,1,1)</f>
        <v>42261.500243055561</v>
      </c>
      <c r="M348">
        <f>MONTH(Table1[[#This Row],[Date Created Conversion]])</f>
        <v>9</v>
      </c>
      <c r="N348">
        <f>YEAR(Table1[[#This Row],[Date Created Conversion]])</f>
        <v>2015</v>
      </c>
      <c r="O348" t="b">
        <v>1</v>
      </c>
      <c r="P348">
        <v>188</v>
      </c>
      <c r="Q348" t="b">
        <v>1</v>
      </c>
      <c r="R348" t="s">
        <v>8269</v>
      </c>
      <c r="S348" s="6">
        <f>Table1[[#This Row],[pledged]]/Table1[[#This Row],[goal]]</f>
        <v>1.7028880000000002</v>
      </c>
      <c r="T348" s="8">
        <f>IF(Table1[[#This Row],[pledged]]=0,"no backers",Table1[[#This Row],[pledged]]/Table1[[#This Row],[backers_count]])</f>
        <v>90.579148936170213</v>
      </c>
      <c r="U348" t="str">
        <f>LEFT(Table1[[#This Row],[Category and Sub-Category]],FIND("/",Table1[[#This Row],[Category and Sub-Category]])-1)</f>
        <v>film &amp; video</v>
      </c>
      <c r="V348" t="str">
        <f>RIGHT(Table1[[#This Row],[Category and Sub-Category]],LEN(Table1[[#This Row],[Category and Sub-Category]])-FIND("/",Table1[[#This Row],[Category and Sub-Category]]))</f>
        <v>documentary</v>
      </c>
    </row>
    <row r="349" spans="1:22" ht="43.2" x14ac:dyDescent="0.3">
      <c r="A349">
        <v>347</v>
      </c>
      <c r="B349" s="3" t="s">
        <v>348</v>
      </c>
      <c r="C349" s="3" t="s">
        <v>4457</v>
      </c>
      <c r="D349" s="12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>((Table1[[#This Row],[deadline]]/60)/60/24)+DATE(1970,1,1)</f>
        <v>42322.537141203706</v>
      </c>
      <c r="K349">
        <v>1444910009</v>
      </c>
      <c r="L349" s="11">
        <f>((Table1[[#This Row],[launched_at]]/60)/60/24)+DATE(1970,1,1)</f>
        <v>42292.495474537034</v>
      </c>
      <c r="M349">
        <f>MONTH(Table1[[#This Row],[Date Created Conversion]])</f>
        <v>10</v>
      </c>
      <c r="N349">
        <f>YEAR(Table1[[#This Row],[Date Created Conversion]])</f>
        <v>2015</v>
      </c>
      <c r="O349" t="b">
        <v>1</v>
      </c>
      <c r="P349">
        <v>379</v>
      </c>
      <c r="Q349" t="b">
        <v>1</v>
      </c>
      <c r="R349" t="s">
        <v>8269</v>
      </c>
      <c r="S349" s="6">
        <f>Table1[[#This Row],[pledged]]/Table1[[#This Row],[goal]]</f>
        <v>1.1159049999999999</v>
      </c>
      <c r="T349" s="8">
        <f>IF(Table1[[#This Row],[pledged]]=0,"no backers",Table1[[#This Row],[pledged]]/Table1[[#This Row],[backers_count]])</f>
        <v>117.77361477572559</v>
      </c>
      <c r="U349" t="str">
        <f>LEFT(Table1[[#This Row],[Category and Sub-Category]],FIND("/",Table1[[#This Row],[Category and Sub-Category]])-1)</f>
        <v>film &amp; video</v>
      </c>
      <c r="V349" t="str">
        <f>RIGHT(Table1[[#This Row],[Category and Sub-Category]],LEN(Table1[[#This Row],[Category and Sub-Category]])-FIND("/",Table1[[#This Row],[Category and Sub-Category]]))</f>
        <v>documentary</v>
      </c>
    </row>
    <row r="350" spans="1:22" ht="43.2" x14ac:dyDescent="0.3">
      <c r="A350">
        <v>348</v>
      </c>
      <c r="B350" s="3" t="s">
        <v>349</v>
      </c>
      <c r="C350" s="3" t="s">
        <v>4458</v>
      </c>
      <c r="D350" s="12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>((Table1[[#This Row],[deadline]]/60)/60/24)+DATE(1970,1,1)</f>
        <v>42237.58699074074</v>
      </c>
      <c r="K350">
        <v>1437573916</v>
      </c>
      <c r="L350" s="11">
        <f>((Table1[[#This Row],[launched_at]]/60)/60/24)+DATE(1970,1,1)</f>
        <v>42207.58699074074</v>
      </c>
      <c r="M350">
        <f>MONTH(Table1[[#This Row],[Date Created Conversion]])</f>
        <v>7</v>
      </c>
      <c r="N350">
        <f>YEAR(Table1[[#This Row],[Date Created Conversion]])</f>
        <v>2015</v>
      </c>
      <c r="O350" t="b">
        <v>1</v>
      </c>
      <c r="P350">
        <v>119</v>
      </c>
      <c r="Q350" t="b">
        <v>1</v>
      </c>
      <c r="R350" t="s">
        <v>8269</v>
      </c>
      <c r="S350" s="6">
        <f>Table1[[#This Row],[pledged]]/Table1[[#This Row],[goal]]</f>
        <v>1.03</v>
      </c>
      <c r="T350" s="8">
        <f>IF(Table1[[#This Row],[pledged]]=0,"no backers",Table1[[#This Row],[pledged]]/Table1[[#This Row],[backers_count]])</f>
        <v>86.554621848739501</v>
      </c>
      <c r="U350" t="str">
        <f>LEFT(Table1[[#This Row],[Category and Sub-Category]],FIND("/",Table1[[#This Row],[Category and Sub-Category]])-1)</f>
        <v>film &amp; video</v>
      </c>
      <c r="V350" t="str">
        <f>RIGHT(Table1[[#This Row],[Category and Sub-Category]],LEN(Table1[[#This Row],[Category and Sub-Category]])-FIND("/",Table1[[#This Row],[Category and Sub-Category]]))</f>
        <v>documentary</v>
      </c>
    </row>
    <row r="351" spans="1:22" ht="43.2" x14ac:dyDescent="0.3">
      <c r="A351">
        <v>349</v>
      </c>
      <c r="B351" s="3" t="s">
        <v>350</v>
      </c>
      <c r="C351" s="3" t="s">
        <v>4459</v>
      </c>
      <c r="D351" s="12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>((Table1[[#This Row],[deadline]]/60)/60/24)+DATE(1970,1,1)</f>
        <v>42790.498935185184</v>
      </c>
      <c r="K351">
        <v>1485345508</v>
      </c>
      <c r="L351" s="11">
        <f>((Table1[[#This Row],[launched_at]]/60)/60/24)+DATE(1970,1,1)</f>
        <v>42760.498935185184</v>
      </c>
      <c r="M351">
        <f>MONTH(Table1[[#This Row],[Date Created Conversion]])</f>
        <v>1</v>
      </c>
      <c r="N351">
        <f>YEAR(Table1[[#This Row],[Date Created Conversion]])</f>
        <v>2017</v>
      </c>
      <c r="O351" t="b">
        <v>1</v>
      </c>
      <c r="P351">
        <v>167</v>
      </c>
      <c r="Q351" t="b">
        <v>1</v>
      </c>
      <c r="R351" t="s">
        <v>8269</v>
      </c>
      <c r="S351" s="6">
        <f>Table1[[#This Row],[pledged]]/Table1[[#This Row],[goal]]</f>
        <v>1.0663570159857905</v>
      </c>
      <c r="T351" s="8">
        <f>IF(Table1[[#This Row],[pledged]]=0,"no backers",Table1[[#This Row],[pledged]]/Table1[[#This Row],[backers_count]])</f>
        <v>71.899281437125751</v>
      </c>
      <c r="U351" t="str">
        <f>LEFT(Table1[[#This Row],[Category and Sub-Category]],FIND("/",Table1[[#This Row],[Category and Sub-Category]])-1)</f>
        <v>film &amp; video</v>
      </c>
      <c r="V351" t="str">
        <f>RIGHT(Table1[[#This Row],[Category and Sub-Category]],LEN(Table1[[#This Row],[Category and Sub-Category]])-FIND("/",Table1[[#This Row],[Category and Sub-Category]]))</f>
        <v>documentary</v>
      </c>
    </row>
    <row r="352" spans="1:22" ht="43.2" x14ac:dyDescent="0.3">
      <c r="A352">
        <v>350</v>
      </c>
      <c r="B352" s="3" t="s">
        <v>351</v>
      </c>
      <c r="C352" s="3" t="s">
        <v>4460</v>
      </c>
      <c r="D352" s="1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>((Table1[[#This Row],[deadline]]/60)/60/24)+DATE(1970,1,1)</f>
        <v>42624.165972222225</v>
      </c>
      <c r="K352">
        <v>1470274509</v>
      </c>
      <c r="L352" s="11">
        <f>((Table1[[#This Row],[launched_at]]/60)/60/24)+DATE(1970,1,1)</f>
        <v>42586.066076388888</v>
      </c>
      <c r="M352">
        <f>MONTH(Table1[[#This Row],[Date Created Conversion]])</f>
        <v>8</v>
      </c>
      <c r="N352">
        <f>YEAR(Table1[[#This Row],[Date Created Conversion]])</f>
        <v>2016</v>
      </c>
      <c r="O352" t="b">
        <v>1</v>
      </c>
      <c r="P352">
        <v>221</v>
      </c>
      <c r="Q352" t="b">
        <v>1</v>
      </c>
      <c r="R352" t="s">
        <v>8269</v>
      </c>
      <c r="S352" s="6">
        <f>Table1[[#This Row],[pledged]]/Table1[[#This Row],[goal]]</f>
        <v>1.1476</v>
      </c>
      <c r="T352" s="8">
        <f>IF(Table1[[#This Row],[pledged]]=0,"no backers",Table1[[#This Row],[pledged]]/Table1[[#This Row],[backers_count]])</f>
        <v>129.81900452488688</v>
      </c>
      <c r="U352" t="str">
        <f>LEFT(Table1[[#This Row],[Category and Sub-Category]],FIND("/",Table1[[#This Row],[Category and Sub-Category]])-1)</f>
        <v>film &amp; video</v>
      </c>
      <c r="V352" t="str">
        <f>RIGHT(Table1[[#This Row],[Category and Sub-Category]],LEN(Table1[[#This Row],[Category and Sub-Category]])-FIND("/",Table1[[#This Row],[Category and Sub-Category]]))</f>
        <v>documentary</v>
      </c>
    </row>
    <row r="353" spans="1:22" ht="43.2" x14ac:dyDescent="0.3">
      <c r="A353">
        <v>351</v>
      </c>
      <c r="B353" s="3" t="s">
        <v>352</v>
      </c>
      <c r="C353" s="3" t="s">
        <v>4461</v>
      </c>
      <c r="D353" s="12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>((Table1[[#This Row],[deadline]]/60)/60/24)+DATE(1970,1,1)</f>
        <v>42467.923078703709</v>
      </c>
      <c r="K353">
        <v>1456614554</v>
      </c>
      <c r="L353" s="11">
        <f>((Table1[[#This Row],[launched_at]]/60)/60/24)+DATE(1970,1,1)</f>
        <v>42427.964745370366</v>
      </c>
      <c r="M353">
        <f>MONTH(Table1[[#This Row],[Date Created Conversion]])</f>
        <v>2</v>
      </c>
      <c r="N353">
        <f>YEAR(Table1[[#This Row],[Date Created Conversion]])</f>
        <v>2016</v>
      </c>
      <c r="O353" t="b">
        <v>1</v>
      </c>
      <c r="P353">
        <v>964</v>
      </c>
      <c r="Q353" t="b">
        <v>1</v>
      </c>
      <c r="R353" t="s">
        <v>8269</v>
      </c>
      <c r="S353" s="6">
        <f>Table1[[#This Row],[pledged]]/Table1[[#This Row],[goal]]</f>
        <v>1.2734117647058822</v>
      </c>
      <c r="T353" s="8">
        <f>IF(Table1[[#This Row],[pledged]]=0,"no backers",Table1[[#This Row],[pledged]]/Table1[[#This Row],[backers_count]])</f>
        <v>44.912863070539416</v>
      </c>
      <c r="U353" t="str">
        <f>LEFT(Table1[[#This Row],[Category and Sub-Category]],FIND("/",Table1[[#This Row],[Category and Sub-Category]])-1)</f>
        <v>film &amp; video</v>
      </c>
      <c r="V353" t="str">
        <f>RIGHT(Table1[[#This Row],[Category and Sub-Category]],LEN(Table1[[#This Row],[Category and Sub-Category]])-FIND("/",Table1[[#This Row],[Category and Sub-Category]]))</f>
        <v>documentary</v>
      </c>
    </row>
    <row r="354" spans="1:22" ht="43.2" x14ac:dyDescent="0.3">
      <c r="A354">
        <v>352</v>
      </c>
      <c r="B354" s="3" t="s">
        <v>353</v>
      </c>
      <c r="C354" s="3" t="s">
        <v>4462</v>
      </c>
      <c r="D354" s="12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>((Table1[[#This Row],[deadline]]/60)/60/24)+DATE(1970,1,1)</f>
        <v>41920.167453703703</v>
      </c>
      <c r="K354">
        <v>1410148868</v>
      </c>
      <c r="L354" s="11">
        <f>((Table1[[#This Row],[launched_at]]/60)/60/24)+DATE(1970,1,1)</f>
        <v>41890.167453703703</v>
      </c>
      <c r="M354">
        <f>MONTH(Table1[[#This Row],[Date Created Conversion]])</f>
        <v>9</v>
      </c>
      <c r="N354">
        <f>YEAR(Table1[[#This Row],[Date Created Conversion]])</f>
        <v>2014</v>
      </c>
      <c r="O354" t="b">
        <v>1</v>
      </c>
      <c r="P354">
        <v>286</v>
      </c>
      <c r="Q354" t="b">
        <v>1</v>
      </c>
      <c r="R354" t="s">
        <v>8269</v>
      </c>
      <c r="S354" s="6">
        <f>Table1[[#This Row],[pledged]]/Table1[[#This Row],[goal]]</f>
        <v>1.1656</v>
      </c>
      <c r="T354" s="8">
        <f>IF(Table1[[#This Row],[pledged]]=0,"no backers",Table1[[#This Row],[pledged]]/Table1[[#This Row],[backers_count]])</f>
        <v>40.755244755244753</v>
      </c>
      <c r="U354" t="str">
        <f>LEFT(Table1[[#This Row],[Category and Sub-Category]],FIND("/",Table1[[#This Row],[Category and Sub-Category]])-1)</f>
        <v>film &amp; video</v>
      </c>
      <c r="V354" t="str">
        <f>RIGHT(Table1[[#This Row],[Category and Sub-Category]],LEN(Table1[[#This Row],[Category and Sub-Category]])-FIND("/",Table1[[#This Row],[Category and Sub-Category]]))</f>
        <v>documentary</v>
      </c>
    </row>
    <row r="355" spans="1:22" ht="43.2" x14ac:dyDescent="0.3">
      <c r="A355">
        <v>353</v>
      </c>
      <c r="B355" s="3" t="s">
        <v>354</v>
      </c>
      <c r="C355" s="3" t="s">
        <v>4463</v>
      </c>
      <c r="D355" s="12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>((Table1[[#This Row],[deadline]]/60)/60/24)+DATE(1970,1,1)</f>
        <v>42327.833553240736</v>
      </c>
      <c r="K355">
        <v>1445367619</v>
      </c>
      <c r="L355" s="11">
        <f>((Table1[[#This Row],[launched_at]]/60)/60/24)+DATE(1970,1,1)</f>
        <v>42297.791886574079</v>
      </c>
      <c r="M355">
        <f>MONTH(Table1[[#This Row],[Date Created Conversion]])</f>
        <v>10</v>
      </c>
      <c r="N355">
        <f>YEAR(Table1[[#This Row],[Date Created Conversion]])</f>
        <v>2015</v>
      </c>
      <c r="O355" t="b">
        <v>1</v>
      </c>
      <c r="P355">
        <v>613</v>
      </c>
      <c r="Q355" t="b">
        <v>1</v>
      </c>
      <c r="R355" t="s">
        <v>8269</v>
      </c>
      <c r="S355" s="6">
        <f>Table1[[#This Row],[pledged]]/Table1[[#This Row],[goal]]</f>
        <v>1.0861819426615318</v>
      </c>
      <c r="T355" s="8">
        <f>IF(Table1[[#This Row],[pledged]]=0,"no backers",Table1[[#This Row],[pledged]]/Table1[[#This Row],[backers_count]])</f>
        <v>103.52394779771615</v>
      </c>
      <c r="U355" t="str">
        <f>LEFT(Table1[[#This Row],[Category and Sub-Category]],FIND("/",Table1[[#This Row],[Category and Sub-Category]])-1)</f>
        <v>film &amp; video</v>
      </c>
      <c r="V355" t="str">
        <f>RIGHT(Table1[[#This Row],[Category and Sub-Category]],LEN(Table1[[#This Row],[Category and Sub-Category]])-FIND("/",Table1[[#This Row],[Category and Sub-Category]]))</f>
        <v>documentary</v>
      </c>
    </row>
    <row r="356" spans="1:22" ht="43.2" x14ac:dyDescent="0.3">
      <c r="A356">
        <v>354</v>
      </c>
      <c r="B356" s="3" t="s">
        <v>355</v>
      </c>
      <c r="C356" s="3" t="s">
        <v>4464</v>
      </c>
      <c r="D356" s="12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>((Table1[[#This Row],[deadline]]/60)/60/24)+DATE(1970,1,1)</f>
        <v>42468.786122685182</v>
      </c>
      <c r="K356">
        <v>1457553121</v>
      </c>
      <c r="L356" s="11">
        <f>((Table1[[#This Row],[launched_at]]/60)/60/24)+DATE(1970,1,1)</f>
        <v>42438.827789351853</v>
      </c>
      <c r="M356">
        <f>MONTH(Table1[[#This Row],[Date Created Conversion]])</f>
        <v>3</v>
      </c>
      <c r="N356">
        <f>YEAR(Table1[[#This Row],[Date Created Conversion]])</f>
        <v>2016</v>
      </c>
      <c r="O356" t="b">
        <v>1</v>
      </c>
      <c r="P356">
        <v>29</v>
      </c>
      <c r="Q356" t="b">
        <v>1</v>
      </c>
      <c r="R356" t="s">
        <v>8269</v>
      </c>
      <c r="S356" s="6">
        <f>Table1[[#This Row],[pledged]]/Table1[[#This Row],[goal]]</f>
        <v>1.0394285714285714</v>
      </c>
      <c r="T356" s="8">
        <f>IF(Table1[[#This Row],[pledged]]=0,"no backers",Table1[[#This Row],[pledged]]/Table1[[#This Row],[backers_count]])</f>
        <v>125.44827586206897</v>
      </c>
      <c r="U356" t="str">
        <f>LEFT(Table1[[#This Row],[Category and Sub-Category]],FIND("/",Table1[[#This Row],[Category and Sub-Category]])-1)</f>
        <v>film &amp; video</v>
      </c>
      <c r="V356" t="str">
        <f>RIGHT(Table1[[#This Row],[Category and Sub-Category]],LEN(Table1[[#This Row],[Category and Sub-Category]])-FIND("/",Table1[[#This Row],[Category and Sub-Category]]))</f>
        <v>documentary</v>
      </c>
    </row>
    <row r="357" spans="1:22" ht="43.2" x14ac:dyDescent="0.3">
      <c r="A357">
        <v>355</v>
      </c>
      <c r="B357" s="3" t="s">
        <v>356</v>
      </c>
      <c r="C357" s="3" t="s">
        <v>4465</v>
      </c>
      <c r="D357" s="12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>((Table1[[#This Row],[deadline]]/60)/60/24)+DATE(1970,1,1)</f>
        <v>41974.3355787037</v>
      </c>
      <c r="K357">
        <v>1414738994</v>
      </c>
      <c r="L357" s="11">
        <f>((Table1[[#This Row],[launched_at]]/60)/60/24)+DATE(1970,1,1)</f>
        <v>41943.293912037036</v>
      </c>
      <c r="M357">
        <f>MONTH(Table1[[#This Row],[Date Created Conversion]])</f>
        <v>10</v>
      </c>
      <c r="N357">
        <f>YEAR(Table1[[#This Row],[Date Created Conversion]])</f>
        <v>2014</v>
      </c>
      <c r="O357" t="b">
        <v>1</v>
      </c>
      <c r="P357">
        <v>165</v>
      </c>
      <c r="Q357" t="b">
        <v>1</v>
      </c>
      <c r="R357" t="s">
        <v>8269</v>
      </c>
      <c r="S357" s="6">
        <f>Table1[[#This Row],[pledged]]/Table1[[#This Row],[goal]]</f>
        <v>1.1625714285714286</v>
      </c>
      <c r="T357" s="8">
        <f>IF(Table1[[#This Row],[pledged]]=0,"no backers",Table1[[#This Row],[pledged]]/Table1[[#This Row],[backers_count]])</f>
        <v>246.60606060606059</v>
      </c>
      <c r="U357" t="str">
        <f>LEFT(Table1[[#This Row],[Category and Sub-Category]],FIND("/",Table1[[#This Row],[Category and Sub-Category]])-1)</f>
        <v>film &amp; video</v>
      </c>
      <c r="V357" t="str">
        <f>RIGHT(Table1[[#This Row],[Category and Sub-Category]],LEN(Table1[[#This Row],[Category and Sub-Category]])-FIND("/",Table1[[#This Row],[Category and Sub-Category]]))</f>
        <v>documentary</v>
      </c>
    </row>
    <row r="358" spans="1:22" ht="43.2" x14ac:dyDescent="0.3">
      <c r="A358">
        <v>356</v>
      </c>
      <c r="B358" s="3" t="s">
        <v>357</v>
      </c>
      <c r="C358" s="3" t="s">
        <v>4466</v>
      </c>
      <c r="D358" s="12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>((Table1[[#This Row],[deadline]]/60)/60/24)+DATE(1970,1,1)</f>
        <v>42445.761493055557</v>
      </c>
      <c r="K358">
        <v>1455563793</v>
      </c>
      <c r="L358" s="11">
        <f>((Table1[[#This Row],[launched_at]]/60)/60/24)+DATE(1970,1,1)</f>
        <v>42415.803159722222</v>
      </c>
      <c r="M358">
        <f>MONTH(Table1[[#This Row],[Date Created Conversion]])</f>
        <v>2</v>
      </c>
      <c r="N358">
        <f>YEAR(Table1[[#This Row],[Date Created Conversion]])</f>
        <v>2016</v>
      </c>
      <c r="O358" t="b">
        <v>1</v>
      </c>
      <c r="P358">
        <v>97</v>
      </c>
      <c r="Q358" t="b">
        <v>1</v>
      </c>
      <c r="R358" t="s">
        <v>8269</v>
      </c>
      <c r="S358" s="6">
        <f>Table1[[#This Row],[pledged]]/Table1[[#This Row],[goal]]</f>
        <v>1.0269239999999999</v>
      </c>
      <c r="T358" s="8">
        <f>IF(Table1[[#This Row],[pledged]]=0,"no backers",Table1[[#This Row],[pledged]]/Table1[[#This Row],[backers_count]])</f>
        <v>79.401340206185566</v>
      </c>
      <c r="U358" t="str">
        <f>LEFT(Table1[[#This Row],[Category and Sub-Category]],FIND("/",Table1[[#This Row],[Category and Sub-Category]])-1)</f>
        <v>film &amp; video</v>
      </c>
      <c r="V358" t="str">
        <f>RIGHT(Table1[[#This Row],[Category and Sub-Category]],LEN(Table1[[#This Row],[Category and Sub-Category]])-FIND("/",Table1[[#This Row],[Category and Sub-Category]]))</f>
        <v>documentary</v>
      </c>
    </row>
    <row r="359" spans="1:22" ht="43.2" x14ac:dyDescent="0.3">
      <c r="A359">
        <v>357</v>
      </c>
      <c r="B359" s="3" t="s">
        <v>358</v>
      </c>
      <c r="C359" s="3" t="s">
        <v>4467</v>
      </c>
      <c r="D359" s="12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>((Table1[[#This Row],[deadline]]/60)/60/24)+DATE(1970,1,1)</f>
        <v>42118.222187499996</v>
      </c>
      <c r="K359">
        <v>1426396797</v>
      </c>
      <c r="L359" s="11">
        <f>((Table1[[#This Row],[launched_at]]/60)/60/24)+DATE(1970,1,1)</f>
        <v>42078.222187499996</v>
      </c>
      <c r="M359">
        <f>MONTH(Table1[[#This Row],[Date Created Conversion]])</f>
        <v>3</v>
      </c>
      <c r="N359">
        <f>YEAR(Table1[[#This Row],[Date Created Conversion]])</f>
        <v>2015</v>
      </c>
      <c r="O359" t="b">
        <v>1</v>
      </c>
      <c r="P359">
        <v>303</v>
      </c>
      <c r="Q359" t="b">
        <v>1</v>
      </c>
      <c r="R359" t="s">
        <v>8269</v>
      </c>
      <c r="S359" s="6">
        <f>Table1[[#This Row],[pledged]]/Table1[[#This Row],[goal]]</f>
        <v>1.74</v>
      </c>
      <c r="T359" s="8">
        <f>IF(Table1[[#This Row],[pledged]]=0,"no backers",Table1[[#This Row],[pledged]]/Table1[[#This Row],[backers_count]])</f>
        <v>86.138613861386133</v>
      </c>
      <c r="U359" t="str">
        <f>LEFT(Table1[[#This Row],[Category and Sub-Category]],FIND("/",Table1[[#This Row],[Category and Sub-Category]])-1)</f>
        <v>film &amp; video</v>
      </c>
      <c r="V359" t="str">
        <f>RIGHT(Table1[[#This Row],[Category and Sub-Category]],LEN(Table1[[#This Row],[Category and Sub-Category]])-FIND("/",Table1[[#This Row],[Category and Sub-Category]]))</f>
        <v>documentary</v>
      </c>
    </row>
    <row r="360" spans="1:22" ht="43.2" x14ac:dyDescent="0.3">
      <c r="A360">
        <v>358</v>
      </c>
      <c r="B360" s="3" t="s">
        <v>359</v>
      </c>
      <c r="C360" s="3" t="s">
        <v>4468</v>
      </c>
      <c r="D360" s="12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>((Table1[[#This Row],[deadline]]/60)/60/24)+DATE(1970,1,1)</f>
        <v>42536.625</v>
      </c>
      <c r="K360">
        <v>1463517521</v>
      </c>
      <c r="L360" s="11">
        <f>((Table1[[#This Row],[launched_at]]/60)/60/24)+DATE(1970,1,1)</f>
        <v>42507.860196759255</v>
      </c>
      <c r="M360">
        <f>MONTH(Table1[[#This Row],[Date Created Conversion]])</f>
        <v>5</v>
      </c>
      <c r="N360">
        <f>YEAR(Table1[[#This Row],[Date Created Conversion]])</f>
        <v>2016</v>
      </c>
      <c r="O360" t="b">
        <v>1</v>
      </c>
      <c r="P360">
        <v>267</v>
      </c>
      <c r="Q360" t="b">
        <v>1</v>
      </c>
      <c r="R360" t="s">
        <v>8269</v>
      </c>
      <c r="S360" s="6">
        <f>Table1[[#This Row],[pledged]]/Table1[[#This Row],[goal]]</f>
        <v>1.03088</v>
      </c>
      <c r="T360" s="8">
        <f>IF(Table1[[#This Row],[pledged]]=0,"no backers",Table1[[#This Row],[pledged]]/Table1[[#This Row],[backers_count]])</f>
        <v>193.04868913857678</v>
      </c>
      <c r="U360" t="str">
        <f>LEFT(Table1[[#This Row],[Category and Sub-Category]],FIND("/",Table1[[#This Row],[Category and Sub-Category]])-1)</f>
        <v>film &amp; video</v>
      </c>
      <c r="V360" t="str">
        <f>RIGHT(Table1[[#This Row],[Category and Sub-Category]],LEN(Table1[[#This Row],[Category and Sub-Category]])-FIND("/",Table1[[#This Row],[Category and Sub-Category]]))</f>
        <v>documentary</v>
      </c>
    </row>
    <row r="361" spans="1:22" ht="43.2" x14ac:dyDescent="0.3">
      <c r="A361">
        <v>359</v>
      </c>
      <c r="B361" s="3" t="s">
        <v>360</v>
      </c>
      <c r="C361" s="3" t="s">
        <v>4469</v>
      </c>
      <c r="D361" s="12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>((Table1[[#This Row],[deadline]]/60)/60/24)+DATE(1970,1,1)</f>
        <v>41957.216666666667</v>
      </c>
      <c r="K361">
        <v>1414028490</v>
      </c>
      <c r="L361" s="11">
        <f>((Table1[[#This Row],[launched_at]]/60)/60/24)+DATE(1970,1,1)</f>
        <v>41935.070486111108</v>
      </c>
      <c r="M361">
        <f>MONTH(Table1[[#This Row],[Date Created Conversion]])</f>
        <v>10</v>
      </c>
      <c r="N361">
        <f>YEAR(Table1[[#This Row],[Date Created Conversion]])</f>
        <v>2014</v>
      </c>
      <c r="O361" t="b">
        <v>1</v>
      </c>
      <c r="P361">
        <v>302</v>
      </c>
      <c r="Q361" t="b">
        <v>1</v>
      </c>
      <c r="R361" t="s">
        <v>8269</v>
      </c>
      <c r="S361" s="6">
        <f>Table1[[#This Row],[pledged]]/Table1[[#This Row],[goal]]</f>
        <v>1.0485537190082646</v>
      </c>
      <c r="T361" s="8">
        <f>IF(Table1[[#This Row],[pledged]]=0,"no backers",Table1[[#This Row],[pledged]]/Table1[[#This Row],[backers_count]])</f>
        <v>84.023178807947019</v>
      </c>
      <c r="U361" t="str">
        <f>LEFT(Table1[[#This Row],[Category and Sub-Category]],FIND("/",Table1[[#This Row],[Category and Sub-Category]])-1)</f>
        <v>film &amp; video</v>
      </c>
      <c r="V361" t="str">
        <f>RIGHT(Table1[[#This Row],[Category and Sub-Category]],LEN(Table1[[#This Row],[Category and Sub-Category]])-FIND("/",Table1[[#This Row],[Category and Sub-Category]]))</f>
        <v>documentary</v>
      </c>
    </row>
    <row r="362" spans="1:22" ht="43.2" x14ac:dyDescent="0.3">
      <c r="A362">
        <v>360</v>
      </c>
      <c r="B362" s="3" t="s">
        <v>361</v>
      </c>
      <c r="C362" s="3" t="s">
        <v>4470</v>
      </c>
      <c r="D362" s="1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>((Table1[[#This Row],[deadline]]/60)/60/24)+DATE(1970,1,1)</f>
        <v>42208.132638888885</v>
      </c>
      <c r="K362">
        <v>1433799180</v>
      </c>
      <c r="L362" s="11">
        <f>((Table1[[#This Row],[launched_at]]/60)/60/24)+DATE(1970,1,1)</f>
        <v>42163.897916666669</v>
      </c>
      <c r="M362">
        <f>MONTH(Table1[[#This Row],[Date Created Conversion]])</f>
        <v>6</v>
      </c>
      <c r="N362">
        <f>YEAR(Table1[[#This Row],[Date Created Conversion]])</f>
        <v>2015</v>
      </c>
      <c r="O362" t="b">
        <v>0</v>
      </c>
      <c r="P362">
        <v>87</v>
      </c>
      <c r="Q362" t="b">
        <v>1</v>
      </c>
      <c r="R362" t="s">
        <v>8269</v>
      </c>
      <c r="S362" s="6">
        <f>Table1[[#This Row],[pledged]]/Table1[[#This Row],[goal]]</f>
        <v>1.0137499999999999</v>
      </c>
      <c r="T362" s="8">
        <f>IF(Table1[[#This Row],[pledged]]=0,"no backers",Table1[[#This Row],[pledged]]/Table1[[#This Row],[backers_count]])</f>
        <v>139.82758620689654</v>
      </c>
      <c r="U362" t="str">
        <f>LEFT(Table1[[#This Row],[Category and Sub-Category]],FIND("/",Table1[[#This Row],[Category and Sub-Category]])-1)</f>
        <v>film &amp; video</v>
      </c>
      <c r="V362" t="str">
        <f>RIGHT(Table1[[#This Row],[Category and Sub-Category]],LEN(Table1[[#This Row],[Category and Sub-Category]])-FIND("/",Table1[[#This Row],[Category and Sub-Category]]))</f>
        <v>documentary</v>
      </c>
    </row>
    <row r="363" spans="1:22" ht="43.2" x14ac:dyDescent="0.3">
      <c r="A363">
        <v>361</v>
      </c>
      <c r="B363" s="3" t="s">
        <v>362</v>
      </c>
      <c r="C363" s="3" t="s">
        <v>4471</v>
      </c>
      <c r="D363" s="12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>((Table1[[#This Row],[deadline]]/60)/60/24)+DATE(1970,1,1)</f>
        <v>41966.042893518519</v>
      </c>
      <c r="K363">
        <v>1414108906</v>
      </c>
      <c r="L363" s="11">
        <f>((Table1[[#This Row],[launched_at]]/60)/60/24)+DATE(1970,1,1)</f>
        <v>41936.001226851848</v>
      </c>
      <c r="M363">
        <f>MONTH(Table1[[#This Row],[Date Created Conversion]])</f>
        <v>10</v>
      </c>
      <c r="N363">
        <f>YEAR(Table1[[#This Row],[Date Created Conversion]])</f>
        <v>2014</v>
      </c>
      <c r="O363" t="b">
        <v>0</v>
      </c>
      <c r="P363">
        <v>354</v>
      </c>
      <c r="Q363" t="b">
        <v>1</v>
      </c>
      <c r="R363" t="s">
        <v>8269</v>
      </c>
      <c r="S363" s="6">
        <f>Table1[[#This Row],[pledged]]/Table1[[#This Row],[goal]]</f>
        <v>1.1107699999999998</v>
      </c>
      <c r="T363" s="8">
        <f>IF(Table1[[#This Row],[pledged]]=0,"no backers",Table1[[#This Row],[pledged]]/Table1[[#This Row],[backers_count]])</f>
        <v>109.82189265536722</v>
      </c>
      <c r="U363" t="str">
        <f>LEFT(Table1[[#This Row],[Category and Sub-Category]],FIND("/",Table1[[#This Row],[Category and Sub-Category]])-1)</f>
        <v>film &amp; video</v>
      </c>
      <c r="V363" t="str">
        <f>RIGHT(Table1[[#This Row],[Category and Sub-Category]],LEN(Table1[[#This Row],[Category and Sub-Category]])-FIND("/",Table1[[#This Row],[Category and Sub-Category]]))</f>
        <v>documentary</v>
      </c>
    </row>
    <row r="364" spans="1:22" ht="57.6" x14ac:dyDescent="0.3">
      <c r="A364">
        <v>362</v>
      </c>
      <c r="B364" s="3" t="s">
        <v>363</v>
      </c>
      <c r="C364" s="3" t="s">
        <v>4472</v>
      </c>
      <c r="D364" s="12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>((Table1[[#This Row],[deadline]]/60)/60/24)+DATE(1970,1,1)</f>
        <v>41859</v>
      </c>
      <c r="K364">
        <v>1405573391</v>
      </c>
      <c r="L364" s="11">
        <f>((Table1[[#This Row],[launched_at]]/60)/60/24)+DATE(1970,1,1)</f>
        <v>41837.210543981484</v>
      </c>
      <c r="M364">
        <f>MONTH(Table1[[#This Row],[Date Created Conversion]])</f>
        <v>7</v>
      </c>
      <c r="N364">
        <f>YEAR(Table1[[#This Row],[Date Created Conversion]])</f>
        <v>2014</v>
      </c>
      <c r="O364" t="b">
        <v>0</v>
      </c>
      <c r="P364">
        <v>86</v>
      </c>
      <c r="Q364" t="b">
        <v>1</v>
      </c>
      <c r="R364" t="s">
        <v>8269</v>
      </c>
      <c r="S364" s="6">
        <f>Table1[[#This Row],[pledged]]/Table1[[#This Row],[goal]]</f>
        <v>1.2415933781686497</v>
      </c>
      <c r="T364" s="8">
        <f>IF(Table1[[#This Row],[pledged]]=0,"no backers",Table1[[#This Row],[pledged]]/Table1[[#This Row],[backers_count]])</f>
        <v>139.53488372093022</v>
      </c>
      <c r="U364" t="str">
        <f>LEFT(Table1[[#This Row],[Category and Sub-Category]],FIND("/",Table1[[#This Row],[Category and Sub-Category]])-1)</f>
        <v>film &amp; video</v>
      </c>
      <c r="V364" t="str">
        <f>RIGHT(Table1[[#This Row],[Category and Sub-Category]],LEN(Table1[[#This Row],[Category and Sub-Category]])-FIND("/",Table1[[#This Row],[Category and Sub-Category]]))</f>
        <v>documentary</v>
      </c>
    </row>
    <row r="365" spans="1:22" ht="57.6" x14ac:dyDescent="0.3">
      <c r="A365">
        <v>363</v>
      </c>
      <c r="B365" s="3" t="s">
        <v>364</v>
      </c>
      <c r="C365" s="3" t="s">
        <v>4473</v>
      </c>
      <c r="D365" s="12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>((Table1[[#This Row],[deadline]]/60)/60/24)+DATE(1970,1,1)</f>
        <v>40300.806944444441</v>
      </c>
      <c r="K365">
        <v>1268934736</v>
      </c>
      <c r="L365" s="11">
        <f>((Table1[[#This Row],[launched_at]]/60)/60/24)+DATE(1970,1,1)</f>
        <v>40255.744629629626</v>
      </c>
      <c r="M365">
        <f>MONTH(Table1[[#This Row],[Date Created Conversion]])</f>
        <v>3</v>
      </c>
      <c r="N365">
        <f>YEAR(Table1[[#This Row],[Date Created Conversion]])</f>
        <v>2010</v>
      </c>
      <c r="O365" t="b">
        <v>0</v>
      </c>
      <c r="P365">
        <v>26</v>
      </c>
      <c r="Q365" t="b">
        <v>1</v>
      </c>
      <c r="R365" t="s">
        <v>8269</v>
      </c>
      <c r="S365" s="6">
        <f>Table1[[#This Row],[pledged]]/Table1[[#This Row],[goal]]</f>
        <v>1.0133333333333334</v>
      </c>
      <c r="T365" s="8">
        <f>IF(Table1[[#This Row],[pledged]]=0,"no backers",Table1[[#This Row],[pledged]]/Table1[[#This Row],[backers_count]])</f>
        <v>347.84615384615387</v>
      </c>
      <c r="U365" t="str">
        <f>LEFT(Table1[[#This Row],[Category and Sub-Category]],FIND("/",Table1[[#This Row],[Category and Sub-Category]])-1)</f>
        <v>film &amp; video</v>
      </c>
      <c r="V365" t="str">
        <f>RIGHT(Table1[[#This Row],[Category and Sub-Category]],LEN(Table1[[#This Row],[Category and Sub-Category]])-FIND("/",Table1[[#This Row],[Category and Sub-Category]]))</f>
        <v>documentary</v>
      </c>
    </row>
    <row r="366" spans="1:22" ht="43.2" x14ac:dyDescent="0.3">
      <c r="A366">
        <v>364</v>
      </c>
      <c r="B366" s="3" t="s">
        <v>365</v>
      </c>
      <c r="C366" s="3" t="s">
        <v>4474</v>
      </c>
      <c r="D366" s="12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>((Table1[[#This Row],[deadline]]/60)/60/24)+DATE(1970,1,1)</f>
        <v>41811.165972222225</v>
      </c>
      <c r="K366">
        <v>1400704672</v>
      </c>
      <c r="L366" s="11">
        <f>((Table1[[#This Row],[launched_at]]/60)/60/24)+DATE(1970,1,1)</f>
        <v>41780.859629629631</v>
      </c>
      <c r="M366">
        <f>MONTH(Table1[[#This Row],[Date Created Conversion]])</f>
        <v>5</v>
      </c>
      <c r="N366">
        <f>YEAR(Table1[[#This Row],[Date Created Conversion]])</f>
        <v>2014</v>
      </c>
      <c r="O366" t="b">
        <v>0</v>
      </c>
      <c r="P366">
        <v>113</v>
      </c>
      <c r="Q366" t="b">
        <v>1</v>
      </c>
      <c r="R366" t="s">
        <v>8269</v>
      </c>
      <c r="S366" s="6">
        <f>Table1[[#This Row],[pledged]]/Table1[[#This Row],[goal]]</f>
        <v>1.1016142857142857</v>
      </c>
      <c r="T366" s="8">
        <f>IF(Table1[[#This Row],[pledged]]=0,"no backers",Table1[[#This Row],[pledged]]/Table1[[#This Row],[backers_count]])</f>
        <v>68.24159292035398</v>
      </c>
      <c r="U366" t="str">
        <f>LEFT(Table1[[#This Row],[Category and Sub-Category]],FIND("/",Table1[[#This Row],[Category and Sub-Category]])-1)</f>
        <v>film &amp; video</v>
      </c>
      <c r="V366" t="str">
        <f>RIGHT(Table1[[#This Row],[Category and Sub-Category]],LEN(Table1[[#This Row],[Category and Sub-Category]])-FIND("/",Table1[[#This Row],[Category and Sub-Category]]))</f>
        <v>documentary</v>
      </c>
    </row>
    <row r="367" spans="1:22" ht="43.2" x14ac:dyDescent="0.3">
      <c r="A367">
        <v>365</v>
      </c>
      <c r="B367" s="3" t="s">
        <v>366</v>
      </c>
      <c r="C367" s="3" t="s">
        <v>4475</v>
      </c>
      <c r="D367" s="12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>((Table1[[#This Row],[deadline]]/60)/60/24)+DATE(1970,1,1)</f>
        <v>41698.606469907405</v>
      </c>
      <c r="K367">
        <v>1391005999</v>
      </c>
      <c r="L367" s="11">
        <f>((Table1[[#This Row],[launched_at]]/60)/60/24)+DATE(1970,1,1)</f>
        <v>41668.606469907405</v>
      </c>
      <c r="M367">
        <f>MONTH(Table1[[#This Row],[Date Created Conversion]])</f>
        <v>1</v>
      </c>
      <c r="N367">
        <f>YEAR(Table1[[#This Row],[Date Created Conversion]])</f>
        <v>2014</v>
      </c>
      <c r="O367" t="b">
        <v>0</v>
      </c>
      <c r="P367">
        <v>65</v>
      </c>
      <c r="Q367" t="b">
        <v>1</v>
      </c>
      <c r="R367" t="s">
        <v>8269</v>
      </c>
      <c r="S367" s="6">
        <f>Table1[[#This Row],[pledged]]/Table1[[#This Row],[goal]]</f>
        <v>1.0397333333333334</v>
      </c>
      <c r="T367" s="8">
        <f>IF(Table1[[#This Row],[pledged]]=0,"no backers",Table1[[#This Row],[pledged]]/Table1[[#This Row],[backers_count]])</f>
        <v>239.93846153846152</v>
      </c>
      <c r="U367" t="str">
        <f>LEFT(Table1[[#This Row],[Category and Sub-Category]],FIND("/",Table1[[#This Row],[Category and Sub-Category]])-1)</f>
        <v>film &amp; video</v>
      </c>
      <c r="V367" t="str">
        <f>RIGHT(Table1[[#This Row],[Category and Sub-Category]],LEN(Table1[[#This Row],[Category and Sub-Category]])-FIND("/",Table1[[#This Row],[Category and Sub-Category]]))</f>
        <v>documentary</v>
      </c>
    </row>
    <row r="368" spans="1:22" ht="43.2" x14ac:dyDescent="0.3">
      <c r="A368">
        <v>366</v>
      </c>
      <c r="B368" s="3" t="s">
        <v>367</v>
      </c>
      <c r="C368" s="3" t="s">
        <v>4476</v>
      </c>
      <c r="D368" s="12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>((Table1[[#This Row],[deadline]]/60)/60/24)+DATE(1970,1,1)</f>
        <v>41049.793032407404</v>
      </c>
      <c r="K368">
        <v>1334948518</v>
      </c>
      <c r="L368" s="11">
        <f>((Table1[[#This Row],[launched_at]]/60)/60/24)+DATE(1970,1,1)</f>
        <v>41019.793032407404</v>
      </c>
      <c r="M368">
        <f>MONTH(Table1[[#This Row],[Date Created Conversion]])</f>
        <v>4</v>
      </c>
      <c r="N368">
        <f>YEAR(Table1[[#This Row],[Date Created Conversion]])</f>
        <v>2012</v>
      </c>
      <c r="O368" t="b">
        <v>0</v>
      </c>
      <c r="P368">
        <v>134</v>
      </c>
      <c r="Q368" t="b">
        <v>1</v>
      </c>
      <c r="R368" t="s">
        <v>8269</v>
      </c>
      <c r="S368" s="6">
        <f>Table1[[#This Row],[pledged]]/Table1[[#This Row],[goal]]</f>
        <v>1.013157894736842</v>
      </c>
      <c r="T368" s="8">
        <f>IF(Table1[[#This Row],[pledged]]=0,"no backers",Table1[[#This Row],[pledged]]/Table1[[#This Row],[backers_count]])</f>
        <v>287.31343283582089</v>
      </c>
      <c r="U368" t="str">
        <f>LEFT(Table1[[#This Row],[Category and Sub-Category]],FIND("/",Table1[[#This Row],[Category and Sub-Category]])-1)</f>
        <v>film &amp; video</v>
      </c>
      <c r="V368" t="str">
        <f>RIGHT(Table1[[#This Row],[Category and Sub-Category]],LEN(Table1[[#This Row],[Category and Sub-Category]])-FIND("/",Table1[[#This Row],[Category and Sub-Category]]))</f>
        <v>documentary</v>
      </c>
    </row>
    <row r="369" spans="1:22" ht="43.2" x14ac:dyDescent="0.3">
      <c r="A369">
        <v>367</v>
      </c>
      <c r="B369" s="3" t="s">
        <v>368</v>
      </c>
      <c r="C369" s="3" t="s">
        <v>4477</v>
      </c>
      <c r="D369" s="12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>((Table1[[#This Row],[deadline]]/60)/60/24)+DATE(1970,1,1)</f>
        <v>41395.207638888889</v>
      </c>
      <c r="K369">
        <v>1363960278</v>
      </c>
      <c r="L369" s="11">
        <f>((Table1[[#This Row],[launched_at]]/60)/60/24)+DATE(1970,1,1)</f>
        <v>41355.577291666668</v>
      </c>
      <c r="M369">
        <f>MONTH(Table1[[#This Row],[Date Created Conversion]])</f>
        <v>3</v>
      </c>
      <c r="N369">
        <f>YEAR(Table1[[#This Row],[Date Created Conversion]])</f>
        <v>2013</v>
      </c>
      <c r="O369" t="b">
        <v>0</v>
      </c>
      <c r="P369">
        <v>119</v>
      </c>
      <c r="Q369" t="b">
        <v>1</v>
      </c>
      <c r="R369" t="s">
        <v>8269</v>
      </c>
      <c r="S369" s="6">
        <f>Table1[[#This Row],[pledged]]/Table1[[#This Row],[goal]]</f>
        <v>1.033501</v>
      </c>
      <c r="T369" s="8">
        <f>IF(Table1[[#This Row],[pledged]]=0,"no backers",Table1[[#This Row],[pledged]]/Table1[[#This Row],[backers_count]])</f>
        <v>86.84882352941176</v>
      </c>
      <c r="U369" t="str">
        <f>LEFT(Table1[[#This Row],[Category and Sub-Category]],FIND("/",Table1[[#This Row],[Category and Sub-Category]])-1)</f>
        <v>film &amp; video</v>
      </c>
      <c r="V369" t="str">
        <f>RIGHT(Table1[[#This Row],[Category and Sub-Category]],LEN(Table1[[#This Row],[Category and Sub-Category]])-FIND("/",Table1[[#This Row],[Category and Sub-Category]]))</f>
        <v>documentary</v>
      </c>
    </row>
    <row r="370" spans="1:22" ht="43.2" x14ac:dyDescent="0.3">
      <c r="A370">
        <v>368</v>
      </c>
      <c r="B370" s="3" t="s">
        <v>369</v>
      </c>
      <c r="C370" s="3" t="s">
        <v>4478</v>
      </c>
      <c r="D370" s="12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>((Table1[[#This Row],[deadline]]/60)/60/24)+DATE(1970,1,1)</f>
        <v>42078.563912037032</v>
      </c>
      <c r="K370">
        <v>1423405922</v>
      </c>
      <c r="L370" s="11">
        <f>((Table1[[#This Row],[launched_at]]/60)/60/24)+DATE(1970,1,1)</f>
        <v>42043.605578703704</v>
      </c>
      <c r="M370">
        <f>MONTH(Table1[[#This Row],[Date Created Conversion]])</f>
        <v>2</v>
      </c>
      <c r="N370">
        <f>YEAR(Table1[[#This Row],[Date Created Conversion]])</f>
        <v>2015</v>
      </c>
      <c r="O370" t="b">
        <v>0</v>
      </c>
      <c r="P370">
        <v>159</v>
      </c>
      <c r="Q370" t="b">
        <v>1</v>
      </c>
      <c r="R370" t="s">
        <v>8269</v>
      </c>
      <c r="S370" s="6">
        <f>Table1[[#This Row],[pledged]]/Table1[[#This Row],[goal]]</f>
        <v>1.04112</v>
      </c>
      <c r="T370" s="8">
        <f>IF(Table1[[#This Row],[pledged]]=0,"no backers",Table1[[#This Row],[pledged]]/Table1[[#This Row],[backers_count]])</f>
        <v>81.84905660377359</v>
      </c>
      <c r="U370" t="str">
        <f>LEFT(Table1[[#This Row],[Category and Sub-Category]],FIND("/",Table1[[#This Row],[Category and Sub-Category]])-1)</f>
        <v>film &amp; video</v>
      </c>
      <c r="V370" t="str">
        <f>RIGHT(Table1[[#This Row],[Category and Sub-Category]],LEN(Table1[[#This Row],[Category and Sub-Category]])-FIND("/",Table1[[#This Row],[Category and Sub-Category]]))</f>
        <v>documentary</v>
      </c>
    </row>
    <row r="371" spans="1:22" ht="43.2" x14ac:dyDescent="0.3">
      <c r="A371">
        <v>369</v>
      </c>
      <c r="B371" s="3" t="s">
        <v>370</v>
      </c>
      <c r="C371" s="3" t="s">
        <v>4479</v>
      </c>
      <c r="D371" s="12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>((Table1[[#This Row],[deadline]]/60)/60/24)+DATE(1970,1,1)</f>
        <v>40923.551724537036</v>
      </c>
      <c r="K371">
        <v>1324041269</v>
      </c>
      <c r="L371" s="11">
        <f>((Table1[[#This Row],[launched_at]]/60)/60/24)+DATE(1970,1,1)</f>
        <v>40893.551724537036</v>
      </c>
      <c r="M371">
        <f>MONTH(Table1[[#This Row],[Date Created Conversion]])</f>
        <v>12</v>
      </c>
      <c r="N371">
        <f>YEAR(Table1[[#This Row],[Date Created Conversion]])</f>
        <v>2011</v>
      </c>
      <c r="O371" t="b">
        <v>0</v>
      </c>
      <c r="P371">
        <v>167</v>
      </c>
      <c r="Q371" t="b">
        <v>1</v>
      </c>
      <c r="R371" t="s">
        <v>8269</v>
      </c>
      <c r="S371" s="6">
        <f>Table1[[#This Row],[pledged]]/Table1[[#This Row],[goal]]</f>
        <v>1.1015569230769231</v>
      </c>
      <c r="T371" s="8">
        <f>IF(Table1[[#This Row],[pledged]]=0,"no backers",Table1[[#This Row],[pledged]]/Table1[[#This Row],[backers_count]])</f>
        <v>42.874970059880241</v>
      </c>
      <c r="U371" t="str">
        <f>LEFT(Table1[[#This Row],[Category and Sub-Category]],FIND("/",Table1[[#This Row],[Category and Sub-Category]])-1)</f>
        <v>film &amp; video</v>
      </c>
      <c r="V371" t="str">
        <f>RIGHT(Table1[[#This Row],[Category and Sub-Category]],LEN(Table1[[#This Row],[Category and Sub-Category]])-FIND("/",Table1[[#This Row],[Category and Sub-Category]]))</f>
        <v>documentary</v>
      </c>
    </row>
    <row r="372" spans="1:22" ht="43.2" x14ac:dyDescent="0.3">
      <c r="A372">
        <v>370</v>
      </c>
      <c r="B372" s="3" t="s">
        <v>371</v>
      </c>
      <c r="C372" s="3" t="s">
        <v>4480</v>
      </c>
      <c r="D372" s="1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>((Table1[[#This Row],[deadline]]/60)/60/24)+DATE(1970,1,1)</f>
        <v>42741.795138888891</v>
      </c>
      <c r="K372">
        <v>1481137500</v>
      </c>
      <c r="L372" s="11">
        <f>((Table1[[#This Row],[launched_at]]/60)/60/24)+DATE(1970,1,1)</f>
        <v>42711.795138888891</v>
      </c>
      <c r="M372">
        <f>MONTH(Table1[[#This Row],[Date Created Conversion]])</f>
        <v>12</v>
      </c>
      <c r="N372">
        <f>YEAR(Table1[[#This Row],[Date Created Conversion]])</f>
        <v>2016</v>
      </c>
      <c r="O372" t="b">
        <v>0</v>
      </c>
      <c r="P372">
        <v>43</v>
      </c>
      <c r="Q372" t="b">
        <v>1</v>
      </c>
      <c r="R372" t="s">
        <v>8269</v>
      </c>
      <c r="S372" s="6">
        <f>Table1[[#This Row],[pledged]]/Table1[[#This Row],[goal]]</f>
        <v>1.2202</v>
      </c>
      <c r="T372" s="8">
        <f>IF(Table1[[#This Row],[pledged]]=0,"no backers",Table1[[#This Row],[pledged]]/Table1[[#This Row],[backers_count]])</f>
        <v>709.41860465116281</v>
      </c>
      <c r="U372" t="str">
        <f>LEFT(Table1[[#This Row],[Category and Sub-Category]],FIND("/",Table1[[#This Row],[Category and Sub-Category]])-1)</f>
        <v>film &amp; video</v>
      </c>
      <c r="V372" t="str">
        <f>RIGHT(Table1[[#This Row],[Category and Sub-Category]],LEN(Table1[[#This Row],[Category and Sub-Category]])-FIND("/",Table1[[#This Row],[Category and Sub-Category]]))</f>
        <v>documentary</v>
      </c>
    </row>
    <row r="373" spans="1:22" ht="43.2" x14ac:dyDescent="0.3">
      <c r="A373">
        <v>371</v>
      </c>
      <c r="B373" s="3" t="s">
        <v>372</v>
      </c>
      <c r="C373" s="3" t="s">
        <v>4481</v>
      </c>
      <c r="D373" s="12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>((Table1[[#This Row],[deadline]]/60)/60/24)+DATE(1970,1,1)</f>
        <v>41306.767812500002</v>
      </c>
      <c r="K373">
        <v>1355855139</v>
      </c>
      <c r="L373" s="11">
        <f>((Table1[[#This Row],[launched_at]]/60)/60/24)+DATE(1970,1,1)</f>
        <v>41261.767812500002</v>
      </c>
      <c r="M373">
        <f>MONTH(Table1[[#This Row],[Date Created Conversion]])</f>
        <v>12</v>
      </c>
      <c r="N373">
        <f>YEAR(Table1[[#This Row],[Date Created Conversion]])</f>
        <v>2012</v>
      </c>
      <c r="O373" t="b">
        <v>0</v>
      </c>
      <c r="P373">
        <v>1062</v>
      </c>
      <c r="Q373" t="b">
        <v>1</v>
      </c>
      <c r="R373" t="s">
        <v>8269</v>
      </c>
      <c r="S373" s="6">
        <f>Table1[[#This Row],[pledged]]/Table1[[#This Row],[goal]]</f>
        <v>1.1416866666666667</v>
      </c>
      <c r="T373" s="8">
        <f>IF(Table1[[#This Row],[pledged]]=0,"no backers",Table1[[#This Row],[pledged]]/Table1[[#This Row],[backers_count]])</f>
        <v>161.25517890772127</v>
      </c>
      <c r="U373" t="str">
        <f>LEFT(Table1[[#This Row],[Category and Sub-Category]],FIND("/",Table1[[#This Row],[Category and Sub-Category]])-1)</f>
        <v>film &amp; video</v>
      </c>
      <c r="V373" t="str">
        <f>RIGHT(Table1[[#This Row],[Category and Sub-Category]],LEN(Table1[[#This Row],[Category and Sub-Category]])-FIND("/",Table1[[#This Row],[Category and Sub-Category]]))</f>
        <v>documentary</v>
      </c>
    </row>
    <row r="374" spans="1:22" ht="28.8" x14ac:dyDescent="0.3">
      <c r="A374">
        <v>372</v>
      </c>
      <c r="B374" s="3" t="s">
        <v>373</v>
      </c>
      <c r="C374" s="3" t="s">
        <v>4482</v>
      </c>
      <c r="D374" s="12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>((Table1[[#This Row],[deadline]]/60)/60/24)+DATE(1970,1,1)</f>
        <v>42465.666666666672</v>
      </c>
      <c r="K374">
        <v>1456408244</v>
      </c>
      <c r="L374" s="11">
        <f>((Table1[[#This Row],[launched_at]]/60)/60/24)+DATE(1970,1,1)</f>
        <v>42425.576898148152</v>
      </c>
      <c r="M374">
        <f>MONTH(Table1[[#This Row],[Date Created Conversion]])</f>
        <v>2</v>
      </c>
      <c r="N374">
        <f>YEAR(Table1[[#This Row],[Date Created Conversion]])</f>
        <v>2016</v>
      </c>
      <c r="O374" t="b">
        <v>0</v>
      </c>
      <c r="P374">
        <v>9</v>
      </c>
      <c r="Q374" t="b">
        <v>1</v>
      </c>
      <c r="R374" t="s">
        <v>8269</v>
      </c>
      <c r="S374" s="6">
        <f>Table1[[#This Row],[pledged]]/Table1[[#This Row],[goal]]</f>
        <v>1.2533333333333334</v>
      </c>
      <c r="T374" s="8">
        <f>IF(Table1[[#This Row],[pledged]]=0,"no backers",Table1[[#This Row],[pledged]]/Table1[[#This Row],[backers_count]])</f>
        <v>41.777777777777779</v>
      </c>
      <c r="U374" t="str">
        <f>LEFT(Table1[[#This Row],[Category and Sub-Category]],FIND("/",Table1[[#This Row],[Category and Sub-Category]])-1)</f>
        <v>film &amp; video</v>
      </c>
      <c r="V374" t="str">
        <f>RIGHT(Table1[[#This Row],[Category and Sub-Category]],LEN(Table1[[#This Row],[Category and Sub-Category]])-FIND("/",Table1[[#This Row],[Category and Sub-Category]]))</f>
        <v>documentary</v>
      </c>
    </row>
    <row r="375" spans="1:22" ht="43.2" x14ac:dyDescent="0.3">
      <c r="A375">
        <v>373</v>
      </c>
      <c r="B375" s="3" t="s">
        <v>374</v>
      </c>
      <c r="C375" s="3" t="s">
        <v>4483</v>
      </c>
      <c r="D375" s="12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>((Table1[[#This Row],[deadline]]/60)/60/24)+DATE(1970,1,1)</f>
        <v>41108.91201388889</v>
      </c>
      <c r="K375">
        <v>1340056398</v>
      </c>
      <c r="L375" s="11">
        <f>((Table1[[#This Row],[launched_at]]/60)/60/24)+DATE(1970,1,1)</f>
        <v>41078.91201388889</v>
      </c>
      <c r="M375">
        <f>MONTH(Table1[[#This Row],[Date Created Conversion]])</f>
        <v>6</v>
      </c>
      <c r="N375">
        <f>YEAR(Table1[[#This Row],[Date Created Conversion]])</f>
        <v>2012</v>
      </c>
      <c r="O375" t="b">
        <v>0</v>
      </c>
      <c r="P375">
        <v>89</v>
      </c>
      <c r="Q375" t="b">
        <v>1</v>
      </c>
      <c r="R375" t="s">
        <v>8269</v>
      </c>
      <c r="S375" s="6">
        <f>Table1[[#This Row],[pledged]]/Table1[[#This Row],[goal]]</f>
        <v>1.0666666666666667</v>
      </c>
      <c r="T375" s="8">
        <f>IF(Table1[[#This Row],[pledged]]=0,"no backers",Table1[[#This Row],[pledged]]/Table1[[#This Row],[backers_count]])</f>
        <v>89.887640449438209</v>
      </c>
      <c r="U375" t="str">
        <f>LEFT(Table1[[#This Row],[Category and Sub-Category]],FIND("/",Table1[[#This Row],[Category and Sub-Category]])-1)</f>
        <v>film &amp; video</v>
      </c>
      <c r="V375" t="str">
        <f>RIGHT(Table1[[#This Row],[Category and Sub-Category]],LEN(Table1[[#This Row],[Category and Sub-Category]])-FIND("/",Table1[[#This Row],[Category and Sub-Category]]))</f>
        <v>documentary</v>
      </c>
    </row>
    <row r="376" spans="1:22" ht="43.2" x14ac:dyDescent="0.3">
      <c r="A376">
        <v>374</v>
      </c>
      <c r="B376" s="3" t="s">
        <v>375</v>
      </c>
      <c r="C376" s="3" t="s">
        <v>4484</v>
      </c>
      <c r="D376" s="12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>((Table1[[#This Row],[deadline]]/60)/60/24)+DATE(1970,1,1)</f>
        <v>40802.889247685183</v>
      </c>
      <c r="K376">
        <v>1312320031</v>
      </c>
      <c r="L376" s="11">
        <f>((Table1[[#This Row],[launched_at]]/60)/60/24)+DATE(1970,1,1)</f>
        <v>40757.889247685183</v>
      </c>
      <c r="M376">
        <f>MONTH(Table1[[#This Row],[Date Created Conversion]])</f>
        <v>8</v>
      </c>
      <c r="N376">
        <f>YEAR(Table1[[#This Row],[Date Created Conversion]])</f>
        <v>2011</v>
      </c>
      <c r="O376" t="b">
        <v>0</v>
      </c>
      <c r="P376">
        <v>174</v>
      </c>
      <c r="Q376" t="b">
        <v>1</v>
      </c>
      <c r="R376" t="s">
        <v>8269</v>
      </c>
      <c r="S376" s="6">
        <f>Table1[[#This Row],[pledged]]/Table1[[#This Row],[goal]]</f>
        <v>1.3065</v>
      </c>
      <c r="T376" s="8">
        <f>IF(Table1[[#This Row],[pledged]]=0,"no backers",Table1[[#This Row],[pledged]]/Table1[[#This Row],[backers_count]])</f>
        <v>45.051724137931032</v>
      </c>
      <c r="U376" t="str">
        <f>LEFT(Table1[[#This Row],[Category and Sub-Category]],FIND("/",Table1[[#This Row],[Category and Sub-Category]])-1)</f>
        <v>film &amp; video</v>
      </c>
      <c r="V376" t="str">
        <f>RIGHT(Table1[[#This Row],[Category and Sub-Category]],LEN(Table1[[#This Row],[Category and Sub-Category]])-FIND("/",Table1[[#This Row],[Category and Sub-Category]]))</f>
        <v>documentary</v>
      </c>
    </row>
    <row r="377" spans="1:22" ht="43.2" x14ac:dyDescent="0.3">
      <c r="A377">
        <v>375</v>
      </c>
      <c r="B377" s="3" t="s">
        <v>376</v>
      </c>
      <c r="C377" s="3" t="s">
        <v>4485</v>
      </c>
      <c r="D377" s="12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>((Table1[[#This Row],[deadline]]/60)/60/24)+DATE(1970,1,1)</f>
        <v>41699.720833333333</v>
      </c>
      <c r="K377">
        <v>1390088311</v>
      </c>
      <c r="L377" s="11">
        <f>((Table1[[#This Row],[launched_at]]/60)/60/24)+DATE(1970,1,1)</f>
        <v>41657.985081018516</v>
      </c>
      <c r="M377">
        <f>MONTH(Table1[[#This Row],[Date Created Conversion]])</f>
        <v>1</v>
      </c>
      <c r="N377">
        <f>YEAR(Table1[[#This Row],[Date Created Conversion]])</f>
        <v>2014</v>
      </c>
      <c r="O377" t="b">
        <v>0</v>
      </c>
      <c r="P377">
        <v>14</v>
      </c>
      <c r="Q377" t="b">
        <v>1</v>
      </c>
      <c r="R377" t="s">
        <v>8269</v>
      </c>
      <c r="S377" s="6">
        <f>Table1[[#This Row],[pledged]]/Table1[[#This Row],[goal]]</f>
        <v>1.2</v>
      </c>
      <c r="T377" s="8">
        <f>IF(Table1[[#This Row],[pledged]]=0,"no backers",Table1[[#This Row],[pledged]]/Table1[[#This Row],[backers_count]])</f>
        <v>42.857142857142854</v>
      </c>
      <c r="U377" t="str">
        <f>LEFT(Table1[[#This Row],[Category and Sub-Category]],FIND("/",Table1[[#This Row],[Category and Sub-Category]])-1)</f>
        <v>film &amp; video</v>
      </c>
      <c r="V377" t="str">
        <f>RIGHT(Table1[[#This Row],[Category and Sub-Category]],LEN(Table1[[#This Row],[Category and Sub-Category]])-FIND("/",Table1[[#This Row],[Category and Sub-Category]]))</f>
        <v>documentary</v>
      </c>
    </row>
    <row r="378" spans="1:22" ht="43.2" x14ac:dyDescent="0.3">
      <c r="A378">
        <v>376</v>
      </c>
      <c r="B378" s="3" t="s">
        <v>377</v>
      </c>
      <c r="C378" s="3" t="s">
        <v>4486</v>
      </c>
      <c r="D378" s="12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>((Table1[[#This Row],[deadline]]/60)/60/24)+DATE(1970,1,1)</f>
        <v>42607.452731481477</v>
      </c>
      <c r="K378">
        <v>1469443916</v>
      </c>
      <c r="L378" s="11">
        <f>((Table1[[#This Row],[launched_at]]/60)/60/24)+DATE(1970,1,1)</f>
        <v>42576.452731481477</v>
      </c>
      <c r="M378">
        <f>MONTH(Table1[[#This Row],[Date Created Conversion]])</f>
        <v>7</v>
      </c>
      <c r="N378">
        <f>YEAR(Table1[[#This Row],[Date Created Conversion]])</f>
        <v>2016</v>
      </c>
      <c r="O378" t="b">
        <v>0</v>
      </c>
      <c r="P378">
        <v>48</v>
      </c>
      <c r="Q378" t="b">
        <v>1</v>
      </c>
      <c r="R378" t="s">
        <v>8269</v>
      </c>
      <c r="S378" s="6">
        <f>Table1[[#This Row],[pledged]]/Table1[[#This Row],[goal]]</f>
        <v>1.0595918367346939</v>
      </c>
      <c r="T378" s="8">
        <f>IF(Table1[[#This Row],[pledged]]=0,"no backers",Table1[[#This Row],[pledged]]/Table1[[#This Row],[backers_count]])</f>
        <v>54.083333333333336</v>
      </c>
      <c r="U378" t="str">
        <f>LEFT(Table1[[#This Row],[Category and Sub-Category]],FIND("/",Table1[[#This Row],[Category and Sub-Category]])-1)</f>
        <v>film &amp; video</v>
      </c>
      <c r="V378" t="str">
        <f>RIGHT(Table1[[#This Row],[Category and Sub-Category]],LEN(Table1[[#This Row],[Category and Sub-Category]])-FIND("/",Table1[[#This Row],[Category and Sub-Category]]))</f>
        <v>documentary</v>
      </c>
    </row>
    <row r="379" spans="1:22" ht="43.2" x14ac:dyDescent="0.3">
      <c r="A379">
        <v>377</v>
      </c>
      <c r="B379" s="3" t="s">
        <v>378</v>
      </c>
      <c r="C379" s="3" t="s">
        <v>4487</v>
      </c>
      <c r="D379" s="12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>((Table1[[#This Row],[deadline]]/60)/60/24)+DATE(1970,1,1)</f>
        <v>42322.292361111111</v>
      </c>
      <c r="K379">
        <v>1444888868</v>
      </c>
      <c r="L379" s="11">
        <f>((Table1[[#This Row],[launched_at]]/60)/60/24)+DATE(1970,1,1)</f>
        <v>42292.250787037032</v>
      </c>
      <c r="M379">
        <f>MONTH(Table1[[#This Row],[Date Created Conversion]])</f>
        <v>10</v>
      </c>
      <c r="N379">
        <f>YEAR(Table1[[#This Row],[Date Created Conversion]])</f>
        <v>2015</v>
      </c>
      <c r="O379" t="b">
        <v>0</v>
      </c>
      <c r="P379">
        <v>133</v>
      </c>
      <c r="Q379" t="b">
        <v>1</v>
      </c>
      <c r="R379" t="s">
        <v>8269</v>
      </c>
      <c r="S379" s="6">
        <f>Table1[[#This Row],[pledged]]/Table1[[#This Row],[goal]]</f>
        <v>1.1439999999999999</v>
      </c>
      <c r="T379" s="8">
        <f>IF(Table1[[#This Row],[pledged]]=0,"no backers",Table1[[#This Row],[pledged]]/Table1[[#This Row],[backers_count]])</f>
        <v>103.21804511278195</v>
      </c>
      <c r="U379" t="str">
        <f>LEFT(Table1[[#This Row],[Category and Sub-Category]],FIND("/",Table1[[#This Row],[Category and Sub-Category]])-1)</f>
        <v>film &amp; video</v>
      </c>
      <c r="V379" t="str">
        <f>RIGHT(Table1[[#This Row],[Category and Sub-Category]],LEN(Table1[[#This Row],[Category and Sub-Category]])-FIND("/",Table1[[#This Row],[Category and Sub-Category]]))</f>
        <v>documentary</v>
      </c>
    </row>
    <row r="380" spans="1:22" ht="57.6" x14ac:dyDescent="0.3">
      <c r="A380">
        <v>378</v>
      </c>
      <c r="B380" s="3" t="s">
        <v>379</v>
      </c>
      <c r="C380" s="3" t="s">
        <v>4488</v>
      </c>
      <c r="D380" s="12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>((Table1[[#This Row],[deadline]]/60)/60/24)+DATE(1970,1,1)</f>
        <v>42394.994444444441</v>
      </c>
      <c r="K380">
        <v>1451655808</v>
      </c>
      <c r="L380" s="11">
        <f>((Table1[[#This Row],[launched_at]]/60)/60/24)+DATE(1970,1,1)</f>
        <v>42370.571851851855</v>
      </c>
      <c r="M380">
        <f>MONTH(Table1[[#This Row],[Date Created Conversion]])</f>
        <v>1</v>
      </c>
      <c r="N380">
        <f>YEAR(Table1[[#This Row],[Date Created Conversion]])</f>
        <v>2016</v>
      </c>
      <c r="O380" t="b">
        <v>0</v>
      </c>
      <c r="P380">
        <v>83</v>
      </c>
      <c r="Q380" t="b">
        <v>1</v>
      </c>
      <c r="R380" t="s">
        <v>8269</v>
      </c>
      <c r="S380" s="6">
        <f>Table1[[#This Row],[pledged]]/Table1[[#This Row],[goal]]</f>
        <v>1.1176666666666666</v>
      </c>
      <c r="T380" s="8">
        <f>IF(Table1[[#This Row],[pledged]]=0,"no backers",Table1[[#This Row],[pledged]]/Table1[[#This Row],[backers_count]])</f>
        <v>40.397590361445786</v>
      </c>
      <c r="U380" t="str">
        <f>LEFT(Table1[[#This Row],[Category and Sub-Category]],FIND("/",Table1[[#This Row],[Category and Sub-Category]])-1)</f>
        <v>film &amp; video</v>
      </c>
      <c r="V380" t="str">
        <f>RIGHT(Table1[[#This Row],[Category and Sub-Category]],LEN(Table1[[#This Row],[Category and Sub-Category]])-FIND("/",Table1[[#This Row],[Category and Sub-Category]]))</f>
        <v>documentary</v>
      </c>
    </row>
    <row r="381" spans="1:22" ht="43.2" x14ac:dyDescent="0.3">
      <c r="A381">
        <v>379</v>
      </c>
      <c r="B381" s="3" t="s">
        <v>380</v>
      </c>
      <c r="C381" s="3" t="s">
        <v>4489</v>
      </c>
      <c r="D381" s="12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>((Table1[[#This Row],[deadline]]/60)/60/24)+DATE(1970,1,1)</f>
        <v>41032.688333333332</v>
      </c>
      <c r="K381">
        <v>1332174672</v>
      </c>
      <c r="L381" s="11">
        <f>((Table1[[#This Row],[launched_at]]/60)/60/24)+DATE(1970,1,1)</f>
        <v>40987.688333333332</v>
      </c>
      <c r="M381">
        <f>MONTH(Table1[[#This Row],[Date Created Conversion]])</f>
        <v>3</v>
      </c>
      <c r="N381">
        <f>YEAR(Table1[[#This Row],[Date Created Conversion]])</f>
        <v>2012</v>
      </c>
      <c r="O381" t="b">
        <v>0</v>
      </c>
      <c r="P381">
        <v>149</v>
      </c>
      <c r="Q381" t="b">
        <v>1</v>
      </c>
      <c r="R381" t="s">
        <v>8269</v>
      </c>
      <c r="S381" s="6">
        <f>Table1[[#This Row],[pledged]]/Table1[[#This Row],[goal]]</f>
        <v>1.1608000000000001</v>
      </c>
      <c r="T381" s="8">
        <f>IF(Table1[[#This Row],[pledged]]=0,"no backers",Table1[[#This Row],[pledged]]/Table1[[#This Row],[backers_count]])</f>
        <v>116.85906040268456</v>
      </c>
      <c r="U381" t="str">
        <f>LEFT(Table1[[#This Row],[Category and Sub-Category]],FIND("/",Table1[[#This Row],[Category and Sub-Category]])-1)</f>
        <v>film &amp; video</v>
      </c>
      <c r="V381" t="str">
        <f>RIGHT(Table1[[#This Row],[Category and Sub-Category]],LEN(Table1[[#This Row],[Category and Sub-Category]])-FIND("/",Table1[[#This Row],[Category and Sub-Category]]))</f>
        <v>documentary</v>
      </c>
    </row>
    <row r="382" spans="1:22" ht="57.6" x14ac:dyDescent="0.3">
      <c r="A382">
        <v>380</v>
      </c>
      <c r="B382" s="3" t="s">
        <v>381</v>
      </c>
      <c r="C382" s="3" t="s">
        <v>4490</v>
      </c>
      <c r="D382" s="1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>((Table1[[#This Row],[deadline]]/60)/60/24)+DATE(1970,1,1)</f>
        <v>42392.719814814816</v>
      </c>
      <c r="K382">
        <v>1451409392</v>
      </c>
      <c r="L382" s="11">
        <f>((Table1[[#This Row],[launched_at]]/60)/60/24)+DATE(1970,1,1)</f>
        <v>42367.719814814816</v>
      </c>
      <c r="M382">
        <f>MONTH(Table1[[#This Row],[Date Created Conversion]])</f>
        <v>12</v>
      </c>
      <c r="N382">
        <f>YEAR(Table1[[#This Row],[Date Created Conversion]])</f>
        <v>2015</v>
      </c>
      <c r="O382" t="b">
        <v>0</v>
      </c>
      <c r="P382">
        <v>49</v>
      </c>
      <c r="Q382" t="b">
        <v>1</v>
      </c>
      <c r="R382" t="s">
        <v>8269</v>
      </c>
      <c r="S382" s="6">
        <f>Table1[[#This Row],[pledged]]/Table1[[#This Row],[goal]]</f>
        <v>1.415</v>
      </c>
      <c r="T382" s="8">
        <f>IF(Table1[[#This Row],[pledged]]=0,"no backers",Table1[[#This Row],[pledged]]/Table1[[#This Row],[backers_count]])</f>
        <v>115.51020408163265</v>
      </c>
      <c r="U382" t="str">
        <f>LEFT(Table1[[#This Row],[Category and Sub-Category]],FIND("/",Table1[[#This Row],[Category and Sub-Category]])-1)</f>
        <v>film &amp; video</v>
      </c>
      <c r="V382" t="str">
        <f>RIGHT(Table1[[#This Row],[Category and Sub-Category]],LEN(Table1[[#This Row],[Category and Sub-Category]])-FIND("/",Table1[[#This Row],[Category and Sub-Category]]))</f>
        <v>documentary</v>
      </c>
    </row>
    <row r="383" spans="1:22" ht="43.2" x14ac:dyDescent="0.3">
      <c r="A383">
        <v>381</v>
      </c>
      <c r="B383" s="3" t="s">
        <v>382</v>
      </c>
      <c r="C383" s="3" t="s">
        <v>4491</v>
      </c>
      <c r="D383" s="12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>((Table1[[#This Row],[deadline]]/60)/60/24)+DATE(1970,1,1)</f>
        <v>41120.208333333336</v>
      </c>
      <c r="K383">
        <v>1340642717</v>
      </c>
      <c r="L383" s="11">
        <f>((Table1[[#This Row],[launched_at]]/60)/60/24)+DATE(1970,1,1)</f>
        <v>41085.698113425926</v>
      </c>
      <c r="M383">
        <f>MONTH(Table1[[#This Row],[Date Created Conversion]])</f>
        <v>6</v>
      </c>
      <c r="N383">
        <f>YEAR(Table1[[#This Row],[Date Created Conversion]])</f>
        <v>2012</v>
      </c>
      <c r="O383" t="b">
        <v>0</v>
      </c>
      <c r="P383">
        <v>251</v>
      </c>
      <c r="Q383" t="b">
        <v>1</v>
      </c>
      <c r="R383" t="s">
        <v>8269</v>
      </c>
      <c r="S383" s="6">
        <f>Table1[[#This Row],[pledged]]/Table1[[#This Row],[goal]]</f>
        <v>1.0472999999999999</v>
      </c>
      <c r="T383" s="8">
        <f>IF(Table1[[#This Row],[pledged]]=0,"no backers",Table1[[#This Row],[pledged]]/Table1[[#This Row],[backers_count]])</f>
        <v>104.31274900398407</v>
      </c>
      <c r="U383" t="str">
        <f>LEFT(Table1[[#This Row],[Category and Sub-Category]],FIND("/",Table1[[#This Row],[Category and Sub-Category]])-1)</f>
        <v>film &amp; video</v>
      </c>
      <c r="V383" t="str">
        <f>RIGHT(Table1[[#This Row],[Category and Sub-Category]],LEN(Table1[[#This Row],[Category and Sub-Category]])-FIND("/",Table1[[#This Row],[Category and Sub-Category]]))</f>
        <v>documentary</v>
      </c>
    </row>
    <row r="384" spans="1:22" ht="57.6" x14ac:dyDescent="0.3">
      <c r="A384">
        <v>382</v>
      </c>
      <c r="B384" s="3" t="s">
        <v>383</v>
      </c>
      <c r="C384" s="3" t="s">
        <v>4492</v>
      </c>
      <c r="D384" s="12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>((Table1[[#This Row],[deadline]]/60)/60/24)+DATE(1970,1,1)</f>
        <v>41158.709490740745</v>
      </c>
      <c r="K384">
        <v>1345741300</v>
      </c>
      <c r="L384" s="11">
        <f>((Table1[[#This Row],[launched_at]]/60)/60/24)+DATE(1970,1,1)</f>
        <v>41144.709490740745</v>
      </c>
      <c r="M384">
        <f>MONTH(Table1[[#This Row],[Date Created Conversion]])</f>
        <v>8</v>
      </c>
      <c r="N384">
        <f>YEAR(Table1[[#This Row],[Date Created Conversion]])</f>
        <v>2012</v>
      </c>
      <c r="O384" t="b">
        <v>0</v>
      </c>
      <c r="P384">
        <v>22</v>
      </c>
      <c r="Q384" t="b">
        <v>1</v>
      </c>
      <c r="R384" t="s">
        <v>8269</v>
      </c>
      <c r="S384" s="6">
        <f>Table1[[#This Row],[pledged]]/Table1[[#This Row],[goal]]</f>
        <v>2.5583333333333331</v>
      </c>
      <c r="T384" s="8">
        <f>IF(Table1[[#This Row],[pledged]]=0,"no backers",Table1[[#This Row],[pledged]]/Table1[[#This Row],[backers_count]])</f>
        <v>69.772727272727266</v>
      </c>
      <c r="U384" t="str">
        <f>LEFT(Table1[[#This Row],[Category and Sub-Category]],FIND("/",Table1[[#This Row],[Category and Sub-Category]])-1)</f>
        <v>film &amp; video</v>
      </c>
      <c r="V384" t="str">
        <f>RIGHT(Table1[[#This Row],[Category and Sub-Category]],LEN(Table1[[#This Row],[Category and Sub-Category]])-FIND("/",Table1[[#This Row],[Category and Sub-Category]]))</f>
        <v>documentary</v>
      </c>
    </row>
    <row r="385" spans="1:22" ht="43.2" x14ac:dyDescent="0.3">
      <c r="A385">
        <v>383</v>
      </c>
      <c r="B385" s="3" t="s">
        <v>384</v>
      </c>
      <c r="C385" s="3" t="s">
        <v>4493</v>
      </c>
      <c r="D385" s="12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>((Table1[[#This Row],[deadline]]/60)/60/24)+DATE(1970,1,1)</f>
        <v>41778.117581018516</v>
      </c>
      <c r="K385">
        <v>1398480559</v>
      </c>
      <c r="L385" s="11">
        <f>((Table1[[#This Row],[launched_at]]/60)/60/24)+DATE(1970,1,1)</f>
        <v>41755.117581018516</v>
      </c>
      <c r="M385">
        <f>MONTH(Table1[[#This Row],[Date Created Conversion]])</f>
        <v>4</v>
      </c>
      <c r="N385">
        <f>YEAR(Table1[[#This Row],[Date Created Conversion]])</f>
        <v>2014</v>
      </c>
      <c r="O385" t="b">
        <v>0</v>
      </c>
      <c r="P385">
        <v>48</v>
      </c>
      <c r="Q385" t="b">
        <v>1</v>
      </c>
      <c r="R385" t="s">
        <v>8269</v>
      </c>
      <c r="S385" s="6">
        <f>Table1[[#This Row],[pledged]]/Table1[[#This Row],[goal]]</f>
        <v>2.0670670670670672</v>
      </c>
      <c r="T385" s="8">
        <f>IF(Table1[[#This Row],[pledged]]=0,"no backers",Table1[[#This Row],[pledged]]/Table1[[#This Row],[backers_count]])</f>
        <v>43.020833333333336</v>
      </c>
      <c r="U385" t="str">
        <f>LEFT(Table1[[#This Row],[Category and Sub-Category]],FIND("/",Table1[[#This Row],[Category and Sub-Category]])-1)</f>
        <v>film &amp; video</v>
      </c>
      <c r="V385" t="str">
        <f>RIGHT(Table1[[#This Row],[Category and Sub-Category]],LEN(Table1[[#This Row],[Category and Sub-Category]])-FIND("/",Table1[[#This Row],[Category and Sub-Category]]))</f>
        <v>documentary</v>
      </c>
    </row>
    <row r="386" spans="1:22" ht="43.2" x14ac:dyDescent="0.3">
      <c r="A386">
        <v>384</v>
      </c>
      <c r="B386" s="3" t="s">
        <v>385</v>
      </c>
      <c r="C386" s="3" t="s">
        <v>4494</v>
      </c>
      <c r="D386" s="12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>((Table1[[#This Row],[deadline]]/60)/60/24)+DATE(1970,1,1)</f>
        <v>42010.781793981485</v>
      </c>
      <c r="K386">
        <v>1417977947</v>
      </c>
      <c r="L386" s="11">
        <f>((Table1[[#This Row],[launched_at]]/60)/60/24)+DATE(1970,1,1)</f>
        <v>41980.781793981485</v>
      </c>
      <c r="M386">
        <f>MONTH(Table1[[#This Row],[Date Created Conversion]])</f>
        <v>12</v>
      </c>
      <c r="N386">
        <f>YEAR(Table1[[#This Row],[Date Created Conversion]])</f>
        <v>2014</v>
      </c>
      <c r="O386" t="b">
        <v>0</v>
      </c>
      <c r="P386">
        <v>383</v>
      </c>
      <c r="Q386" t="b">
        <v>1</v>
      </c>
      <c r="R386" t="s">
        <v>8269</v>
      </c>
      <c r="S386" s="6">
        <f>Table1[[#This Row],[pledged]]/Table1[[#This Row],[goal]]</f>
        <v>1.1210500000000001</v>
      </c>
      <c r="T386" s="8">
        <f>IF(Table1[[#This Row],[pledged]]=0,"no backers",Table1[[#This Row],[pledged]]/Table1[[#This Row],[backers_count]])</f>
        <v>58.540469973890339</v>
      </c>
      <c r="U386" t="str">
        <f>LEFT(Table1[[#This Row],[Category and Sub-Category]],FIND("/",Table1[[#This Row],[Category and Sub-Category]])-1)</f>
        <v>film &amp; video</v>
      </c>
      <c r="V386" t="str">
        <f>RIGHT(Table1[[#This Row],[Category and Sub-Category]],LEN(Table1[[#This Row],[Category and Sub-Category]])-FIND("/",Table1[[#This Row],[Category and Sub-Category]]))</f>
        <v>documentary</v>
      </c>
    </row>
    <row r="387" spans="1:22" ht="43.2" x14ac:dyDescent="0.3">
      <c r="A387">
        <v>385</v>
      </c>
      <c r="B387" s="3" t="s">
        <v>386</v>
      </c>
      <c r="C387" s="3" t="s">
        <v>4495</v>
      </c>
      <c r="D387" s="12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>((Table1[[#This Row],[deadline]]/60)/60/24)+DATE(1970,1,1)</f>
        <v>41964.626168981486</v>
      </c>
      <c r="K387">
        <v>1413986501</v>
      </c>
      <c r="L387" s="11">
        <f>((Table1[[#This Row],[launched_at]]/60)/60/24)+DATE(1970,1,1)</f>
        <v>41934.584502314814</v>
      </c>
      <c r="M387">
        <f>MONTH(Table1[[#This Row],[Date Created Conversion]])</f>
        <v>10</v>
      </c>
      <c r="N387">
        <f>YEAR(Table1[[#This Row],[Date Created Conversion]])</f>
        <v>2014</v>
      </c>
      <c r="O387" t="b">
        <v>0</v>
      </c>
      <c r="P387">
        <v>237</v>
      </c>
      <c r="Q387" t="b">
        <v>1</v>
      </c>
      <c r="R387" t="s">
        <v>8269</v>
      </c>
      <c r="S387" s="6">
        <f>Table1[[#This Row],[pledged]]/Table1[[#This Row],[goal]]</f>
        <v>1.05982</v>
      </c>
      <c r="T387" s="8">
        <f>IF(Table1[[#This Row],[pledged]]=0,"no backers",Table1[[#This Row],[pledged]]/Table1[[#This Row],[backers_count]])</f>
        <v>111.79535864978902</v>
      </c>
      <c r="U387" t="str">
        <f>LEFT(Table1[[#This Row],[Category and Sub-Category]],FIND("/",Table1[[#This Row],[Category and Sub-Category]])-1)</f>
        <v>film &amp; video</v>
      </c>
      <c r="V387" t="str">
        <f>RIGHT(Table1[[#This Row],[Category and Sub-Category]],LEN(Table1[[#This Row],[Category and Sub-Category]])-FIND("/",Table1[[#This Row],[Category and Sub-Category]]))</f>
        <v>documentary</v>
      </c>
    </row>
    <row r="388" spans="1:22" ht="43.2" x14ac:dyDescent="0.3">
      <c r="A388">
        <v>386</v>
      </c>
      <c r="B388" s="3" t="s">
        <v>387</v>
      </c>
      <c r="C388" s="3" t="s">
        <v>4496</v>
      </c>
      <c r="D388" s="12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>((Table1[[#This Row],[deadline]]/60)/60/24)+DATE(1970,1,1)</f>
        <v>42226.951284722221</v>
      </c>
      <c r="K388">
        <v>1437950991</v>
      </c>
      <c r="L388" s="11">
        <f>((Table1[[#This Row],[launched_at]]/60)/60/24)+DATE(1970,1,1)</f>
        <v>42211.951284722221</v>
      </c>
      <c r="M388">
        <f>MONTH(Table1[[#This Row],[Date Created Conversion]])</f>
        <v>7</v>
      </c>
      <c r="N388">
        <f>YEAR(Table1[[#This Row],[Date Created Conversion]])</f>
        <v>2015</v>
      </c>
      <c r="O388" t="b">
        <v>0</v>
      </c>
      <c r="P388">
        <v>13</v>
      </c>
      <c r="Q388" t="b">
        <v>1</v>
      </c>
      <c r="R388" t="s">
        <v>8269</v>
      </c>
      <c r="S388" s="6">
        <f>Table1[[#This Row],[pledged]]/Table1[[#This Row],[goal]]</f>
        <v>1.0016666666666667</v>
      </c>
      <c r="T388" s="8">
        <f>IF(Table1[[#This Row],[pledged]]=0,"no backers",Table1[[#This Row],[pledged]]/Table1[[#This Row],[backers_count]])</f>
        <v>46.230769230769234</v>
      </c>
      <c r="U388" t="str">
        <f>LEFT(Table1[[#This Row],[Category and Sub-Category]],FIND("/",Table1[[#This Row],[Category and Sub-Category]])-1)</f>
        <v>film &amp; video</v>
      </c>
      <c r="V388" t="str">
        <f>RIGHT(Table1[[#This Row],[Category and Sub-Category]],LEN(Table1[[#This Row],[Category and Sub-Category]])-FIND("/",Table1[[#This Row],[Category and Sub-Category]]))</f>
        <v>documentary</v>
      </c>
    </row>
    <row r="389" spans="1:22" ht="57.6" x14ac:dyDescent="0.3">
      <c r="A389">
        <v>387</v>
      </c>
      <c r="B389" s="3" t="s">
        <v>388</v>
      </c>
      <c r="C389" s="3" t="s">
        <v>4497</v>
      </c>
      <c r="D389" s="12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>((Table1[[#This Row],[deadline]]/60)/60/24)+DATE(1970,1,1)</f>
        <v>42231.25</v>
      </c>
      <c r="K389">
        <v>1436976858</v>
      </c>
      <c r="L389" s="11">
        <f>((Table1[[#This Row],[launched_at]]/60)/60/24)+DATE(1970,1,1)</f>
        <v>42200.67659722222</v>
      </c>
      <c r="M389">
        <f>MONTH(Table1[[#This Row],[Date Created Conversion]])</f>
        <v>7</v>
      </c>
      <c r="N389">
        <f>YEAR(Table1[[#This Row],[Date Created Conversion]])</f>
        <v>2015</v>
      </c>
      <c r="O389" t="b">
        <v>0</v>
      </c>
      <c r="P389">
        <v>562</v>
      </c>
      <c r="Q389" t="b">
        <v>1</v>
      </c>
      <c r="R389" t="s">
        <v>8269</v>
      </c>
      <c r="S389" s="6">
        <f>Table1[[#This Row],[pledged]]/Table1[[#This Row],[goal]]</f>
        <v>2.1398947368421051</v>
      </c>
      <c r="T389" s="8">
        <f>IF(Table1[[#This Row],[pledged]]=0,"no backers",Table1[[#This Row],[pledged]]/Table1[[#This Row],[backers_count]])</f>
        <v>144.69039145907473</v>
      </c>
      <c r="U389" t="str">
        <f>LEFT(Table1[[#This Row],[Category and Sub-Category]],FIND("/",Table1[[#This Row],[Category and Sub-Category]])-1)</f>
        <v>film &amp; video</v>
      </c>
      <c r="V389" t="str">
        <f>RIGHT(Table1[[#This Row],[Category and Sub-Category]],LEN(Table1[[#This Row],[Category and Sub-Category]])-FIND("/",Table1[[#This Row],[Category and Sub-Category]]))</f>
        <v>documentary</v>
      </c>
    </row>
    <row r="390" spans="1:22" ht="43.2" x14ac:dyDescent="0.3">
      <c r="A390">
        <v>388</v>
      </c>
      <c r="B390" s="3" t="s">
        <v>389</v>
      </c>
      <c r="C390" s="3" t="s">
        <v>4498</v>
      </c>
      <c r="D390" s="12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>((Table1[[#This Row],[deadline]]/60)/60/24)+DATE(1970,1,1)</f>
        <v>42579.076157407413</v>
      </c>
      <c r="K390">
        <v>1467078580</v>
      </c>
      <c r="L390" s="11">
        <f>((Table1[[#This Row],[launched_at]]/60)/60/24)+DATE(1970,1,1)</f>
        <v>42549.076157407413</v>
      </c>
      <c r="M390">
        <f>MONTH(Table1[[#This Row],[Date Created Conversion]])</f>
        <v>6</v>
      </c>
      <c r="N390">
        <f>YEAR(Table1[[#This Row],[Date Created Conversion]])</f>
        <v>2016</v>
      </c>
      <c r="O390" t="b">
        <v>0</v>
      </c>
      <c r="P390">
        <v>71</v>
      </c>
      <c r="Q390" t="b">
        <v>1</v>
      </c>
      <c r="R390" t="s">
        <v>8269</v>
      </c>
      <c r="S390" s="6">
        <f>Table1[[#This Row],[pledged]]/Table1[[#This Row],[goal]]</f>
        <v>1.2616000000000001</v>
      </c>
      <c r="T390" s="8">
        <f>IF(Table1[[#This Row],[pledged]]=0,"no backers",Table1[[#This Row],[pledged]]/Table1[[#This Row],[backers_count]])</f>
        <v>88.845070422535215</v>
      </c>
      <c r="U390" t="str">
        <f>LEFT(Table1[[#This Row],[Category and Sub-Category]],FIND("/",Table1[[#This Row],[Category and Sub-Category]])-1)</f>
        <v>film &amp; video</v>
      </c>
      <c r="V390" t="str">
        <f>RIGHT(Table1[[#This Row],[Category and Sub-Category]],LEN(Table1[[#This Row],[Category and Sub-Category]])-FIND("/",Table1[[#This Row],[Category and Sub-Category]]))</f>
        <v>documentary</v>
      </c>
    </row>
    <row r="391" spans="1:22" ht="57.6" x14ac:dyDescent="0.3">
      <c r="A391">
        <v>389</v>
      </c>
      <c r="B391" s="3" t="s">
        <v>390</v>
      </c>
      <c r="C391" s="3" t="s">
        <v>4499</v>
      </c>
      <c r="D391" s="12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>((Table1[[#This Row],[deadline]]/60)/60/24)+DATE(1970,1,1)</f>
        <v>41705.957638888889</v>
      </c>
      <c r="K391">
        <v>1391477450</v>
      </c>
      <c r="L391" s="11">
        <f>((Table1[[#This Row],[launched_at]]/60)/60/24)+DATE(1970,1,1)</f>
        <v>41674.063078703701</v>
      </c>
      <c r="M391">
        <f>MONTH(Table1[[#This Row],[Date Created Conversion]])</f>
        <v>2</v>
      </c>
      <c r="N391">
        <f>YEAR(Table1[[#This Row],[Date Created Conversion]])</f>
        <v>2014</v>
      </c>
      <c r="O391" t="b">
        <v>0</v>
      </c>
      <c r="P391">
        <v>1510</v>
      </c>
      <c r="Q391" t="b">
        <v>1</v>
      </c>
      <c r="R391" t="s">
        <v>8269</v>
      </c>
      <c r="S391" s="6">
        <f>Table1[[#This Row],[pledged]]/Table1[[#This Row],[goal]]</f>
        <v>1.8153547058823529</v>
      </c>
      <c r="T391" s="8">
        <f>IF(Table1[[#This Row],[pledged]]=0,"no backers",Table1[[#This Row],[pledged]]/Table1[[#This Row],[backers_count]])</f>
        <v>81.75107284768211</v>
      </c>
      <c r="U391" t="str">
        <f>LEFT(Table1[[#This Row],[Category and Sub-Category]],FIND("/",Table1[[#This Row],[Category and Sub-Category]])-1)</f>
        <v>film &amp; video</v>
      </c>
      <c r="V391" t="str">
        <f>RIGHT(Table1[[#This Row],[Category and Sub-Category]],LEN(Table1[[#This Row],[Category and Sub-Category]])-FIND("/",Table1[[#This Row],[Category and Sub-Category]]))</f>
        <v>documentary</v>
      </c>
    </row>
    <row r="392" spans="1:22" ht="43.2" x14ac:dyDescent="0.3">
      <c r="A392">
        <v>390</v>
      </c>
      <c r="B392" s="3" t="s">
        <v>391</v>
      </c>
      <c r="C392" s="3" t="s">
        <v>4500</v>
      </c>
      <c r="D392" s="1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>((Table1[[#This Row],[deadline]]/60)/60/24)+DATE(1970,1,1)</f>
        <v>42132.036712962959</v>
      </c>
      <c r="K392">
        <v>1429318372</v>
      </c>
      <c r="L392" s="11">
        <f>((Table1[[#This Row],[launched_at]]/60)/60/24)+DATE(1970,1,1)</f>
        <v>42112.036712962959</v>
      </c>
      <c r="M392">
        <f>MONTH(Table1[[#This Row],[Date Created Conversion]])</f>
        <v>4</v>
      </c>
      <c r="N392">
        <f>YEAR(Table1[[#This Row],[Date Created Conversion]])</f>
        <v>2015</v>
      </c>
      <c r="O392" t="b">
        <v>0</v>
      </c>
      <c r="P392">
        <v>14</v>
      </c>
      <c r="Q392" t="b">
        <v>1</v>
      </c>
      <c r="R392" t="s">
        <v>8269</v>
      </c>
      <c r="S392" s="6">
        <f>Table1[[#This Row],[pledged]]/Table1[[#This Row],[goal]]</f>
        <v>1</v>
      </c>
      <c r="T392" s="8">
        <f>IF(Table1[[#This Row],[pledged]]=0,"no backers",Table1[[#This Row],[pledged]]/Table1[[#This Row],[backers_count]])</f>
        <v>71.428571428571431</v>
      </c>
      <c r="U392" t="str">
        <f>LEFT(Table1[[#This Row],[Category and Sub-Category]],FIND("/",Table1[[#This Row],[Category and Sub-Category]])-1)</f>
        <v>film &amp; video</v>
      </c>
      <c r="V392" t="str">
        <f>RIGHT(Table1[[#This Row],[Category and Sub-Category]],LEN(Table1[[#This Row],[Category and Sub-Category]])-FIND("/",Table1[[#This Row],[Category and Sub-Category]]))</f>
        <v>documentary</v>
      </c>
    </row>
    <row r="393" spans="1:22" ht="43.2" x14ac:dyDescent="0.3">
      <c r="A393">
        <v>391</v>
      </c>
      <c r="B393" s="3" t="s">
        <v>392</v>
      </c>
      <c r="C393" s="3" t="s">
        <v>4501</v>
      </c>
      <c r="D393" s="12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>((Table1[[#This Row],[deadline]]/60)/60/24)+DATE(1970,1,1)</f>
        <v>40895.040972222225</v>
      </c>
      <c r="K393">
        <v>1321578051</v>
      </c>
      <c r="L393" s="11">
        <f>((Table1[[#This Row],[launched_at]]/60)/60/24)+DATE(1970,1,1)</f>
        <v>40865.042256944449</v>
      </c>
      <c r="M393">
        <f>MONTH(Table1[[#This Row],[Date Created Conversion]])</f>
        <v>11</v>
      </c>
      <c r="N393">
        <f>YEAR(Table1[[#This Row],[Date Created Conversion]])</f>
        <v>2011</v>
      </c>
      <c r="O393" t="b">
        <v>0</v>
      </c>
      <c r="P393">
        <v>193</v>
      </c>
      <c r="Q393" t="b">
        <v>1</v>
      </c>
      <c r="R393" t="s">
        <v>8269</v>
      </c>
      <c r="S393" s="6">
        <f>Table1[[#This Row],[pledged]]/Table1[[#This Row],[goal]]</f>
        <v>1.0061</v>
      </c>
      <c r="T393" s="8">
        <f>IF(Table1[[#This Row],[pledged]]=0,"no backers",Table1[[#This Row],[pledged]]/Table1[[#This Row],[backers_count]])</f>
        <v>104.25906735751295</v>
      </c>
      <c r="U393" t="str">
        <f>LEFT(Table1[[#This Row],[Category and Sub-Category]],FIND("/",Table1[[#This Row],[Category and Sub-Category]])-1)</f>
        <v>film &amp; video</v>
      </c>
      <c r="V393" t="str">
        <f>RIGHT(Table1[[#This Row],[Category and Sub-Category]],LEN(Table1[[#This Row],[Category and Sub-Category]])-FIND("/",Table1[[#This Row],[Category and Sub-Category]]))</f>
        <v>documentary</v>
      </c>
    </row>
    <row r="394" spans="1:22" ht="43.2" x14ac:dyDescent="0.3">
      <c r="A394">
        <v>392</v>
      </c>
      <c r="B394" s="3" t="s">
        <v>393</v>
      </c>
      <c r="C394" s="3" t="s">
        <v>4502</v>
      </c>
      <c r="D394" s="12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>((Table1[[#This Row],[deadline]]/60)/60/24)+DATE(1970,1,1)</f>
        <v>40794.125</v>
      </c>
      <c r="K394">
        <v>1312823571</v>
      </c>
      <c r="L394" s="11">
        <f>((Table1[[#This Row],[launched_at]]/60)/60/24)+DATE(1970,1,1)</f>
        <v>40763.717256944445</v>
      </c>
      <c r="M394">
        <f>MONTH(Table1[[#This Row],[Date Created Conversion]])</f>
        <v>8</v>
      </c>
      <c r="N394">
        <f>YEAR(Table1[[#This Row],[Date Created Conversion]])</f>
        <v>2011</v>
      </c>
      <c r="O394" t="b">
        <v>0</v>
      </c>
      <c r="P394">
        <v>206</v>
      </c>
      <c r="Q394" t="b">
        <v>1</v>
      </c>
      <c r="R394" t="s">
        <v>8269</v>
      </c>
      <c r="S394" s="6">
        <f>Table1[[#This Row],[pledged]]/Table1[[#This Row],[goal]]</f>
        <v>1.009027027027027</v>
      </c>
      <c r="T394" s="8">
        <f>IF(Table1[[#This Row],[pledged]]=0,"no backers",Table1[[#This Row],[pledged]]/Table1[[#This Row],[backers_count]])</f>
        <v>90.616504854368927</v>
      </c>
      <c r="U394" t="str">
        <f>LEFT(Table1[[#This Row],[Category and Sub-Category]],FIND("/",Table1[[#This Row],[Category and Sub-Category]])-1)</f>
        <v>film &amp; video</v>
      </c>
      <c r="V394" t="str">
        <f>RIGHT(Table1[[#This Row],[Category and Sub-Category]],LEN(Table1[[#This Row],[Category and Sub-Category]])-FIND("/",Table1[[#This Row],[Category and Sub-Category]]))</f>
        <v>documentary</v>
      </c>
    </row>
    <row r="395" spans="1:22" ht="43.2" x14ac:dyDescent="0.3">
      <c r="A395">
        <v>393</v>
      </c>
      <c r="B395" s="3" t="s">
        <v>394</v>
      </c>
      <c r="C395" s="3" t="s">
        <v>4503</v>
      </c>
      <c r="D395" s="12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>((Table1[[#This Row],[deadline]]/60)/60/24)+DATE(1970,1,1)</f>
        <v>41557.708935185183</v>
      </c>
      <c r="K395">
        <v>1378746052</v>
      </c>
      <c r="L395" s="11">
        <f>((Table1[[#This Row],[launched_at]]/60)/60/24)+DATE(1970,1,1)</f>
        <v>41526.708935185183</v>
      </c>
      <c r="M395">
        <f>MONTH(Table1[[#This Row],[Date Created Conversion]])</f>
        <v>9</v>
      </c>
      <c r="N395">
        <f>YEAR(Table1[[#This Row],[Date Created Conversion]])</f>
        <v>2013</v>
      </c>
      <c r="O395" t="b">
        <v>0</v>
      </c>
      <c r="P395">
        <v>351</v>
      </c>
      <c r="Q395" t="b">
        <v>1</v>
      </c>
      <c r="R395" t="s">
        <v>8269</v>
      </c>
      <c r="S395" s="6">
        <f>Table1[[#This Row],[pledged]]/Table1[[#This Row],[goal]]</f>
        <v>1.10446</v>
      </c>
      <c r="T395" s="8">
        <f>IF(Table1[[#This Row],[pledged]]=0,"no backers",Table1[[#This Row],[pledged]]/Table1[[#This Row],[backers_count]])</f>
        <v>157.33048433048432</v>
      </c>
      <c r="U395" t="str">
        <f>LEFT(Table1[[#This Row],[Category and Sub-Category]],FIND("/",Table1[[#This Row],[Category and Sub-Category]])-1)</f>
        <v>film &amp; video</v>
      </c>
      <c r="V395" t="str">
        <f>RIGHT(Table1[[#This Row],[Category and Sub-Category]],LEN(Table1[[#This Row],[Category and Sub-Category]])-FIND("/",Table1[[#This Row],[Category and Sub-Category]]))</f>
        <v>documentary</v>
      </c>
    </row>
    <row r="396" spans="1:22" ht="43.2" x14ac:dyDescent="0.3">
      <c r="A396">
        <v>394</v>
      </c>
      <c r="B396" s="3" t="s">
        <v>395</v>
      </c>
      <c r="C396" s="3" t="s">
        <v>4504</v>
      </c>
      <c r="D396" s="12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>((Table1[[#This Row],[deadline]]/60)/60/24)+DATE(1970,1,1)</f>
        <v>42477.776412037041</v>
      </c>
      <c r="K396">
        <v>1455737882</v>
      </c>
      <c r="L396" s="11">
        <f>((Table1[[#This Row],[launched_at]]/60)/60/24)+DATE(1970,1,1)</f>
        <v>42417.818078703705</v>
      </c>
      <c r="M396">
        <f>MONTH(Table1[[#This Row],[Date Created Conversion]])</f>
        <v>2</v>
      </c>
      <c r="N396">
        <f>YEAR(Table1[[#This Row],[Date Created Conversion]])</f>
        <v>2016</v>
      </c>
      <c r="O396" t="b">
        <v>0</v>
      </c>
      <c r="P396">
        <v>50</v>
      </c>
      <c r="Q396" t="b">
        <v>1</v>
      </c>
      <c r="R396" t="s">
        <v>8269</v>
      </c>
      <c r="S396" s="6">
        <f>Table1[[#This Row],[pledged]]/Table1[[#This Row],[goal]]</f>
        <v>1.118936170212766</v>
      </c>
      <c r="T396" s="8">
        <f>IF(Table1[[#This Row],[pledged]]=0,"no backers",Table1[[#This Row],[pledged]]/Table1[[#This Row],[backers_count]])</f>
        <v>105.18</v>
      </c>
      <c r="U396" t="str">
        <f>LEFT(Table1[[#This Row],[Category and Sub-Category]],FIND("/",Table1[[#This Row],[Category and Sub-Category]])-1)</f>
        <v>film &amp; video</v>
      </c>
      <c r="V396" t="str">
        <f>RIGHT(Table1[[#This Row],[Category and Sub-Category]],LEN(Table1[[#This Row],[Category and Sub-Category]])-FIND("/",Table1[[#This Row],[Category and Sub-Category]]))</f>
        <v>documentary</v>
      </c>
    </row>
    <row r="397" spans="1:22" ht="43.2" x14ac:dyDescent="0.3">
      <c r="A397">
        <v>395</v>
      </c>
      <c r="B397" s="3" t="s">
        <v>396</v>
      </c>
      <c r="C397" s="3" t="s">
        <v>4505</v>
      </c>
      <c r="D397" s="12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>((Table1[[#This Row],[deadline]]/60)/60/24)+DATE(1970,1,1)</f>
        <v>41026.897222222222</v>
      </c>
      <c r="K397">
        <v>1332452960</v>
      </c>
      <c r="L397" s="11">
        <f>((Table1[[#This Row],[launched_at]]/60)/60/24)+DATE(1970,1,1)</f>
        <v>40990.909259259257</v>
      </c>
      <c r="M397">
        <f>MONTH(Table1[[#This Row],[Date Created Conversion]])</f>
        <v>3</v>
      </c>
      <c r="N397">
        <f>YEAR(Table1[[#This Row],[Date Created Conversion]])</f>
        <v>2012</v>
      </c>
      <c r="O397" t="b">
        <v>0</v>
      </c>
      <c r="P397">
        <v>184</v>
      </c>
      <c r="Q397" t="b">
        <v>1</v>
      </c>
      <c r="R397" t="s">
        <v>8269</v>
      </c>
      <c r="S397" s="6">
        <f>Table1[[#This Row],[pledged]]/Table1[[#This Row],[goal]]</f>
        <v>1.0804450000000001</v>
      </c>
      <c r="T397" s="8">
        <f>IF(Table1[[#This Row],[pledged]]=0,"no backers",Table1[[#This Row],[pledged]]/Table1[[#This Row],[backers_count]])</f>
        <v>58.719836956521746</v>
      </c>
      <c r="U397" t="str">
        <f>LEFT(Table1[[#This Row],[Category and Sub-Category]],FIND("/",Table1[[#This Row],[Category and Sub-Category]])-1)</f>
        <v>film &amp; video</v>
      </c>
      <c r="V397" t="str">
        <f>RIGHT(Table1[[#This Row],[Category and Sub-Category]],LEN(Table1[[#This Row],[Category and Sub-Category]])-FIND("/",Table1[[#This Row],[Category and Sub-Category]]))</f>
        <v>documentary</v>
      </c>
    </row>
    <row r="398" spans="1:22" ht="43.2" x14ac:dyDescent="0.3">
      <c r="A398">
        <v>396</v>
      </c>
      <c r="B398" s="3" t="s">
        <v>397</v>
      </c>
      <c r="C398" s="3" t="s">
        <v>4506</v>
      </c>
      <c r="D398" s="12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>((Table1[[#This Row],[deadline]]/60)/60/24)+DATE(1970,1,1)</f>
        <v>41097.564884259256</v>
      </c>
      <c r="K398">
        <v>1340372006</v>
      </c>
      <c r="L398" s="11">
        <f>((Table1[[#This Row],[launched_at]]/60)/60/24)+DATE(1970,1,1)</f>
        <v>41082.564884259256</v>
      </c>
      <c r="M398">
        <f>MONTH(Table1[[#This Row],[Date Created Conversion]])</f>
        <v>6</v>
      </c>
      <c r="N398">
        <f>YEAR(Table1[[#This Row],[Date Created Conversion]])</f>
        <v>2012</v>
      </c>
      <c r="O398" t="b">
        <v>0</v>
      </c>
      <c r="P398">
        <v>196</v>
      </c>
      <c r="Q398" t="b">
        <v>1</v>
      </c>
      <c r="R398" t="s">
        <v>8269</v>
      </c>
      <c r="S398" s="6">
        <f>Table1[[#This Row],[pledged]]/Table1[[#This Row],[goal]]</f>
        <v>1.0666666666666667</v>
      </c>
      <c r="T398" s="8">
        <f>IF(Table1[[#This Row],[pledged]]=0,"no backers",Table1[[#This Row],[pledged]]/Table1[[#This Row],[backers_count]])</f>
        <v>81.632653061224488</v>
      </c>
      <c r="U398" t="str">
        <f>LEFT(Table1[[#This Row],[Category and Sub-Category]],FIND("/",Table1[[#This Row],[Category and Sub-Category]])-1)</f>
        <v>film &amp; video</v>
      </c>
      <c r="V398" t="str">
        <f>RIGHT(Table1[[#This Row],[Category and Sub-Category]],LEN(Table1[[#This Row],[Category and Sub-Category]])-FIND("/",Table1[[#This Row],[Category and Sub-Category]]))</f>
        <v>documentary</v>
      </c>
    </row>
    <row r="399" spans="1:22" ht="57.6" x14ac:dyDescent="0.3">
      <c r="A399">
        <v>397</v>
      </c>
      <c r="B399" s="3" t="s">
        <v>398</v>
      </c>
      <c r="C399" s="3" t="s">
        <v>4507</v>
      </c>
      <c r="D399" s="12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>((Table1[[#This Row],[deadline]]/60)/60/24)+DATE(1970,1,1)</f>
        <v>40422.155555555553</v>
      </c>
      <c r="K399">
        <v>1279651084</v>
      </c>
      <c r="L399" s="11">
        <f>((Table1[[#This Row],[launched_at]]/60)/60/24)+DATE(1970,1,1)</f>
        <v>40379.776435185187</v>
      </c>
      <c r="M399">
        <f>MONTH(Table1[[#This Row],[Date Created Conversion]])</f>
        <v>7</v>
      </c>
      <c r="N399">
        <f>YEAR(Table1[[#This Row],[Date Created Conversion]])</f>
        <v>2010</v>
      </c>
      <c r="O399" t="b">
        <v>0</v>
      </c>
      <c r="P399">
        <v>229</v>
      </c>
      <c r="Q399" t="b">
        <v>1</v>
      </c>
      <c r="R399" t="s">
        <v>8269</v>
      </c>
      <c r="S399" s="6">
        <f>Table1[[#This Row],[pledged]]/Table1[[#This Row],[goal]]</f>
        <v>1.0390027322404372</v>
      </c>
      <c r="T399" s="8">
        <f>IF(Table1[[#This Row],[pledged]]=0,"no backers",Table1[[#This Row],[pledged]]/Table1[[#This Row],[backers_count]])</f>
        <v>56.460043668122275</v>
      </c>
      <c r="U399" t="str">
        <f>LEFT(Table1[[#This Row],[Category and Sub-Category]],FIND("/",Table1[[#This Row],[Category and Sub-Category]])-1)</f>
        <v>film &amp; video</v>
      </c>
      <c r="V399" t="str">
        <f>RIGHT(Table1[[#This Row],[Category and Sub-Category]],LEN(Table1[[#This Row],[Category and Sub-Category]])-FIND("/",Table1[[#This Row],[Category and Sub-Category]]))</f>
        <v>documentary</v>
      </c>
    </row>
    <row r="400" spans="1:22" ht="43.2" x14ac:dyDescent="0.3">
      <c r="A400">
        <v>398</v>
      </c>
      <c r="B400" s="3" t="s">
        <v>399</v>
      </c>
      <c r="C400" s="3" t="s">
        <v>4508</v>
      </c>
      <c r="D400" s="12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>((Table1[[#This Row],[deadline]]/60)/60/24)+DATE(1970,1,1)</f>
        <v>42123.793124999997</v>
      </c>
      <c r="K400">
        <v>1426446126</v>
      </c>
      <c r="L400" s="11">
        <f>((Table1[[#This Row],[launched_at]]/60)/60/24)+DATE(1970,1,1)</f>
        <v>42078.793124999997</v>
      </c>
      <c r="M400">
        <f>MONTH(Table1[[#This Row],[Date Created Conversion]])</f>
        <v>3</v>
      </c>
      <c r="N400">
        <f>YEAR(Table1[[#This Row],[Date Created Conversion]])</f>
        <v>2015</v>
      </c>
      <c r="O400" t="b">
        <v>0</v>
      </c>
      <c r="P400">
        <v>67</v>
      </c>
      <c r="Q400" t="b">
        <v>1</v>
      </c>
      <c r="R400" t="s">
        <v>8269</v>
      </c>
      <c r="S400" s="6">
        <f>Table1[[#This Row],[pledged]]/Table1[[#This Row],[goal]]</f>
        <v>1.2516</v>
      </c>
      <c r="T400" s="8">
        <f>IF(Table1[[#This Row],[pledged]]=0,"no backers",Table1[[#This Row],[pledged]]/Table1[[#This Row],[backers_count]])</f>
        <v>140.1044776119403</v>
      </c>
      <c r="U400" t="str">
        <f>LEFT(Table1[[#This Row],[Category and Sub-Category]],FIND("/",Table1[[#This Row],[Category and Sub-Category]])-1)</f>
        <v>film &amp; video</v>
      </c>
      <c r="V400" t="str">
        <f>RIGHT(Table1[[#This Row],[Category and Sub-Category]],LEN(Table1[[#This Row],[Category and Sub-Category]])-FIND("/",Table1[[#This Row],[Category and Sub-Category]]))</f>
        <v>documentary</v>
      </c>
    </row>
    <row r="401" spans="1:22" ht="43.2" x14ac:dyDescent="0.3">
      <c r="A401">
        <v>399</v>
      </c>
      <c r="B401" s="3" t="s">
        <v>400</v>
      </c>
      <c r="C401" s="3" t="s">
        <v>4509</v>
      </c>
      <c r="D401" s="12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>((Table1[[#This Row],[deadline]]/60)/60/24)+DATE(1970,1,1)</f>
        <v>42718.5</v>
      </c>
      <c r="K401">
        <v>1479070867</v>
      </c>
      <c r="L401" s="11">
        <f>((Table1[[#This Row],[launched_at]]/60)/60/24)+DATE(1970,1,1)</f>
        <v>42687.875775462962</v>
      </c>
      <c r="M401">
        <f>MONTH(Table1[[#This Row],[Date Created Conversion]])</f>
        <v>11</v>
      </c>
      <c r="N401">
        <f>YEAR(Table1[[#This Row],[Date Created Conversion]])</f>
        <v>2016</v>
      </c>
      <c r="O401" t="b">
        <v>0</v>
      </c>
      <c r="P401">
        <v>95</v>
      </c>
      <c r="Q401" t="b">
        <v>1</v>
      </c>
      <c r="R401" t="s">
        <v>8269</v>
      </c>
      <c r="S401" s="6">
        <f>Table1[[#This Row],[pledged]]/Table1[[#This Row],[goal]]</f>
        <v>1.0680499999999999</v>
      </c>
      <c r="T401" s="8">
        <f>IF(Table1[[#This Row],[pledged]]=0,"no backers",Table1[[#This Row],[pledged]]/Table1[[#This Row],[backers_count]])</f>
        <v>224.85263157894738</v>
      </c>
      <c r="U401" t="str">
        <f>LEFT(Table1[[#This Row],[Category and Sub-Category]],FIND("/",Table1[[#This Row],[Category and Sub-Category]])-1)</f>
        <v>film &amp; video</v>
      </c>
      <c r="V401" t="str">
        <f>RIGHT(Table1[[#This Row],[Category and Sub-Category]],LEN(Table1[[#This Row],[Category and Sub-Category]])-FIND("/",Table1[[#This Row],[Category and Sub-Category]]))</f>
        <v>documentary</v>
      </c>
    </row>
    <row r="402" spans="1:22" ht="43.2" x14ac:dyDescent="0.3">
      <c r="A402">
        <v>400</v>
      </c>
      <c r="B402" s="3" t="s">
        <v>401</v>
      </c>
      <c r="C402" s="3" t="s">
        <v>4510</v>
      </c>
      <c r="D402" s="1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>((Table1[[#This Row],[deadline]]/60)/60/24)+DATE(1970,1,1)</f>
        <v>41776.145833333336</v>
      </c>
      <c r="K402">
        <v>1397661347</v>
      </c>
      <c r="L402" s="11">
        <f>((Table1[[#This Row],[launched_at]]/60)/60/24)+DATE(1970,1,1)</f>
        <v>41745.635960648149</v>
      </c>
      <c r="M402">
        <f>MONTH(Table1[[#This Row],[Date Created Conversion]])</f>
        <v>4</v>
      </c>
      <c r="N402">
        <f>YEAR(Table1[[#This Row],[Date Created Conversion]])</f>
        <v>2014</v>
      </c>
      <c r="O402" t="b">
        <v>0</v>
      </c>
      <c r="P402">
        <v>62</v>
      </c>
      <c r="Q402" t="b">
        <v>1</v>
      </c>
      <c r="R402" t="s">
        <v>8269</v>
      </c>
      <c r="S402" s="6">
        <f>Table1[[#This Row],[pledged]]/Table1[[#This Row],[goal]]</f>
        <v>1.1230249999999999</v>
      </c>
      <c r="T402" s="8">
        <f>IF(Table1[[#This Row],[pledged]]=0,"no backers",Table1[[#This Row],[pledged]]/Table1[[#This Row],[backers_count]])</f>
        <v>181.13306451612902</v>
      </c>
      <c r="U402" t="str">
        <f>LEFT(Table1[[#This Row],[Category and Sub-Category]],FIND("/",Table1[[#This Row],[Category and Sub-Category]])-1)</f>
        <v>film &amp; video</v>
      </c>
      <c r="V402" t="str">
        <f>RIGHT(Table1[[#This Row],[Category and Sub-Category]],LEN(Table1[[#This Row],[Category and Sub-Category]])-FIND("/",Table1[[#This Row],[Category and Sub-Category]]))</f>
        <v>documentary</v>
      </c>
    </row>
    <row r="403" spans="1:22" ht="43.2" x14ac:dyDescent="0.3">
      <c r="A403">
        <v>401</v>
      </c>
      <c r="B403" s="3" t="s">
        <v>402</v>
      </c>
      <c r="C403" s="3" t="s">
        <v>4511</v>
      </c>
      <c r="D403" s="12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>((Table1[[#This Row],[deadline]]/60)/60/24)+DATE(1970,1,1)</f>
        <v>40762.842245370368</v>
      </c>
      <c r="K403">
        <v>1310155970</v>
      </c>
      <c r="L403" s="11">
        <f>((Table1[[#This Row],[launched_at]]/60)/60/24)+DATE(1970,1,1)</f>
        <v>40732.842245370368</v>
      </c>
      <c r="M403">
        <f>MONTH(Table1[[#This Row],[Date Created Conversion]])</f>
        <v>7</v>
      </c>
      <c r="N403">
        <f>YEAR(Table1[[#This Row],[Date Created Conversion]])</f>
        <v>2011</v>
      </c>
      <c r="O403" t="b">
        <v>0</v>
      </c>
      <c r="P403">
        <v>73</v>
      </c>
      <c r="Q403" t="b">
        <v>1</v>
      </c>
      <c r="R403" t="s">
        <v>8269</v>
      </c>
      <c r="S403" s="6">
        <f>Table1[[#This Row],[pledged]]/Table1[[#This Row],[goal]]</f>
        <v>1.0381199999999999</v>
      </c>
      <c r="T403" s="8">
        <f>IF(Table1[[#This Row],[pledged]]=0,"no backers",Table1[[#This Row],[pledged]]/Table1[[#This Row],[backers_count]])</f>
        <v>711.04109589041093</v>
      </c>
      <c r="U403" t="str">
        <f>LEFT(Table1[[#This Row],[Category and Sub-Category]],FIND("/",Table1[[#This Row],[Category and Sub-Category]])-1)</f>
        <v>film &amp; video</v>
      </c>
      <c r="V403" t="str">
        <f>RIGHT(Table1[[#This Row],[Category and Sub-Category]],LEN(Table1[[#This Row],[Category and Sub-Category]])-FIND("/",Table1[[#This Row],[Category and Sub-Category]]))</f>
        <v>documentary</v>
      </c>
    </row>
    <row r="404" spans="1:22" ht="43.2" x14ac:dyDescent="0.3">
      <c r="A404">
        <v>402</v>
      </c>
      <c r="B404" s="3" t="s">
        <v>403</v>
      </c>
      <c r="C404" s="3" t="s">
        <v>4512</v>
      </c>
      <c r="D404" s="12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>((Table1[[#This Row],[deadline]]/60)/60/24)+DATE(1970,1,1)</f>
        <v>42313.58121527778</v>
      </c>
      <c r="K404">
        <v>1444913817</v>
      </c>
      <c r="L404" s="11">
        <f>((Table1[[#This Row],[launched_at]]/60)/60/24)+DATE(1970,1,1)</f>
        <v>42292.539548611108</v>
      </c>
      <c r="M404">
        <f>MONTH(Table1[[#This Row],[Date Created Conversion]])</f>
        <v>10</v>
      </c>
      <c r="N404">
        <f>YEAR(Table1[[#This Row],[Date Created Conversion]])</f>
        <v>2015</v>
      </c>
      <c r="O404" t="b">
        <v>0</v>
      </c>
      <c r="P404">
        <v>43</v>
      </c>
      <c r="Q404" t="b">
        <v>1</v>
      </c>
      <c r="R404" t="s">
        <v>8269</v>
      </c>
      <c r="S404" s="6">
        <f>Table1[[#This Row],[pledged]]/Table1[[#This Row],[goal]]</f>
        <v>1.4165000000000001</v>
      </c>
      <c r="T404" s="8">
        <f>IF(Table1[[#This Row],[pledged]]=0,"no backers",Table1[[#This Row],[pledged]]/Table1[[#This Row],[backers_count]])</f>
        <v>65.883720930232556</v>
      </c>
      <c r="U404" t="str">
        <f>LEFT(Table1[[#This Row],[Category and Sub-Category]],FIND("/",Table1[[#This Row],[Category and Sub-Category]])-1)</f>
        <v>film &amp; video</v>
      </c>
      <c r="V404" t="str">
        <f>RIGHT(Table1[[#This Row],[Category and Sub-Category]],LEN(Table1[[#This Row],[Category and Sub-Category]])-FIND("/",Table1[[#This Row],[Category and Sub-Category]]))</f>
        <v>documentary</v>
      </c>
    </row>
    <row r="405" spans="1:22" ht="43.2" x14ac:dyDescent="0.3">
      <c r="A405">
        <v>403</v>
      </c>
      <c r="B405" s="3" t="s">
        <v>404</v>
      </c>
      <c r="C405" s="3" t="s">
        <v>4513</v>
      </c>
      <c r="D405" s="12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>((Table1[[#This Row],[deadline]]/60)/60/24)+DATE(1970,1,1)</f>
        <v>40765.297222222223</v>
      </c>
      <c r="K405">
        <v>1308900441</v>
      </c>
      <c r="L405" s="11">
        <f>((Table1[[#This Row],[launched_at]]/60)/60/24)+DATE(1970,1,1)</f>
        <v>40718.310659722221</v>
      </c>
      <c r="M405">
        <f>MONTH(Table1[[#This Row],[Date Created Conversion]])</f>
        <v>6</v>
      </c>
      <c r="N405">
        <f>YEAR(Table1[[#This Row],[Date Created Conversion]])</f>
        <v>2011</v>
      </c>
      <c r="O405" t="b">
        <v>0</v>
      </c>
      <c r="P405">
        <v>70</v>
      </c>
      <c r="Q405" t="b">
        <v>1</v>
      </c>
      <c r="R405" t="s">
        <v>8269</v>
      </c>
      <c r="S405" s="6">
        <f>Table1[[#This Row],[pledged]]/Table1[[#This Row],[goal]]</f>
        <v>1.0526</v>
      </c>
      <c r="T405" s="8">
        <f>IF(Table1[[#This Row],[pledged]]=0,"no backers",Table1[[#This Row],[pledged]]/Table1[[#This Row],[backers_count]])</f>
        <v>75.185714285714283</v>
      </c>
      <c r="U405" t="str">
        <f>LEFT(Table1[[#This Row],[Category and Sub-Category]],FIND("/",Table1[[#This Row],[Category and Sub-Category]])-1)</f>
        <v>film &amp; video</v>
      </c>
      <c r="V405" t="str">
        <f>RIGHT(Table1[[#This Row],[Category and Sub-Category]],LEN(Table1[[#This Row],[Category and Sub-Category]])-FIND("/",Table1[[#This Row],[Category and Sub-Category]]))</f>
        <v>documentary</v>
      </c>
    </row>
    <row r="406" spans="1:22" ht="43.2" x14ac:dyDescent="0.3">
      <c r="A406">
        <v>404</v>
      </c>
      <c r="B406" s="3" t="s">
        <v>405</v>
      </c>
      <c r="C406" s="3" t="s">
        <v>4514</v>
      </c>
      <c r="D406" s="12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>((Table1[[#This Row],[deadline]]/60)/60/24)+DATE(1970,1,1)</f>
        <v>41675.961111111108</v>
      </c>
      <c r="K406">
        <v>1389107062</v>
      </c>
      <c r="L406" s="11">
        <f>((Table1[[#This Row],[launched_at]]/60)/60/24)+DATE(1970,1,1)</f>
        <v>41646.628032407411</v>
      </c>
      <c r="M406">
        <f>MONTH(Table1[[#This Row],[Date Created Conversion]])</f>
        <v>1</v>
      </c>
      <c r="N406">
        <f>YEAR(Table1[[#This Row],[Date Created Conversion]])</f>
        <v>2014</v>
      </c>
      <c r="O406" t="b">
        <v>0</v>
      </c>
      <c r="P406">
        <v>271</v>
      </c>
      <c r="Q406" t="b">
        <v>1</v>
      </c>
      <c r="R406" t="s">
        <v>8269</v>
      </c>
      <c r="S406" s="6">
        <f>Table1[[#This Row],[pledged]]/Table1[[#This Row],[goal]]</f>
        <v>1.0309142857142857</v>
      </c>
      <c r="T406" s="8">
        <f>IF(Table1[[#This Row],[pledged]]=0,"no backers",Table1[[#This Row],[pledged]]/Table1[[#This Row],[backers_count]])</f>
        <v>133.14391143911439</v>
      </c>
      <c r="U406" t="str">
        <f>LEFT(Table1[[#This Row],[Category and Sub-Category]],FIND("/",Table1[[#This Row],[Category and Sub-Category]])-1)</f>
        <v>film &amp; video</v>
      </c>
      <c r="V406" t="str">
        <f>RIGHT(Table1[[#This Row],[Category and Sub-Category]],LEN(Table1[[#This Row],[Category and Sub-Category]])-FIND("/",Table1[[#This Row],[Category and Sub-Category]]))</f>
        <v>documentary</v>
      </c>
    </row>
    <row r="407" spans="1:22" ht="28.8" x14ac:dyDescent="0.3">
      <c r="A407">
        <v>405</v>
      </c>
      <c r="B407" s="3" t="s">
        <v>406</v>
      </c>
      <c r="C407" s="3" t="s">
        <v>4515</v>
      </c>
      <c r="D407" s="12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>((Table1[[#This Row],[deadline]]/60)/60/24)+DATE(1970,1,1)</f>
        <v>41704.08494212963</v>
      </c>
      <c r="K407">
        <v>1391479339</v>
      </c>
      <c r="L407" s="11">
        <f>((Table1[[#This Row],[launched_at]]/60)/60/24)+DATE(1970,1,1)</f>
        <v>41674.08494212963</v>
      </c>
      <c r="M407">
        <f>MONTH(Table1[[#This Row],[Date Created Conversion]])</f>
        <v>2</v>
      </c>
      <c r="N407">
        <f>YEAR(Table1[[#This Row],[Date Created Conversion]])</f>
        <v>2014</v>
      </c>
      <c r="O407" t="b">
        <v>0</v>
      </c>
      <c r="P407">
        <v>55</v>
      </c>
      <c r="Q407" t="b">
        <v>1</v>
      </c>
      <c r="R407" t="s">
        <v>8269</v>
      </c>
      <c r="S407" s="6">
        <f>Table1[[#This Row],[pledged]]/Table1[[#This Row],[goal]]</f>
        <v>1.0765957446808512</v>
      </c>
      <c r="T407" s="8">
        <f>IF(Table1[[#This Row],[pledged]]=0,"no backers",Table1[[#This Row],[pledged]]/Table1[[#This Row],[backers_count]])</f>
        <v>55.2</v>
      </c>
      <c r="U407" t="str">
        <f>LEFT(Table1[[#This Row],[Category and Sub-Category]],FIND("/",Table1[[#This Row],[Category and Sub-Category]])-1)</f>
        <v>film &amp; video</v>
      </c>
      <c r="V407" t="str">
        <f>RIGHT(Table1[[#This Row],[Category and Sub-Category]],LEN(Table1[[#This Row],[Category and Sub-Category]])-FIND("/",Table1[[#This Row],[Category and Sub-Category]]))</f>
        <v>documentary</v>
      </c>
    </row>
    <row r="408" spans="1:22" ht="43.2" x14ac:dyDescent="0.3">
      <c r="A408">
        <v>406</v>
      </c>
      <c r="B408" s="3" t="s">
        <v>407</v>
      </c>
      <c r="C408" s="3" t="s">
        <v>4516</v>
      </c>
      <c r="D408" s="12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>((Table1[[#This Row],[deadline]]/60)/60/24)+DATE(1970,1,1)</f>
        <v>40672.249305555553</v>
      </c>
      <c r="K408">
        <v>1301975637</v>
      </c>
      <c r="L408" s="11">
        <f>((Table1[[#This Row],[launched_at]]/60)/60/24)+DATE(1970,1,1)</f>
        <v>40638.162465277775</v>
      </c>
      <c r="M408">
        <f>MONTH(Table1[[#This Row],[Date Created Conversion]])</f>
        <v>4</v>
      </c>
      <c r="N408">
        <f>YEAR(Table1[[#This Row],[Date Created Conversion]])</f>
        <v>2011</v>
      </c>
      <c r="O408" t="b">
        <v>0</v>
      </c>
      <c r="P408">
        <v>35</v>
      </c>
      <c r="Q408" t="b">
        <v>1</v>
      </c>
      <c r="R408" t="s">
        <v>8269</v>
      </c>
      <c r="S408" s="6">
        <f>Table1[[#This Row],[pledged]]/Table1[[#This Row],[goal]]</f>
        <v>1.0770464285714285</v>
      </c>
      <c r="T408" s="8">
        <f>IF(Table1[[#This Row],[pledged]]=0,"no backers",Table1[[#This Row],[pledged]]/Table1[[#This Row],[backers_count]])</f>
        <v>86.163714285714292</v>
      </c>
      <c r="U408" t="str">
        <f>LEFT(Table1[[#This Row],[Category and Sub-Category]],FIND("/",Table1[[#This Row],[Category and Sub-Category]])-1)</f>
        <v>film &amp; video</v>
      </c>
      <c r="V408" t="str">
        <f>RIGHT(Table1[[#This Row],[Category and Sub-Category]],LEN(Table1[[#This Row],[Category and Sub-Category]])-FIND("/",Table1[[#This Row],[Category and Sub-Category]]))</f>
        <v>documentary</v>
      </c>
    </row>
    <row r="409" spans="1:22" ht="43.2" x14ac:dyDescent="0.3">
      <c r="A409">
        <v>407</v>
      </c>
      <c r="B409" s="3" t="s">
        <v>408</v>
      </c>
      <c r="C409" s="3" t="s">
        <v>4517</v>
      </c>
      <c r="D409" s="12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>((Table1[[#This Row],[deadline]]/60)/60/24)+DATE(1970,1,1)</f>
        <v>40866.912615740745</v>
      </c>
      <c r="K409">
        <v>1316552050</v>
      </c>
      <c r="L409" s="11">
        <f>((Table1[[#This Row],[launched_at]]/60)/60/24)+DATE(1970,1,1)</f>
        <v>40806.870949074073</v>
      </c>
      <c r="M409">
        <f>MONTH(Table1[[#This Row],[Date Created Conversion]])</f>
        <v>9</v>
      </c>
      <c r="N409">
        <f>YEAR(Table1[[#This Row],[Date Created Conversion]])</f>
        <v>2011</v>
      </c>
      <c r="O409" t="b">
        <v>0</v>
      </c>
      <c r="P409">
        <v>22</v>
      </c>
      <c r="Q409" t="b">
        <v>1</v>
      </c>
      <c r="R409" t="s">
        <v>8269</v>
      </c>
      <c r="S409" s="6">
        <f>Table1[[#This Row],[pledged]]/Table1[[#This Row],[goal]]</f>
        <v>1.0155000000000001</v>
      </c>
      <c r="T409" s="8">
        <f>IF(Table1[[#This Row],[pledged]]=0,"no backers",Table1[[#This Row],[pledged]]/Table1[[#This Row],[backers_count]])</f>
        <v>92.318181818181813</v>
      </c>
      <c r="U409" t="str">
        <f>LEFT(Table1[[#This Row],[Category and Sub-Category]],FIND("/",Table1[[#This Row],[Category and Sub-Category]])-1)</f>
        <v>film &amp; video</v>
      </c>
      <c r="V409" t="str">
        <f>RIGHT(Table1[[#This Row],[Category and Sub-Category]],LEN(Table1[[#This Row],[Category and Sub-Category]])-FIND("/",Table1[[#This Row],[Category and Sub-Category]]))</f>
        <v>documentary</v>
      </c>
    </row>
    <row r="410" spans="1:22" ht="43.2" x14ac:dyDescent="0.3">
      <c r="A410">
        <v>408</v>
      </c>
      <c r="B410" s="3" t="s">
        <v>409</v>
      </c>
      <c r="C410" s="3" t="s">
        <v>4518</v>
      </c>
      <c r="D410" s="12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>((Table1[[#This Row],[deadline]]/60)/60/24)+DATE(1970,1,1)</f>
        <v>41583.777662037035</v>
      </c>
      <c r="K410">
        <v>1380217190</v>
      </c>
      <c r="L410" s="11">
        <f>((Table1[[#This Row],[launched_at]]/60)/60/24)+DATE(1970,1,1)</f>
        <v>41543.735995370371</v>
      </c>
      <c r="M410">
        <f>MONTH(Table1[[#This Row],[Date Created Conversion]])</f>
        <v>9</v>
      </c>
      <c r="N410">
        <f>YEAR(Table1[[#This Row],[Date Created Conversion]])</f>
        <v>2013</v>
      </c>
      <c r="O410" t="b">
        <v>0</v>
      </c>
      <c r="P410">
        <v>38</v>
      </c>
      <c r="Q410" t="b">
        <v>1</v>
      </c>
      <c r="R410" t="s">
        <v>8269</v>
      </c>
      <c r="S410" s="6">
        <f>Table1[[#This Row],[pledged]]/Table1[[#This Row],[goal]]</f>
        <v>1.0143766666666667</v>
      </c>
      <c r="T410" s="8">
        <f>IF(Table1[[#This Row],[pledged]]=0,"no backers",Table1[[#This Row],[pledged]]/Table1[[#This Row],[backers_count]])</f>
        <v>160.16473684210527</v>
      </c>
      <c r="U410" t="str">
        <f>LEFT(Table1[[#This Row],[Category and Sub-Category]],FIND("/",Table1[[#This Row],[Category and Sub-Category]])-1)</f>
        <v>film &amp; video</v>
      </c>
      <c r="V410" t="str">
        <f>RIGHT(Table1[[#This Row],[Category and Sub-Category]],LEN(Table1[[#This Row],[Category and Sub-Category]])-FIND("/",Table1[[#This Row],[Category and Sub-Category]]))</f>
        <v>documentary</v>
      </c>
    </row>
    <row r="411" spans="1:22" ht="43.2" x14ac:dyDescent="0.3">
      <c r="A411">
        <v>409</v>
      </c>
      <c r="B411" s="3" t="s">
        <v>410</v>
      </c>
      <c r="C411" s="3" t="s">
        <v>4519</v>
      </c>
      <c r="D411" s="12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>((Table1[[#This Row],[deadline]]/60)/60/24)+DATE(1970,1,1)</f>
        <v>42573.862777777773</v>
      </c>
      <c r="K411">
        <v>1466628144</v>
      </c>
      <c r="L411" s="11">
        <f>((Table1[[#This Row],[launched_at]]/60)/60/24)+DATE(1970,1,1)</f>
        <v>42543.862777777773</v>
      </c>
      <c r="M411">
        <f>MONTH(Table1[[#This Row],[Date Created Conversion]])</f>
        <v>6</v>
      </c>
      <c r="N411">
        <f>YEAR(Table1[[#This Row],[Date Created Conversion]])</f>
        <v>2016</v>
      </c>
      <c r="O411" t="b">
        <v>0</v>
      </c>
      <c r="P411">
        <v>15</v>
      </c>
      <c r="Q411" t="b">
        <v>1</v>
      </c>
      <c r="R411" t="s">
        <v>8269</v>
      </c>
      <c r="S411" s="6">
        <f>Table1[[#This Row],[pledged]]/Table1[[#This Row],[goal]]</f>
        <v>1.3680000000000001</v>
      </c>
      <c r="T411" s="8">
        <f>IF(Table1[[#This Row],[pledged]]=0,"no backers",Table1[[#This Row],[pledged]]/Table1[[#This Row],[backers_count]])</f>
        <v>45.6</v>
      </c>
      <c r="U411" t="str">
        <f>LEFT(Table1[[#This Row],[Category and Sub-Category]],FIND("/",Table1[[#This Row],[Category and Sub-Category]])-1)</f>
        <v>film &amp; video</v>
      </c>
      <c r="V411" t="str">
        <f>RIGHT(Table1[[#This Row],[Category and Sub-Category]],LEN(Table1[[#This Row],[Category and Sub-Category]])-FIND("/",Table1[[#This Row],[Category and Sub-Category]]))</f>
        <v>documentary</v>
      </c>
    </row>
    <row r="412" spans="1:22" ht="43.2" x14ac:dyDescent="0.3">
      <c r="A412">
        <v>410</v>
      </c>
      <c r="B412" s="3" t="s">
        <v>411</v>
      </c>
      <c r="C412" s="3" t="s">
        <v>4520</v>
      </c>
      <c r="D412" s="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>((Table1[[#This Row],[deadline]]/60)/60/24)+DATE(1970,1,1)</f>
        <v>42173.981446759266</v>
      </c>
      <c r="K412">
        <v>1429486397</v>
      </c>
      <c r="L412" s="11">
        <f>((Table1[[#This Row],[launched_at]]/60)/60/24)+DATE(1970,1,1)</f>
        <v>42113.981446759266</v>
      </c>
      <c r="M412">
        <f>MONTH(Table1[[#This Row],[Date Created Conversion]])</f>
        <v>4</v>
      </c>
      <c r="N412">
        <f>YEAR(Table1[[#This Row],[Date Created Conversion]])</f>
        <v>2015</v>
      </c>
      <c r="O412" t="b">
        <v>0</v>
      </c>
      <c r="P412">
        <v>7</v>
      </c>
      <c r="Q412" t="b">
        <v>1</v>
      </c>
      <c r="R412" t="s">
        <v>8269</v>
      </c>
      <c r="S412" s="6">
        <f>Table1[[#This Row],[pledged]]/Table1[[#This Row],[goal]]</f>
        <v>1.2829999999999999</v>
      </c>
      <c r="T412" s="8">
        <f>IF(Table1[[#This Row],[pledged]]=0,"no backers",Table1[[#This Row],[pledged]]/Table1[[#This Row],[backers_count]])</f>
        <v>183.28571428571428</v>
      </c>
      <c r="U412" t="str">
        <f>LEFT(Table1[[#This Row],[Category and Sub-Category]],FIND("/",Table1[[#This Row],[Category and Sub-Category]])-1)</f>
        <v>film &amp; video</v>
      </c>
      <c r="V412" t="str">
        <f>RIGHT(Table1[[#This Row],[Category and Sub-Category]],LEN(Table1[[#This Row],[Category and Sub-Category]])-FIND("/",Table1[[#This Row],[Category and Sub-Category]]))</f>
        <v>documentary</v>
      </c>
    </row>
    <row r="413" spans="1:22" ht="43.2" x14ac:dyDescent="0.3">
      <c r="A413">
        <v>411</v>
      </c>
      <c r="B413" s="3" t="s">
        <v>412</v>
      </c>
      <c r="C413" s="3" t="s">
        <v>4521</v>
      </c>
      <c r="D413" s="12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>((Table1[[#This Row],[deadline]]/60)/60/24)+DATE(1970,1,1)</f>
        <v>41630.208333333336</v>
      </c>
      <c r="K413">
        <v>1384920804</v>
      </c>
      <c r="L413" s="11">
        <f>((Table1[[#This Row],[launched_at]]/60)/60/24)+DATE(1970,1,1)</f>
        <v>41598.17597222222</v>
      </c>
      <c r="M413">
        <f>MONTH(Table1[[#This Row],[Date Created Conversion]])</f>
        <v>11</v>
      </c>
      <c r="N413">
        <f>YEAR(Table1[[#This Row],[Date Created Conversion]])</f>
        <v>2013</v>
      </c>
      <c r="O413" t="b">
        <v>0</v>
      </c>
      <c r="P413">
        <v>241</v>
      </c>
      <c r="Q413" t="b">
        <v>1</v>
      </c>
      <c r="R413" t="s">
        <v>8269</v>
      </c>
      <c r="S413" s="6">
        <f>Table1[[#This Row],[pledged]]/Table1[[#This Row],[goal]]</f>
        <v>1.0105</v>
      </c>
      <c r="T413" s="8">
        <f>IF(Table1[[#This Row],[pledged]]=0,"no backers",Table1[[#This Row],[pledged]]/Table1[[#This Row],[backers_count]])</f>
        <v>125.78838174273859</v>
      </c>
      <c r="U413" t="str">
        <f>LEFT(Table1[[#This Row],[Category and Sub-Category]],FIND("/",Table1[[#This Row],[Category and Sub-Category]])-1)</f>
        <v>film &amp; video</v>
      </c>
      <c r="V413" t="str">
        <f>RIGHT(Table1[[#This Row],[Category and Sub-Category]],LEN(Table1[[#This Row],[Category and Sub-Category]])-FIND("/",Table1[[#This Row],[Category and Sub-Category]]))</f>
        <v>documentary</v>
      </c>
    </row>
    <row r="414" spans="1:22" ht="43.2" x14ac:dyDescent="0.3">
      <c r="A414">
        <v>412</v>
      </c>
      <c r="B414" s="3" t="s">
        <v>413</v>
      </c>
      <c r="C414" s="3" t="s">
        <v>4522</v>
      </c>
      <c r="D414" s="12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>((Table1[[#This Row],[deadline]]/60)/60/24)+DATE(1970,1,1)</f>
        <v>41115.742800925924</v>
      </c>
      <c r="K414">
        <v>1341856178</v>
      </c>
      <c r="L414" s="11">
        <f>((Table1[[#This Row],[launched_at]]/60)/60/24)+DATE(1970,1,1)</f>
        <v>41099.742800925924</v>
      </c>
      <c r="M414">
        <f>MONTH(Table1[[#This Row],[Date Created Conversion]])</f>
        <v>7</v>
      </c>
      <c r="N414">
        <f>YEAR(Table1[[#This Row],[Date Created Conversion]])</f>
        <v>2012</v>
      </c>
      <c r="O414" t="b">
        <v>0</v>
      </c>
      <c r="P414">
        <v>55</v>
      </c>
      <c r="Q414" t="b">
        <v>1</v>
      </c>
      <c r="R414" t="s">
        <v>8269</v>
      </c>
      <c r="S414" s="6">
        <f>Table1[[#This Row],[pledged]]/Table1[[#This Row],[goal]]</f>
        <v>1.2684</v>
      </c>
      <c r="T414" s="8">
        <f>IF(Table1[[#This Row],[pledged]]=0,"no backers",Table1[[#This Row],[pledged]]/Table1[[#This Row],[backers_count]])</f>
        <v>57.654545454545456</v>
      </c>
      <c r="U414" t="str">
        <f>LEFT(Table1[[#This Row],[Category and Sub-Category]],FIND("/",Table1[[#This Row],[Category and Sub-Category]])-1)</f>
        <v>film &amp; video</v>
      </c>
      <c r="V414" t="str">
        <f>RIGHT(Table1[[#This Row],[Category and Sub-Category]],LEN(Table1[[#This Row],[Category and Sub-Category]])-FIND("/",Table1[[#This Row],[Category and Sub-Category]]))</f>
        <v>documentary</v>
      </c>
    </row>
    <row r="415" spans="1:22" ht="43.2" x14ac:dyDescent="0.3">
      <c r="A415">
        <v>413</v>
      </c>
      <c r="B415" s="3" t="s">
        <v>414</v>
      </c>
      <c r="C415" s="3" t="s">
        <v>4523</v>
      </c>
      <c r="D415" s="12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>((Table1[[#This Row],[deadline]]/60)/60/24)+DATE(1970,1,1)</f>
        <v>41109.877442129626</v>
      </c>
      <c r="K415">
        <v>1340139811</v>
      </c>
      <c r="L415" s="11">
        <f>((Table1[[#This Row],[launched_at]]/60)/60/24)+DATE(1970,1,1)</f>
        <v>41079.877442129626</v>
      </c>
      <c r="M415">
        <f>MONTH(Table1[[#This Row],[Date Created Conversion]])</f>
        <v>6</v>
      </c>
      <c r="N415">
        <f>YEAR(Table1[[#This Row],[Date Created Conversion]])</f>
        <v>2012</v>
      </c>
      <c r="O415" t="b">
        <v>0</v>
      </c>
      <c r="P415">
        <v>171</v>
      </c>
      <c r="Q415" t="b">
        <v>1</v>
      </c>
      <c r="R415" t="s">
        <v>8269</v>
      </c>
      <c r="S415" s="6">
        <f>Table1[[#This Row],[pledged]]/Table1[[#This Row],[goal]]</f>
        <v>1.0508593749999999</v>
      </c>
      <c r="T415" s="8">
        <f>IF(Table1[[#This Row],[pledged]]=0,"no backers",Table1[[#This Row],[pledged]]/Table1[[#This Row],[backers_count]])</f>
        <v>78.660818713450297</v>
      </c>
      <c r="U415" t="str">
        <f>LEFT(Table1[[#This Row],[Category and Sub-Category]],FIND("/",Table1[[#This Row],[Category and Sub-Category]])-1)</f>
        <v>film &amp; video</v>
      </c>
      <c r="V415" t="str">
        <f>RIGHT(Table1[[#This Row],[Category and Sub-Category]],LEN(Table1[[#This Row],[Category and Sub-Category]])-FIND("/",Table1[[#This Row],[Category and Sub-Category]]))</f>
        <v>documentary</v>
      </c>
    </row>
    <row r="416" spans="1:22" ht="43.2" x14ac:dyDescent="0.3">
      <c r="A416">
        <v>414</v>
      </c>
      <c r="B416" s="3" t="s">
        <v>415</v>
      </c>
      <c r="C416" s="3" t="s">
        <v>4524</v>
      </c>
      <c r="D416" s="12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>((Table1[[#This Row],[deadline]]/60)/60/24)+DATE(1970,1,1)</f>
        <v>41559.063252314816</v>
      </c>
      <c r="K416">
        <v>1378949465</v>
      </c>
      <c r="L416" s="11">
        <f>((Table1[[#This Row],[launched_at]]/60)/60/24)+DATE(1970,1,1)</f>
        <v>41529.063252314816</v>
      </c>
      <c r="M416">
        <f>MONTH(Table1[[#This Row],[Date Created Conversion]])</f>
        <v>9</v>
      </c>
      <c r="N416">
        <f>YEAR(Table1[[#This Row],[Date Created Conversion]])</f>
        <v>2013</v>
      </c>
      <c r="O416" t="b">
        <v>0</v>
      </c>
      <c r="P416">
        <v>208</v>
      </c>
      <c r="Q416" t="b">
        <v>1</v>
      </c>
      <c r="R416" t="s">
        <v>8269</v>
      </c>
      <c r="S416" s="6">
        <f>Table1[[#This Row],[pledged]]/Table1[[#This Row],[goal]]</f>
        <v>1.0285405405405406</v>
      </c>
      <c r="T416" s="8">
        <f>IF(Table1[[#This Row],[pledged]]=0,"no backers",Table1[[#This Row],[pledged]]/Table1[[#This Row],[backers_count]])</f>
        <v>91.480769230769226</v>
      </c>
      <c r="U416" t="str">
        <f>LEFT(Table1[[#This Row],[Category and Sub-Category]],FIND("/",Table1[[#This Row],[Category and Sub-Category]])-1)</f>
        <v>film &amp; video</v>
      </c>
      <c r="V416" t="str">
        <f>RIGHT(Table1[[#This Row],[Category and Sub-Category]],LEN(Table1[[#This Row],[Category and Sub-Category]])-FIND("/",Table1[[#This Row],[Category and Sub-Category]]))</f>
        <v>documentary</v>
      </c>
    </row>
    <row r="417" spans="1:22" ht="57.6" x14ac:dyDescent="0.3">
      <c r="A417">
        <v>415</v>
      </c>
      <c r="B417" s="3" t="s">
        <v>416</v>
      </c>
      <c r="C417" s="3" t="s">
        <v>4525</v>
      </c>
      <c r="D417" s="12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>((Table1[[#This Row],[deadline]]/60)/60/24)+DATE(1970,1,1)</f>
        <v>41929.5</v>
      </c>
      <c r="K417">
        <v>1411417602</v>
      </c>
      <c r="L417" s="11">
        <f>((Table1[[#This Row],[launched_at]]/60)/60/24)+DATE(1970,1,1)</f>
        <v>41904.851875</v>
      </c>
      <c r="M417">
        <f>MONTH(Table1[[#This Row],[Date Created Conversion]])</f>
        <v>9</v>
      </c>
      <c r="N417">
        <f>YEAR(Table1[[#This Row],[Date Created Conversion]])</f>
        <v>2014</v>
      </c>
      <c r="O417" t="b">
        <v>0</v>
      </c>
      <c r="P417">
        <v>21</v>
      </c>
      <c r="Q417" t="b">
        <v>1</v>
      </c>
      <c r="R417" t="s">
        <v>8269</v>
      </c>
      <c r="S417" s="6">
        <f>Table1[[#This Row],[pledged]]/Table1[[#This Row],[goal]]</f>
        <v>1.0214714285714286</v>
      </c>
      <c r="T417" s="8">
        <f>IF(Table1[[#This Row],[pledged]]=0,"no backers",Table1[[#This Row],[pledged]]/Table1[[#This Row],[backers_count]])</f>
        <v>68.09809523809524</v>
      </c>
      <c r="U417" t="str">
        <f>LEFT(Table1[[#This Row],[Category and Sub-Category]],FIND("/",Table1[[#This Row],[Category and Sub-Category]])-1)</f>
        <v>film &amp; video</v>
      </c>
      <c r="V417" t="str">
        <f>RIGHT(Table1[[#This Row],[Category and Sub-Category]],LEN(Table1[[#This Row],[Category and Sub-Category]])-FIND("/",Table1[[#This Row],[Category and Sub-Category]]))</f>
        <v>documentary</v>
      </c>
    </row>
    <row r="418" spans="1:22" ht="43.2" x14ac:dyDescent="0.3">
      <c r="A418">
        <v>416</v>
      </c>
      <c r="B418" s="3" t="s">
        <v>417</v>
      </c>
      <c r="C418" s="3" t="s">
        <v>4526</v>
      </c>
      <c r="D418" s="12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>((Table1[[#This Row],[deadline]]/60)/60/24)+DATE(1970,1,1)</f>
        <v>41678.396192129629</v>
      </c>
      <c r="K418">
        <v>1389259831</v>
      </c>
      <c r="L418" s="11">
        <f>((Table1[[#This Row],[launched_at]]/60)/60/24)+DATE(1970,1,1)</f>
        <v>41648.396192129629</v>
      </c>
      <c r="M418">
        <f>MONTH(Table1[[#This Row],[Date Created Conversion]])</f>
        <v>1</v>
      </c>
      <c r="N418">
        <f>YEAR(Table1[[#This Row],[Date Created Conversion]])</f>
        <v>2014</v>
      </c>
      <c r="O418" t="b">
        <v>0</v>
      </c>
      <c r="P418">
        <v>25</v>
      </c>
      <c r="Q418" t="b">
        <v>1</v>
      </c>
      <c r="R418" t="s">
        <v>8269</v>
      </c>
      <c r="S418" s="6">
        <f>Table1[[#This Row],[pledged]]/Table1[[#This Row],[goal]]</f>
        <v>1.2021700000000002</v>
      </c>
      <c r="T418" s="8">
        <f>IF(Table1[[#This Row],[pledged]]=0,"no backers",Table1[[#This Row],[pledged]]/Table1[[#This Row],[backers_count]])</f>
        <v>48.086800000000004</v>
      </c>
      <c r="U418" t="str">
        <f>LEFT(Table1[[#This Row],[Category and Sub-Category]],FIND("/",Table1[[#This Row],[Category and Sub-Category]])-1)</f>
        <v>film &amp; video</v>
      </c>
      <c r="V418" t="str">
        <f>RIGHT(Table1[[#This Row],[Category and Sub-Category]],LEN(Table1[[#This Row],[Category and Sub-Category]])-FIND("/",Table1[[#This Row],[Category and Sub-Category]]))</f>
        <v>documentary</v>
      </c>
    </row>
    <row r="419" spans="1:22" ht="43.2" x14ac:dyDescent="0.3">
      <c r="A419">
        <v>417</v>
      </c>
      <c r="B419" s="3" t="s">
        <v>418</v>
      </c>
      <c r="C419" s="3" t="s">
        <v>4527</v>
      </c>
      <c r="D419" s="12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>((Table1[[#This Row],[deadline]]/60)/60/24)+DATE(1970,1,1)</f>
        <v>41372.189583333333</v>
      </c>
      <c r="K419">
        <v>1364426260</v>
      </c>
      <c r="L419" s="11">
        <f>((Table1[[#This Row],[launched_at]]/60)/60/24)+DATE(1970,1,1)</f>
        <v>41360.970601851855</v>
      </c>
      <c r="M419">
        <f>MONTH(Table1[[#This Row],[Date Created Conversion]])</f>
        <v>3</v>
      </c>
      <c r="N419">
        <f>YEAR(Table1[[#This Row],[Date Created Conversion]])</f>
        <v>2013</v>
      </c>
      <c r="O419" t="b">
        <v>0</v>
      </c>
      <c r="P419">
        <v>52</v>
      </c>
      <c r="Q419" t="b">
        <v>1</v>
      </c>
      <c r="R419" t="s">
        <v>8269</v>
      </c>
      <c r="S419" s="6">
        <f>Table1[[#This Row],[pledged]]/Table1[[#This Row],[goal]]</f>
        <v>1.0024761904761905</v>
      </c>
      <c r="T419" s="8">
        <f>IF(Table1[[#This Row],[pledged]]=0,"no backers",Table1[[#This Row],[pledged]]/Table1[[#This Row],[backers_count]])</f>
        <v>202.42307692307693</v>
      </c>
      <c r="U419" t="str">
        <f>LEFT(Table1[[#This Row],[Category and Sub-Category]],FIND("/",Table1[[#This Row],[Category and Sub-Category]])-1)</f>
        <v>film &amp; video</v>
      </c>
      <c r="V419" t="str">
        <f>RIGHT(Table1[[#This Row],[Category and Sub-Category]],LEN(Table1[[#This Row],[Category and Sub-Category]])-FIND("/",Table1[[#This Row],[Category and Sub-Category]]))</f>
        <v>documentary</v>
      </c>
    </row>
    <row r="420" spans="1:22" ht="43.2" x14ac:dyDescent="0.3">
      <c r="A420">
        <v>418</v>
      </c>
      <c r="B420" s="3" t="s">
        <v>419</v>
      </c>
      <c r="C420" s="3" t="s">
        <v>4528</v>
      </c>
      <c r="D420" s="12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>((Table1[[#This Row],[deadline]]/60)/60/24)+DATE(1970,1,1)</f>
        <v>42208.282372685186</v>
      </c>
      <c r="K420">
        <v>1435041997</v>
      </c>
      <c r="L420" s="11">
        <f>((Table1[[#This Row],[launched_at]]/60)/60/24)+DATE(1970,1,1)</f>
        <v>42178.282372685186</v>
      </c>
      <c r="M420">
        <f>MONTH(Table1[[#This Row],[Date Created Conversion]])</f>
        <v>6</v>
      </c>
      <c r="N420">
        <f>YEAR(Table1[[#This Row],[Date Created Conversion]])</f>
        <v>2015</v>
      </c>
      <c r="O420" t="b">
        <v>0</v>
      </c>
      <c r="P420">
        <v>104</v>
      </c>
      <c r="Q420" t="b">
        <v>1</v>
      </c>
      <c r="R420" t="s">
        <v>8269</v>
      </c>
      <c r="S420" s="6">
        <f>Table1[[#This Row],[pledged]]/Table1[[#This Row],[goal]]</f>
        <v>1.0063392857142857</v>
      </c>
      <c r="T420" s="8">
        <f>IF(Table1[[#This Row],[pledged]]=0,"no backers",Table1[[#This Row],[pledged]]/Table1[[#This Row],[backers_count]])</f>
        <v>216.75</v>
      </c>
      <c r="U420" t="str">
        <f>LEFT(Table1[[#This Row],[Category and Sub-Category]],FIND("/",Table1[[#This Row],[Category and Sub-Category]])-1)</f>
        <v>film &amp; video</v>
      </c>
      <c r="V420" t="str">
        <f>RIGHT(Table1[[#This Row],[Category and Sub-Category]],LEN(Table1[[#This Row],[Category and Sub-Category]])-FIND("/",Table1[[#This Row],[Category and Sub-Category]]))</f>
        <v>documentary</v>
      </c>
    </row>
    <row r="421" spans="1:22" ht="43.2" x14ac:dyDescent="0.3">
      <c r="A421">
        <v>419</v>
      </c>
      <c r="B421" s="3" t="s">
        <v>420</v>
      </c>
      <c r="C421" s="3" t="s">
        <v>4529</v>
      </c>
      <c r="D421" s="12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>((Table1[[#This Row],[deadline]]/60)/60/24)+DATE(1970,1,1)</f>
        <v>41454.842442129629</v>
      </c>
      <c r="K421">
        <v>1367352787</v>
      </c>
      <c r="L421" s="11">
        <f>((Table1[[#This Row],[launched_at]]/60)/60/24)+DATE(1970,1,1)</f>
        <v>41394.842442129629</v>
      </c>
      <c r="M421">
        <f>MONTH(Table1[[#This Row],[Date Created Conversion]])</f>
        <v>4</v>
      </c>
      <c r="N421">
        <f>YEAR(Table1[[#This Row],[Date Created Conversion]])</f>
        <v>2013</v>
      </c>
      <c r="O421" t="b">
        <v>0</v>
      </c>
      <c r="P421">
        <v>73</v>
      </c>
      <c r="Q421" t="b">
        <v>1</v>
      </c>
      <c r="R421" t="s">
        <v>8269</v>
      </c>
      <c r="S421" s="6">
        <f>Table1[[#This Row],[pledged]]/Table1[[#This Row],[goal]]</f>
        <v>1.004375</v>
      </c>
      <c r="T421" s="8">
        <f>IF(Table1[[#This Row],[pledged]]=0,"no backers",Table1[[#This Row],[pledged]]/Table1[[#This Row],[backers_count]])</f>
        <v>110.06849315068493</v>
      </c>
      <c r="U421" t="str">
        <f>LEFT(Table1[[#This Row],[Category and Sub-Category]],FIND("/",Table1[[#This Row],[Category and Sub-Category]])-1)</f>
        <v>film &amp; video</v>
      </c>
      <c r="V421" t="str">
        <f>RIGHT(Table1[[#This Row],[Category and Sub-Category]],LEN(Table1[[#This Row],[Category and Sub-Category]])-FIND("/",Table1[[#This Row],[Category and Sub-Category]]))</f>
        <v>documentary</v>
      </c>
    </row>
    <row r="422" spans="1:22" ht="43.2" x14ac:dyDescent="0.3">
      <c r="A422">
        <v>420</v>
      </c>
      <c r="B422" s="3" t="s">
        <v>421</v>
      </c>
      <c r="C422" s="3" t="s">
        <v>4530</v>
      </c>
      <c r="D422" s="1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>((Table1[[#This Row],[deadline]]/60)/60/24)+DATE(1970,1,1)</f>
        <v>41712.194803240738</v>
      </c>
      <c r="K422">
        <v>1392183631</v>
      </c>
      <c r="L422" s="11">
        <f>((Table1[[#This Row],[launched_at]]/60)/60/24)+DATE(1970,1,1)</f>
        <v>41682.23646990741</v>
      </c>
      <c r="M422">
        <f>MONTH(Table1[[#This Row],[Date Created Conversion]])</f>
        <v>2</v>
      </c>
      <c r="N422">
        <f>YEAR(Table1[[#This Row],[Date Created Conversion]])</f>
        <v>2014</v>
      </c>
      <c r="O422" t="b">
        <v>0</v>
      </c>
      <c r="P422">
        <v>3</v>
      </c>
      <c r="Q422" t="b">
        <v>0</v>
      </c>
      <c r="R422" t="s">
        <v>8270</v>
      </c>
      <c r="S422" s="6">
        <f>Table1[[#This Row],[pledged]]/Table1[[#This Row],[goal]]</f>
        <v>4.3939393939393936E-3</v>
      </c>
      <c r="T422" s="8">
        <f>IF(Table1[[#This Row],[pledged]]=0,"no backers",Table1[[#This Row],[pledged]]/Table1[[#This Row],[backers_count]])</f>
        <v>4.833333333333333</v>
      </c>
      <c r="U422" t="str">
        <f>LEFT(Table1[[#This Row],[Category and Sub-Category]],FIND("/",Table1[[#This Row],[Category and Sub-Category]])-1)</f>
        <v>film &amp; video</v>
      </c>
      <c r="V422" t="str">
        <f>RIGHT(Table1[[#This Row],[Category and Sub-Category]],LEN(Table1[[#This Row],[Category and Sub-Category]])-FIND("/",Table1[[#This Row],[Category and Sub-Category]]))</f>
        <v>animation</v>
      </c>
    </row>
    <row r="423" spans="1:22" ht="43.2" x14ac:dyDescent="0.3">
      <c r="A423">
        <v>421</v>
      </c>
      <c r="B423" s="3" t="s">
        <v>422</v>
      </c>
      <c r="C423" s="3" t="s">
        <v>4531</v>
      </c>
      <c r="D423" s="12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>((Table1[[#This Row],[deadline]]/60)/60/24)+DATE(1970,1,1)</f>
        <v>42237.491388888884</v>
      </c>
      <c r="K423">
        <v>1434973656</v>
      </c>
      <c r="L423" s="11">
        <f>((Table1[[#This Row],[launched_at]]/60)/60/24)+DATE(1970,1,1)</f>
        <v>42177.491388888884</v>
      </c>
      <c r="M423">
        <f>MONTH(Table1[[#This Row],[Date Created Conversion]])</f>
        <v>6</v>
      </c>
      <c r="N423">
        <f>YEAR(Table1[[#This Row],[Date Created Conversion]])</f>
        <v>2015</v>
      </c>
      <c r="O423" t="b">
        <v>0</v>
      </c>
      <c r="P423">
        <v>6</v>
      </c>
      <c r="Q423" t="b">
        <v>0</v>
      </c>
      <c r="R423" t="s">
        <v>8270</v>
      </c>
      <c r="S423" s="6">
        <f>Table1[[#This Row],[pledged]]/Table1[[#This Row],[goal]]</f>
        <v>2.0066666666666667E-2</v>
      </c>
      <c r="T423" s="8">
        <f>IF(Table1[[#This Row],[pledged]]=0,"no backers",Table1[[#This Row],[pledged]]/Table1[[#This Row],[backers_count]])</f>
        <v>50.166666666666664</v>
      </c>
      <c r="U423" t="str">
        <f>LEFT(Table1[[#This Row],[Category and Sub-Category]],FIND("/",Table1[[#This Row],[Category and Sub-Category]])-1)</f>
        <v>film &amp; video</v>
      </c>
      <c r="V423" t="str">
        <f>RIGHT(Table1[[#This Row],[Category and Sub-Category]],LEN(Table1[[#This Row],[Category and Sub-Category]])-FIND("/",Table1[[#This Row],[Category and Sub-Category]]))</f>
        <v>animation</v>
      </c>
    </row>
    <row r="424" spans="1:22" ht="43.2" x14ac:dyDescent="0.3">
      <c r="A424">
        <v>422</v>
      </c>
      <c r="B424" s="3" t="s">
        <v>423</v>
      </c>
      <c r="C424" s="3" t="s">
        <v>4532</v>
      </c>
      <c r="D424" s="12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>((Table1[[#This Row],[deadline]]/60)/60/24)+DATE(1970,1,1)</f>
        <v>41893.260381944441</v>
      </c>
      <c r="K424">
        <v>1407824097</v>
      </c>
      <c r="L424" s="11">
        <f>((Table1[[#This Row],[launched_at]]/60)/60/24)+DATE(1970,1,1)</f>
        <v>41863.260381944441</v>
      </c>
      <c r="M424">
        <f>MONTH(Table1[[#This Row],[Date Created Conversion]])</f>
        <v>8</v>
      </c>
      <c r="N424">
        <f>YEAR(Table1[[#This Row],[Date Created Conversion]])</f>
        <v>2014</v>
      </c>
      <c r="O424" t="b">
        <v>0</v>
      </c>
      <c r="P424">
        <v>12</v>
      </c>
      <c r="Q424" t="b">
        <v>0</v>
      </c>
      <c r="R424" t="s">
        <v>8270</v>
      </c>
      <c r="S424" s="6">
        <f>Table1[[#This Row],[pledged]]/Table1[[#This Row],[goal]]</f>
        <v>1.0749999999999999E-2</v>
      </c>
      <c r="T424" s="8">
        <f>IF(Table1[[#This Row],[pledged]]=0,"no backers",Table1[[#This Row],[pledged]]/Table1[[#This Row],[backers_count]])</f>
        <v>35.833333333333336</v>
      </c>
      <c r="U424" t="str">
        <f>LEFT(Table1[[#This Row],[Category and Sub-Category]],FIND("/",Table1[[#This Row],[Category and Sub-Category]])-1)</f>
        <v>film &amp; video</v>
      </c>
      <c r="V424" t="str">
        <f>RIGHT(Table1[[#This Row],[Category and Sub-Category]],LEN(Table1[[#This Row],[Category and Sub-Category]])-FIND("/",Table1[[#This Row],[Category and Sub-Category]]))</f>
        <v>animation</v>
      </c>
    </row>
    <row r="425" spans="1:22" ht="43.2" x14ac:dyDescent="0.3">
      <c r="A425">
        <v>423</v>
      </c>
      <c r="B425" s="3" t="s">
        <v>424</v>
      </c>
      <c r="C425" s="3" t="s">
        <v>4533</v>
      </c>
      <c r="D425" s="12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>((Table1[[#This Row],[deadline]]/60)/60/24)+DATE(1970,1,1)</f>
        <v>41430.92627314815</v>
      </c>
      <c r="K425">
        <v>1367878430</v>
      </c>
      <c r="L425" s="11">
        <f>((Table1[[#This Row],[launched_at]]/60)/60/24)+DATE(1970,1,1)</f>
        <v>41400.92627314815</v>
      </c>
      <c r="M425">
        <f>MONTH(Table1[[#This Row],[Date Created Conversion]])</f>
        <v>5</v>
      </c>
      <c r="N425">
        <f>YEAR(Table1[[#This Row],[Date Created Conversion]])</f>
        <v>2013</v>
      </c>
      <c r="O425" t="b">
        <v>0</v>
      </c>
      <c r="P425">
        <v>13</v>
      </c>
      <c r="Q425" t="b">
        <v>0</v>
      </c>
      <c r="R425" t="s">
        <v>8270</v>
      </c>
      <c r="S425" s="6">
        <f>Table1[[#This Row],[pledged]]/Table1[[#This Row],[goal]]</f>
        <v>7.6499999999999997E-3</v>
      </c>
      <c r="T425" s="8">
        <f>IF(Table1[[#This Row],[pledged]]=0,"no backers",Table1[[#This Row],[pledged]]/Table1[[#This Row],[backers_count]])</f>
        <v>11.76923076923077</v>
      </c>
      <c r="U425" t="str">
        <f>LEFT(Table1[[#This Row],[Category and Sub-Category]],FIND("/",Table1[[#This Row],[Category and Sub-Category]])-1)</f>
        <v>film &amp; video</v>
      </c>
      <c r="V425" t="str">
        <f>RIGHT(Table1[[#This Row],[Category and Sub-Category]],LEN(Table1[[#This Row],[Category and Sub-Category]])-FIND("/",Table1[[#This Row],[Category and Sub-Category]]))</f>
        <v>animation</v>
      </c>
    </row>
    <row r="426" spans="1:22" ht="43.2" x14ac:dyDescent="0.3">
      <c r="A426">
        <v>424</v>
      </c>
      <c r="B426" s="3" t="s">
        <v>425</v>
      </c>
      <c r="C426" s="3" t="s">
        <v>4534</v>
      </c>
      <c r="D426" s="12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>((Table1[[#This Row],[deadline]]/60)/60/24)+DATE(1970,1,1)</f>
        <v>40994.334479166668</v>
      </c>
      <c r="K426">
        <v>1327568499</v>
      </c>
      <c r="L426" s="11">
        <f>((Table1[[#This Row],[launched_at]]/60)/60/24)+DATE(1970,1,1)</f>
        <v>40934.376145833332</v>
      </c>
      <c r="M426">
        <f>MONTH(Table1[[#This Row],[Date Created Conversion]])</f>
        <v>1</v>
      </c>
      <c r="N426">
        <f>YEAR(Table1[[#This Row],[Date Created Conversion]])</f>
        <v>2012</v>
      </c>
      <c r="O426" t="b">
        <v>0</v>
      </c>
      <c r="P426">
        <v>5</v>
      </c>
      <c r="Q426" t="b">
        <v>0</v>
      </c>
      <c r="R426" t="s">
        <v>8270</v>
      </c>
      <c r="S426" s="6">
        <f>Table1[[#This Row],[pledged]]/Table1[[#This Row],[goal]]</f>
        <v>6.7966666666666675E-2</v>
      </c>
      <c r="T426" s="8">
        <f>IF(Table1[[#This Row],[pledged]]=0,"no backers",Table1[[#This Row],[pledged]]/Table1[[#This Row],[backers_count]])</f>
        <v>40.78</v>
      </c>
      <c r="U426" t="str">
        <f>LEFT(Table1[[#This Row],[Category and Sub-Category]],FIND("/",Table1[[#This Row],[Category and Sub-Category]])-1)</f>
        <v>film &amp; video</v>
      </c>
      <c r="V426" t="str">
        <f>RIGHT(Table1[[#This Row],[Category and Sub-Category]],LEN(Table1[[#This Row],[Category and Sub-Category]])-FIND("/",Table1[[#This Row],[Category and Sub-Category]]))</f>
        <v>animation</v>
      </c>
    </row>
    <row r="427" spans="1:22" ht="43.2" x14ac:dyDescent="0.3">
      <c r="A427">
        <v>425</v>
      </c>
      <c r="B427" s="3" t="s">
        <v>426</v>
      </c>
      <c r="C427" s="3" t="s">
        <v>4535</v>
      </c>
      <c r="D427" s="12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>((Table1[[#This Row],[deadline]]/60)/60/24)+DATE(1970,1,1)</f>
        <v>42335.902824074074</v>
      </c>
      <c r="K427">
        <v>1443472804</v>
      </c>
      <c r="L427" s="11">
        <f>((Table1[[#This Row],[launched_at]]/60)/60/24)+DATE(1970,1,1)</f>
        <v>42275.861157407402</v>
      </c>
      <c r="M427">
        <f>MONTH(Table1[[#This Row],[Date Created Conversion]])</f>
        <v>9</v>
      </c>
      <c r="N427">
        <f>YEAR(Table1[[#This Row],[Date Created Conversion]])</f>
        <v>2015</v>
      </c>
      <c r="O427" t="b">
        <v>0</v>
      </c>
      <c r="P427">
        <v>2</v>
      </c>
      <c r="Q427" t="b">
        <v>0</v>
      </c>
      <c r="R427" t="s">
        <v>8270</v>
      </c>
      <c r="S427" s="6">
        <f>Table1[[#This Row],[pledged]]/Table1[[#This Row],[goal]]</f>
        <v>1.2E-4</v>
      </c>
      <c r="T427" s="8">
        <f>IF(Table1[[#This Row],[pledged]]=0,"no backers",Table1[[#This Row],[pledged]]/Table1[[#This Row],[backers_count]])</f>
        <v>3</v>
      </c>
      <c r="U427" t="str">
        <f>LEFT(Table1[[#This Row],[Category and Sub-Category]],FIND("/",Table1[[#This Row],[Category and Sub-Category]])-1)</f>
        <v>film &amp; video</v>
      </c>
      <c r="V427" t="str">
        <f>RIGHT(Table1[[#This Row],[Category and Sub-Category]],LEN(Table1[[#This Row],[Category and Sub-Category]])-FIND("/",Table1[[#This Row],[Category and Sub-Category]]))</f>
        <v>animation</v>
      </c>
    </row>
    <row r="428" spans="1:22" ht="43.2" x14ac:dyDescent="0.3">
      <c r="A428">
        <v>426</v>
      </c>
      <c r="B428" s="3" t="s">
        <v>427</v>
      </c>
      <c r="C428" s="3" t="s">
        <v>4536</v>
      </c>
      <c r="D428" s="12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>((Table1[[#This Row],[deadline]]/60)/60/24)+DATE(1970,1,1)</f>
        <v>42430.711967592593</v>
      </c>
      <c r="K428">
        <v>1454259914</v>
      </c>
      <c r="L428" s="11">
        <f>((Table1[[#This Row],[launched_at]]/60)/60/24)+DATE(1970,1,1)</f>
        <v>42400.711967592593</v>
      </c>
      <c r="M428">
        <f>MONTH(Table1[[#This Row],[Date Created Conversion]])</f>
        <v>1</v>
      </c>
      <c r="N428">
        <f>YEAR(Table1[[#This Row],[Date Created Conversion]])</f>
        <v>2016</v>
      </c>
      <c r="O428" t="b">
        <v>0</v>
      </c>
      <c r="P428">
        <v>8</v>
      </c>
      <c r="Q428" t="b">
        <v>0</v>
      </c>
      <c r="R428" t="s">
        <v>8270</v>
      </c>
      <c r="S428" s="6">
        <f>Table1[[#This Row],[pledged]]/Table1[[#This Row],[goal]]</f>
        <v>1.3299999999999999E-2</v>
      </c>
      <c r="T428" s="8">
        <f>IF(Table1[[#This Row],[pledged]]=0,"no backers",Table1[[#This Row],[pledged]]/Table1[[#This Row],[backers_count]])</f>
        <v>16.625</v>
      </c>
      <c r="U428" t="str">
        <f>LEFT(Table1[[#This Row],[Category and Sub-Category]],FIND("/",Table1[[#This Row],[Category and Sub-Category]])-1)</f>
        <v>film &amp; video</v>
      </c>
      <c r="V428" t="str">
        <f>RIGHT(Table1[[#This Row],[Category and Sub-Category]],LEN(Table1[[#This Row],[Category and Sub-Category]])-FIND("/",Table1[[#This Row],[Category and Sub-Category]]))</f>
        <v>animation</v>
      </c>
    </row>
    <row r="429" spans="1:22" ht="57.6" x14ac:dyDescent="0.3">
      <c r="A429">
        <v>427</v>
      </c>
      <c r="B429" s="3" t="s">
        <v>428</v>
      </c>
      <c r="C429" s="3" t="s">
        <v>4537</v>
      </c>
      <c r="D429" s="12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>((Table1[[#This Row],[deadline]]/60)/60/24)+DATE(1970,1,1)</f>
        <v>42299.790972222225</v>
      </c>
      <c r="K429">
        <v>1444340940</v>
      </c>
      <c r="L429" s="11">
        <f>((Table1[[#This Row],[launched_at]]/60)/60/24)+DATE(1970,1,1)</f>
        <v>42285.909027777772</v>
      </c>
      <c r="M429">
        <f>MONTH(Table1[[#This Row],[Date Created Conversion]])</f>
        <v>10</v>
      </c>
      <c r="N429">
        <f>YEAR(Table1[[#This Row],[Date Created Conversion]])</f>
        <v>2015</v>
      </c>
      <c r="O429" t="b">
        <v>0</v>
      </c>
      <c r="P429">
        <v>0</v>
      </c>
      <c r="Q429" t="b">
        <v>0</v>
      </c>
      <c r="R429" t="s">
        <v>8270</v>
      </c>
      <c r="S429" s="6">
        <f>Table1[[#This Row],[pledged]]/Table1[[#This Row],[goal]]</f>
        <v>0</v>
      </c>
      <c r="T429" s="8" t="str">
        <f>IF(Table1[[#This Row],[pledged]]=0,"no backers",Table1[[#This Row],[pledged]]/Table1[[#This Row],[backers_count]])</f>
        <v>no backers</v>
      </c>
      <c r="U429" t="str">
        <f>LEFT(Table1[[#This Row],[Category and Sub-Category]],FIND("/",Table1[[#This Row],[Category and Sub-Category]])-1)</f>
        <v>film &amp; video</v>
      </c>
      <c r="V429" t="str">
        <f>RIGHT(Table1[[#This Row],[Category and Sub-Category]],LEN(Table1[[#This Row],[Category and Sub-Category]])-FIND("/",Table1[[#This Row],[Category and Sub-Category]]))</f>
        <v>animation</v>
      </c>
    </row>
    <row r="430" spans="1:22" ht="28.8" x14ac:dyDescent="0.3">
      <c r="A430">
        <v>428</v>
      </c>
      <c r="B430" s="3" t="s">
        <v>429</v>
      </c>
      <c r="C430" s="3" t="s">
        <v>4538</v>
      </c>
      <c r="D430" s="12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>((Table1[[#This Row],[deadline]]/60)/60/24)+DATE(1970,1,1)</f>
        <v>41806.916666666664</v>
      </c>
      <c r="K430">
        <v>1400523845</v>
      </c>
      <c r="L430" s="11">
        <f>((Table1[[#This Row],[launched_at]]/60)/60/24)+DATE(1970,1,1)</f>
        <v>41778.766724537039</v>
      </c>
      <c r="M430">
        <f>MONTH(Table1[[#This Row],[Date Created Conversion]])</f>
        <v>5</v>
      </c>
      <c r="N430">
        <f>YEAR(Table1[[#This Row],[Date Created Conversion]])</f>
        <v>2014</v>
      </c>
      <c r="O430" t="b">
        <v>0</v>
      </c>
      <c r="P430">
        <v>13</v>
      </c>
      <c r="Q430" t="b">
        <v>0</v>
      </c>
      <c r="R430" t="s">
        <v>8270</v>
      </c>
      <c r="S430" s="6">
        <f>Table1[[#This Row],[pledged]]/Table1[[#This Row],[goal]]</f>
        <v>5.6333333333333332E-2</v>
      </c>
      <c r="T430" s="8">
        <f>IF(Table1[[#This Row],[pledged]]=0,"no backers",Table1[[#This Row],[pledged]]/Table1[[#This Row],[backers_count]])</f>
        <v>52</v>
      </c>
      <c r="U430" t="str">
        <f>LEFT(Table1[[#This Row],[Category and Sub-Category]],FIND("/",Table1[[#This Row],[Category and Sub-Category]])-1)</f>
        <v>film &amp; video</v>
      </c>
      <c r="V430" t="str">
        <f>RIGHT(Table1[[#This Row],[Category and Sub-Category]],LEN(Table1[[#This Row],[Category and Sub-Category]])-FIND("/",Table1[[#This Row],[Category and Sub-Category]]))</f>
        <v>animation</v>
      </c>
    </row>
    <row r="431" spans="1:22" ht="57.6" x14ac:dyDescent="0.3">
      <c r="A431">
        <v>429</v>
      </c>
      <c r="B431" s="3" t="s">
        <v>430</v>
      </c>
      <c r="C431" s="3" t="s">
        <v>4539</v>
      </c>
      <c r="D431" s="12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>((Table1[[#This Row],[deadline]]/60)/60/24)+DATE(1970,1,1)</f>
        <v>40144.207638888889</v>
      </c>
      <c r="K431">
        <v>1252964282</v>
      </c>
      <c r="L431" s="11">
        <f>((Table1[[#This Row],[launched_at]]/60)/60/24)+DATE(1970,1,1)</f>
        <v>40070.901412037041</v>
      </c>
      <c r="M431">
        <f>MONTH(Table1[[#This Row],[Date Created Conversion]])</f>
        <v>9</v>
      </c>
      <c r="N431">
        <f>YEAR(Table1[[#This Row],[Date Created Conversion]])</f>
        <v>2009</v>
      </c>
      <c r="O431" t="b">
        <v>0</v>
      </c>
      <c r="P431">
        <v>0</v>
      </c>
      <c r="Q431" t="b">
        <v>0</v>
      </c>
      <c r="R431" t="s">
        <v>8270</v>
      </c>
      <c r="S431" s="6">
        <f>Table1[[#This Row],[pledged]]/Table1[[#This Row],[goal]]</f>
        <v>0</v>
      </c>
      <c r="T431" s="8" t="str">
        <f>IF(Table1[[#This Row],[pledged]]=0,"no backers",Table1[[#This Row],[pledged]]/Table1[[#This Row],[backers_count]])</f>
        <v>no backers</v>
      </c>
      <c r="U431" t="str">
        <f>LEFT(Table1[[#This Row],[Category and Sub-Category]],FIND("/",Table1[[#This Row],[Category and Sub-Category]])-1)</f>
        <v>film &amp; video</v>
      </c>
      <c r="V431" t="str">
        <f>RIGHT(Table1[[#This Row],[Category and Sub-Category]],LEN(Table1[[#This Row],[Category and Sub-Category]])-FIND("/",Table1[[#This Row],[Category and Sub-Category]]))</f>
        <v>animation</v>
      </c>
    </row>
    <row r="432" spans="1:22" ht="43.2" x14ac:dyDescent="0.3">
      <c r="A432">
        <v>430</v>
      </c>
      <c r="B432" s="3" t="s">
        <v>431</v>
      </c>
      <c r="C432" s="3" t="s">
        <v>4540</v>
      </c>
      <c r="D432" s="1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>((Table1[[#This Row],[deadline]]/60)/60/24)+DATE(1970,1,1)</f>
        <v>41528.107256944444</v>
      </c>
      <c r="K432">
        <v>1377570867</v>
      </c>
      <c r="L432" s="11">
        <f>((Table1[[#This Row],[launched_at]]/60)/60/24)+DATE(1970,1,1)</f>
        <v>41513.107256944444</v>
      </c>
      <c r="M432">
        <f>MONTH(Table1[[#This Row],[Date Created Conversion]])</f>
        <v>8</v>
      </c>
      <c r="N432">
        <f>YEAR(Table1[[#This Row],[Date Created Conversion]])</f>
        <v>2013</v>
      </c>
      <c r="O432" t="b">
        <v>0</v>
      </c>
      <c r="P432">
        <v>5</v>
      </c>
      <c r="Q432" t="b">
        <v>0</v>
      </c>
      <c r="R432" t="s">
        <v>8270</v>
      </c>
      <c r="S432" s="6">
        <f>Table1[[#This Row],[pledged]]/Table1[[#This Row],[goal]]</f>
        <v>2.4E-2</v>
      </c>
      <c r="T432" s="8">
        <f>IF(Table1[[#This Row],[pledged]]=0,"no backers",Table1[[#This Row],[pledged]]/Table1[[#This Row],[backers_count]])</f>
        <v>4.8</v>
      </c>
      <c r="U432" t="str">
        <f>LEFT(Table1[[#This Row],[Category and Sub-Category]],FIND("/",Table1[[#This Row],[Category and Sub-Category]])-1)</f>
        <v>film &amp; video</v>
      </c>
      <c r="V432" t="str">
        <f>RIGHT(Table1[[#This Row],[Category and Sub-Category]],LEN(Table1[[#This Row],[Category and Sub-Category]])-FIND("/",Table1[[#This Row],[Category and Sub-Category]]))</f>
        <v>animation</v>
      </c>
    </row>
    <row r="433" spans="1:22" ht="43.2" x14ac:dyDescent="0.3">
      <c r="A433">
        <v>431</v>
      </c>
      <c r="B433" s="3" t="s">
        <v>432</v>
      </c>
      <c r="C433" s="3" t="s">
        <v>4541</v>
      </c>
      <c r="D433" s="12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>((Table1[[#This Row],[deadline]]/60)/60/24)+DATE(1970,1,1)</f>
        <v>42556.871331018512</v>
      </c>
      <c r="K433">
        <v>1465160083</v>
      </c>
      <c r="L433" s="11">
        <f>((Table1[[#This Row],[launched_at]]/60)/60/24)+DATE(1970,1,1)</f>
        <v>42526.871331018512</v>
      </c>
      <c r="M433">
        <f>MONTH(Table1[[#This Row],[Date Created Conversion]])</f>
        <v>6</v>
      </c>
      <c r="N433">
        <f>YEAR(Table1[[#This Row],[Date Created Conversion]])</f>
        <v>2016</v>
      </c>
      <c r="O433" t="b">
        <v>0</v>
      </c>
      <c r="P433">
        <v>8</v>
      </c>
      <c r="Q433" t="b">
        <v>0</v>
      </c>
      <c r="R433" t="s">
        <v>8270</v>
      </c>
      <c r="S433" s="6">
        <f>Table1[[#This Row],[pledged]]/Table1[[#This Row],[goal]]</f>
        <v>0.13833333333333334</v>
      </c>
      <c r="T433" s="8">
        <f>IF(Table1[[#This Row],[pledged]]=0,"no backers",Table1[[#This Row],[pledged]]/Table1[[#This Row],[backers_count]])</f>
        <v>51.875</v>
      </c>
      <c r="U433" t="str">
        <f>LEFT(Table1[[#This Row],[Category and Sub-Category]],FIND("/",Table1[[#This Row],[Category and Sub-Category]])-1)</f>
        <v>film &amp; video</v>
      </c>
      <c r="V433" t="str">
        <f>RIGHT(Table1[[#This Row],[Category and Sub-Category]],LEN(Table1[[#This Row],[Category and Sub-Category]])-FIND("/",Table1[[#This Row],[Category and Sub-Category]]))</f>
        <v>animation</v>
      </c>
    </row>
    <row r="434" spans="1:22" ht="57.6" x14ac:dyDescent="0.3">
      <c r="A434">
        <v>432</v>
      </c>
      <c r="B434" s="3" t="s">
        <v>433</v>
      </c>
      <c r="C434" s="3" t="s">
        <v>4542</v>
      </c>
      <c r="D434" s="12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>((Table1[[#This Row],[deadline]]/60)/60/24)+DATE(1970,1,1)</f>
        <v>42298.726631944446</v>
      </c>
      <c r="K434">
        <v>1440264381</v>
      </c>
      <c r="L434" s="11">
        <f>((Table1[[#This Row],[launched_at]]/60)/60/24)+DATE(1970,1,1)</f>
        <v>42238.726631944446</v>
      </c>
      <c r="M434">
        <f>MONTH(Table1[[#This Row],[Date Created Conversion]])</f>
        <v>8</v>
      </c>
      <c r="N434">
        <f>YEAR(Table1[[#This Row],[Date Created Conversion]])</f>
        <v>2015</v>
      </c>
      <c r="O434" t="b">
        <v>0</v>
      </c>
      <c r="P434">
        <v>8</v>
      </c>
      <c r="Q434" t="b">
        <v>0</v>
      </c>
      <c r="R434" t="s">
        <v>8270</v>
      </c>
      <c r="S434" s="6">
        <f>Table1[[#This Row],[pledged]]/Table1[[#This Row],[goal]]</f>
        <v>9.5000000000000001E-2</v>
      </c>
      <c r="T434" s="8">
        <f>IF(Table1[[#This Row],[pledged]]=0,"no backers",Table1[[#This Row],[pledged]]/Table1[[#This Row],[backers_count]])</f>
        <v>71.25</v>
      </c>
      <c r="U434" t="str">
        <f>LEFT(Table1[[#This Row],[Category and Sub-Category]],FIND("/",Table1[[#This Row],[Category and Sub-Category]])-1)</f>
        <v>film &amp; video</v>
      </c>
      <c r="V434" t="str">
        <f>RIGHT(Table1[[#This Row],[Category and Sub-Category]],LEN(Table1[[#This Row],[Category and Sub-Category]])-FIND("/",Table1[[#This Row],[Category and Sub-Category]]))</f>
        <v>animation</v>
      </c>
    </row>
    <row r="435" spans="1:22" ht="57.6" x14ac:dyDescent="0.3">
      <c r="A435">
        <v>433</v>
      </c>
      <c r="B435" s="3" t="s">
        <v>434</v>
      </c>
      <c r="C435" s="3" t="s">
        <v>4543</v>
      </c>
      <c r="D435" s="12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>((Table1[[#This Row],[deadline]]/60)/60/24)+DATE(1970,1,1)</f>
        <v>42288.629884259266</v>
      </c>
      <c r="K435">
        <v>1439392022</v>
      </c>
      <c r="L435" s="11">
        <f>((Table1[[#This Row],[launched_at]]/60)/60/24)+DATE(1970,1,1)</f>
        <v>42228.629884259266</v>
      </c>
      <c r="M435">
        <f>MONTH(Table1[[#This Row],[Date Created Conversion]])</f>
        <v>8</v>
      </c>
      <c r="N435">
        <f>YEAR(Table1[[#This Row],[Date Created Conversion]])</f>
        <v>2015</v>
      </c>
      <c r="O435" t="b">
        <v>0</v>
      </c>
      <c r="P435">
        <v>0</v>
      </c>
      <c r="Q435" t="b">
        <v>0</v>
      </c>
      <c r="R435" t="s">
        <v>8270</v>
      </c>
      <c r="S435" s="6">
        <f>Table1[[#This Row],[pledged]]/Table1[[#This Row],[goal]]</f>
        <v>0</v>
      </c>
      <c r="T435" s="8" t="str">
        <f>IF(Table1[[#This Row],[pledged]]=0,"no backers",Table1[[#This Row],[pledged]]/Table1[[#This Row],[backers_count]])</f>
        <v>no backers</v>
      </c>
      <c r="U435" t="str">
        <f>LEFT(Table1[[#This Row],[Category and Sub-Category]],FIND("/",Table1[[#This Row],[Category and Sub-Category]])-1)</f>
        <v>film &amp; video</v>
      </c>
      <c r="V435" t="str">
        <f>RIGHT(Table1[[#This Row],[Category and Sub-Category]],LEN(Table1[[#This Row],[Category and Sub-Category]])-FIND("/",Table1[[#This Row],[Category and Sub-Category]]))</f>
        <v>animation</v>
      </c>
    </row>
    <row r="436" spans="1:22" ht="57.6" x14ac:dyDescent="0.3">
      <c r="A436">
        <v>434</v>
      </c>
      <c r="B436" s="3" t="s">
        <v>435</v>
      </c>
      <c r="C436" s="3" t="s">
        <v>4544</v>
      </c>
      <c r="D436" s="12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>((Table1[[#This Row],[deadline]]/60)/60/24)+DATE(1970,1,1)</f>
        <v>41609.876180555555</v>
      </c>
      <c r="K436">
        <v>1383076902</v>
      </c>
      <c r="L436" s="11">
        <f>((Table1[[#This Row],[launched_at]]/60)/60/24)+DATE(1970,1,1)</f>
        <v>41576.834513888891</v>
      </c>
      <c r="M436">
        <f>MONTH(Table1[[#This Row],[Date Created Conversion]])</f>
        <v>10</v>
      </c>
      <c r="N436">
        <f>YEAR(Table1[[#This Row],[Date Created Conversion]])</f>
        <v>2013</v>
      </c>
      <c r="O436" t="b">
        <v>0</v>
      </c>
      <c r="P436">
        <v>2</v>
      </c>
      <c r="Q436" t="b">
        <v>0</v>
      </c>
      <c r="R436" t="s">
        <v>8270</v>
      </c>
      <c r="S436" s="6">
        <f>Table1[[#This Row],[pledged]]/Table1[[#This Row],[goal]]</f>
        <v>0.05</v>
      </c>
      <c r="T436" s="8">
        <f>IF(Table1[[#This Row],[pledged]]=0,"no backers",Table1[[#This Row],[pledged]]/Table1[[#This Row],[backers_count]])</f>
        <v>62.5</v>
      </c>
      <c r="U436" t="str">
        <f>LEFT(Table1[[#This Row],[Category and Sub-Category]],FIND("/",Table1[[#This Row],[Category and Sub-Category]])-1)</f>
        <v>film &amp; video</v>
      </c>
      <c r="V436" t="str">
        <f>RIGHT(Table1[[#This Row],[Category and Sub-Category]],LEN(Table1[[#This Row],[Category and Sub-Category]])-FIND("/",Table1[[#This Row],[Category and Sub-Category]]))</f>
        <v>animation</v>
      </c>
    </row>
    <row r="437" spans="1:22" ht="57.6" x14ac:dyDescent="0.3">
      <c r="A437">
        <v>435</v>
      </c>
      <c r="B437" s="3" t="s">
        <v>436</v>
      </c>
      <c r="C437" s="3" t="s">
        <v>4545</v>
      </c>
      <c r="D437" s="12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>((Table1[[#This Row],[deadline]]/60)/60/24)+DATE(1970,1,1)</f>
        <v>41530.747453703705</v>
      </c>
      <c r="K437">
        <v>1376502980</v>
      </c>
      <c r="L437" s="11">
        <f>((Table1[[#This Row],[launched_at]]/60)/60/24)+DATE(1970,1,1)</f>
        <v>41500.747453703705</v>
      </c>
      <c r="M437">
        <f>MONTH(Table1[[#This Row],[Date Created Conversion]])</f>
        <v>8</v>
      </c>
      <c r="N437">
        <f>YEAR(Table1[[#This Row],[Date Created Conversion]])</f>
        <v>2013</v>
      </c>
      <c r="O437" t="b">
        <v>0</v>
      </c>
      <c r="P437">
        <v>3</v>
      </c>
      <c r="Q437" t="b">
        <v>0</v>
      </c>
      <c r="R437" t="s">
        <v>8270</v>
      </c>
      <c r="S437" s="6">
        <f>Table1[[#This Row],[pledged]]/Table1[[#This Row],[goal]]</f>
        <v>2.7272727272727273E-5</v>
      </c>
      <c r="T437" s="8">
        <f>IF(Table1[[#This Row],[pledged]]=0,"no backers",Table1[[#This Row],[pledged]]/Table1[[#This Row],[backers_count]])</f>
        <v>1</v>
      </c>
      <c r="U437" t="str">
        <f>LEFT(Table1[[#This Row],[Category and Sub-Category]],FIND("/",Table1[[#This Row],[Category and Sub-Category]])-1)</f>
        <v>film &amp; video</v>
      </c>
      <c r="V437" t="str">
        <f>RIGHT(Table1[[#This Row],[Category and Sub-Category]],LEN(Table1[[#This Row],[Category and Sub-Category]])-FIND("/",Table1[[#This Row],[Category and Sub-Category]]))</f>
        <v>animation</v>
      </c>
    </row>
    <row r="438" spans="1:22" ht="43.2" x14ac:dyDescent="0.3">
      <c r="A438">
        <v>436</v>
      </c>
      <c r="B438" s="3" t="s">
        <v>437</v>
      </c>
      <c r="C438" s="3" t="s">
        <v>4546</v>
      </c>
      <c r="D438" s="12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>((Table1[[#This Row],[deadline]]/60)/60/24)+DATE(1970,1,1)</f>
        <v>41486.36241898148</v>
      </c>
      <c r="K438">
        <v>1372668113</v>
      </c>
      <c r="L438" s="11">
        <f>((Table1[[#This Row],[launched_at]]/60)/60/24)+DATE(1970,1,1)</f>
        <v>41456.36241898148</v>
      </c>
      <c r="M438">
        <f>MONTH(Table1[[#This Row],[Date Created Conversion]])</f>
        <v>7</v>
      </c>
      <c r="N438">
        <f>YEAR(Table1[[#This Row],[Date Created Conversion]])</f>
        <v>2013</v>
      </c>
      <c r="O438" t="b">
        <v>0</v>
      </c>
      <c r="P438">
        <v>0</v>
      </c>
      <c r="Q438" t="b">
        <v>0</v>
      </c>
      <c r="R438" t="s">
        <v>8270</v>
      </c>
      <c r="S438" s="6">
        <f>Table1[[#This Row],[pledged]]/Table1[[#This Row],[goal]]</f>
        <v>0</v>
      </c>
      <c r="T438" s="8" t="str">
        <f>IF(Table1[[#This Row],[pledged]]=0,"no backers",Table1[[#This Row],[pledged]]/Table1[[#This Row],[backers_count]])</f>
        <v>no backers</v>
      </c>
      <c r="U438" t="str">
        <f>LEFT(Table1[[#This Row],[Category and Sub-Category]],FIND("/",Table1[[#This Row],[Category and Sub-Category]])-1)</f>
        <v>film &amp; video</v>
      </c>
      <c r="V438" t="str">
        <f>RIGHT(Table1[[#This Row],[Category and Sub-Category]],LEN(Table1[[#This Row],[Category and Sub-Category]])-FIND("/",Table1[[#This Row],[Category and Sub-Category]]))</f>
        <v>animation</v>
      </c>
    </row>
    <row r="439" spans="1:22" ht="43.2" x14ac:dyDescent="0.3">
      <c r="A439">
        <v>437</v>
      </c>
      <c r="B439" s="3" t="s">
        <v>438</v>
      </c>
      <c r="C439" s="3" t="s">
        <v>4547</v>
      </c>
      <c r="D439" s="12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>((Table1[[#This Row],[deadline]]/60)/60/24)+DATE(1970,1,1)</f>
        <v>42651.31858796296</v>
      </c>
      <c r="K439">
        <v>1470728326</v>
      </c>
      <c r="L439" s="11">
        <f>((Table1[[#This Row],[launched_at]]/60)/60/24)+DATE(1970,1,1)</f>
        <v>42591.31858796296</v>
      </c>
      <c r="M439">
        <f>MONTH(Table1[[#This Row],[Date Created Conversion]])</f>
        <v>8</v>
      </c>
      <c r="N439">
        <f>YEAR(Table1[[#This Row],[Date Created Conversion]])</f>
        <v>2016</v>
      </c>
      <c r="O439" t="b">
        <v>0</v>
      </c>
      <c r="P439">
        <v>0</v>
      </c>
      <c r="Q439" t="b">
        <v>0</v>
      </c>
      <c r="R439" t="s">
        <v>8270</v>
      </c>
      <c r="S439" s="6">
        <f>Table1[[#This Row],[pledged]]/Table1[[#This Row],[goal]]</f>
        <v>0</v>
      </c>
      <c r="T439" s="8" t="str">
        <f>IF(Table1[[#This Row],[pledged]]=0,"no backers",Table1[[#This Row],[pledged]]/Table1[[#This Row],[backers_count]])</f>
        <v>no backers</v>
      </c>
      <c r="U439" t="str">
        <f>LEFT(Table1[[#This Row],[Category and Sub-Category]],FIND("/",Table1[[#This Row],[Category and Sub-Category]])-1)</f>
        <v>film &amp; video</v>
      </c>
      <c r="V439" t="str">
        <f>RIGHT(Table1[[#This Row],[Category and Sub-Category]],LEN(Table1[[#This Row],[Category and Sub-Category]])-FIND("/",Table1[[#This Row],[Category and Sub-Category]]))</f>
        <v>animation</v>
      </c>
    </row>
    <row r="440" spans="1:22" ht="43.2" x14ac:dyDescent="0.3">
      <c r="A440">
        <v>438</v>
      </c>
      <c r="B440" s="3" t="s">
        <v>439</v>
      </c>
      <c r="C440" s="3" t="s">
        <v>4548</v>
      </c>
      <c r="D440" s="12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>((Table1[[#This Row],[deadline]]/60)/60/24)+DATE(1970,1,1)</f>
        <v>42326.302754629629</v>
      </c>
      <c r="K440">
        <v>1445235358</v>
      </c>
      <c r="L440" s="11">
        <f>((Table1[[#This Row],[launched_at]]/60)/60/24)+DATE(1970,1,1)</f>
        <v>42296.261087962965</v>
      </c>
      <c r="M440">
        <f>MONTH(Table1[[#This Row],[Date Created Conversion]])</f>
        <v>10</v>
      </c>
      <c r="N440">
        <f>YEAR(Table1[[#This Row],[Date Created Conversion]])</f>
        <v>2015</v>
      </c>
      <c r="O440" t="b">
        <v>0</v>
      </c>
      <c r="P440">
        <v>11</v>
      </c>
      <c r="Q440" t="b">
        <v>0</v>
      </c>
      <c r="R440" t="s">
        <v>8270</v>
      </c>
      <c r="S440" s="6">
        <f>Table1[[#This Row],[pledged]]/Table1[[#This Row],[goal]]</f>
        <v>9.3799999999999994E-2</v>
      </c>
      <c r="T440" s="8">
        <f>IF(Table1[[#This Row],[pledged]]=0,"no backers",Table1[[#This Row],[pledged]]/Table1[[#This Row],[backers_count]])</f>
        <v>170.54545454545453</v>
      </c>
      <c r="U440" t="str">
        <f>LEFT(Table1[[#This Row],[Category and Sub-Category]],FIND("/",Table1[[#This Row],[Category and Sub-Category]])-1)</f>
        <v>film &amp; video</v>
      </c>
      <c r="V440" t="str">
        <f>RIGHT(Table1[[#This Row],[Category and Sub-Category]],LEN(Table1[[#This Row],[Category and Sub-Category]])-FIND("/",Table1[[#This Row],[Category and Sub-Category]]))</f>
        <v>animation</v>
      </c>
    </row>
    <row r="441" spans="1:22" ht="43.2" x14ac:dyDescent="0.3">
      <c r="A441">
        <v>439</v>
      </c>
      <c r="B441" s="3" t="s">
        <v>440</v>
      </c>
      <c r="C441" s="3" t="s">
        <v>4549</v>
      </c>
      <c r="D441" s="12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>((Table1[[#This Row],[deadline]]/60)/60/24)+DATE(1970,1,1)</f>
        <v>41929.761782407404</v>
      </c>
      <c r="K441">
        <v>1412705818</v>
      </c>
      <c r="L441" s="11">
        <f>((Table1[[#This Row],[launched_at]]/60)/60/24)+DATE(1970,1,1)</f>
        <v>41919.761782407404</v>
      </c>
      <c r="M441">
        <f>MONTH(Table1[[#This Row],[Date Created Conversion]])</f>
        <v>10</v>
      </c>
      <c r="N441">
        <f>YEAR(Table1[[#This Row],[Date Created Conversion]])</f>
        <v>2014</v>
      </c>
      <c r="O441" t="b">
        <v>0</v>
      </c>
      <c r="P441">
        <v>0</v>
      </c>
      <c r="Q441" t="b">
        <v>0</v>
      </c>
      <c r="R441" t="s">
        <v>8270</v>
      </c>
      <c r="S441" s="6">
        <f>Table1[[#This Row],[pledged]]/Table1[[#This Row],[goal]]</f>
        <v>0</v>
      </c>
      <c r="T441" s="8" t="str">
        <f>IF(Table1[[#This Row],[pledged]]=0,"no backers",Table1[[#This Row],[pledged]]/Table1[[#This Row],[backers_count]])</f>
        <v>no backers</v>
      </c>
      <c r="U441" t="str">
        <f>LEFT(Table1[[#This Row],[Category and Sub-Category]],FIND("/",Table1[[#This Row],[Category and Sub-Category]])-1)</f>
        <v>film &amp; video</v>
      </c>
      <c r="V441" t="str">
        <f>RIGHT(Table1[[#This Row],[Category and Sub-Category]],LEN(Table1[[#This Row],[Category and Sub-Category]])-FIND("/",Table1[[#This Row],[Category and Sub-Category]]))</f>
        <v>animation</v>
      </c>
    </row>
    <row r="442" spans="1:22" ht="43.2" x14ac:dyDescent="0.3">
      <c r="A442">
        <v>440</v>
      </c>
      <c r="B442" s="3" t="s">
        <v>441</v>
      </c>
      <c r="C442" s="3" t="s">
        <v>4550</v>
      </c>
      <c r="D442" s="1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>((Table1[[#This Row],[deadline]]/60)/60/24)+DATE(1970,1,1)</f>
        <v>42453.943900462968</v>
      </c>
      <c r="K442">
        <v>1456270753</v>
      </c>
      <c r="L442" s="11">
        <f>((Table1[[#This Row],[launched_at]]/60)/60/24)+DATE(1970,1,1)</f>
        <v>42423.985567129625</v>
      </c>
      <c r="M442">
        <f>MONTH(Table1[[#This Row],[Date Created Conversion]])</f>
        <v>2</v>
      </c>
      <c r="N442">
        <f>YEAR(Table1[[#This Row],[Date Created Conversion]])</f>
        <v>2016</v>
      </c>
      <c r="O442" t="b">
        <v>0</v>
      </c>
      <c r="P442">
        <v>1</v>
      </c>
      <c r="Q442" t="b">
        <v>0</v>
      </c>
      <c r="R442" t="s">
        <v>8270</v>
      </c>
      <c r="S442" s="6">
        <f>Table1[[#This Row],[pledged]]/Table1[[#This Row],[goal]]</f>
        <v>1E-3</v>
      </c>
      <c r="T442" s="8">
        <f>IF(Table1[[#This Row],[pledged]]=0,"no backers",Table1[[#This Row],[pledged]]/Table1[[#This Row],[backers_count]])</f>
        <v>5</v>
      </c>
      <c r="U442" t="str">
        <f>LEFT(Table1[[#This Row],[Category and Sub-Category]],FIND("/",Table1[[#This Row],[Category and Sub-Category]])-1)</f>
        <v>film &amp; video</v>
      </c>
      <c r="V442" t="str">
        <f>RIGHT(Table1[[#This Row],[Category and Sub-Category]],LEN(Table1[[#This Row],[Category and Sub-Category]])-FIND("/",Table1[[#This Row],[Category and Sub-Category]]))</f>
        <v>animation</v>
      </c>
    </row>
    <row r="443" spans="1:22" ht="43.2" x14ac:dyDescent="0.3">
      <c r="A443">
        <v>441</v>
      </c>
      <c r="B443" s="3" t="s">
        <v>442</v>
      </c>
      <c r="C443" s="3" t="s">
        <v>4551</v>
      </c>
      <c r="D443" s="12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>((Table1[[#This Row],[deadline]]/60)/60/24)+DATE(1970,1,1)</f>
        <v>41580.793935185182</v>
      </c>
      <c r="K443">
        <v>1380826996</v>
      </c>
      <c r="L443" s="11">
        <f>((Table1[[#This Row],[launched_at]]/60)/60/24)+DATE(1970,1,1)</f>
        <v>41550.793935185182</v>
      </c>
      <c r="M443">
        <f>MONTH(Table1[[#This Row],[Date Created Conversion]])</f>
        <v>10</v>
      </c>
      <c r="N443">
        <f>YEAR(Table1[[#This Row],[Date Created Conversion]])</f>
        <v>2013</v>
      </c>
      <c r="O443" t="b">
        <v>0</v>
      </c>
      <c r="P443">
        <v>0</v>
      </c>
      <c r="Q443" t="b">
        <v>0</v>
      </c>
      <c r="R443" t="s">
        <v>8270</v>
      </c>
      <c r="S443" s="6">
        <f>Table1[[#This Row],[pledged]]/Table1[[#This Row],[goal]]</f>
        <v>0</v>
      </c>
      <c r="T443" s="8" t="str">
        <f>IF(Table1[[#This Row],[pledged]]=0,"no backers",Table1[[#This Row],[pledged]]/Table1[[#This Row],[backers_count]])</f>
        <v>no backers</v>
      </c>
      <c r="U443" t="str">
        <f>LEFT(Table1[[#This Row],[Category and Sub-Category]],FIND("/",Table1[[#This Row],[Category and Sub-Category]])-1)</f>
        <v>film &amp; video</v>
      </c>
      <c r="V443" t="str">
        <f>RIGHT(Table1[[#This Row],[Category and Sub-Category]],LEN(Table1[[#This Row],[Category and Sub-Category]])-FIND("/",Table1[[#This Row],[Category and Sub-Category]]))</f>
        <v>animation</v>
      </c>
    </row>
    <row r="444" spans="1:22" x14ac:dyDescent="0.3">
      <c r="A444">
        <v>442</v>
      </c>
      <c r="B444" s="3" t="s">
        <v>443</v>
      </c>
      <c r="C444" s="3" t="s">
        <v>4552</v>
      </c>
      <c r="D444" s="12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>((Table1[[#This Row],[deadline]]/60)/60/24)+DATE(1970,1,1)</f>
        <v>42054.888692129629</v>
      </c>
      <c r="K444">
        <v>1421788783</v>
      </c>
      <c r="L444" s="11">
        <f>((Table1[[#This Row],[launched_at]]/60)/60/24)+DATE(1970,1,1)</f>
        <v>42024.888692129629</v>
      </c>
      <c r="M444">
        <f>MONTH(Table1[[#This Row],[Date Created Conversion]])</f>
        <v>1</v>
      </c>
      <c r="N444">
        <f>YEAR(Table1[[#This Row],[Date Created Conversion]])</f>
        <v>2015</v>
      </c>
      <c r="O444" t="b">
        <v>0</v>
      </c>
      <c r="P444">
        <v>17</v>
      </c>
      <c r="Q444" t="b">
        <v>0</v>
      </c>
      <c r="R444" t="s">
        <v>8270</v>
      </c>
      <c r="S444" s="6">
        <f>Table1[[#This Row],[pledged]]/Table1[[#This Row],[goal]]</f>
        <v>0.39358823529411763</v>
      </c>
      <c r="T444" s="8">
        <f>IF(Table1[[#This Row],[pledged]]=0,"no backers",Table1[[#This Row],[pledged]]/Table1[[#This Row],[backers_count]])</f>
        <v>393.58823529411762</v>
      </c>
      <c r="U444" t="str">
        <f>LEFT(Table1[[#This Row],[Category and Sub-Category]],FIND("/",Table1[[#This Row],[Category and Sub-Category]])-1)</f>
        <v>film &amp; video</v>
      </c>
      <c r="V444" t="str">
        <f>RIGHT(Table1[[#This Row],[Category and Sub-Category]],LEN(Table1[[#This Row],[Category and Sub-Category]])-FIND("/",Table1[[#This Row],[Category and Sub-Category]]))</f>
        <v>animation</v>
      </c>
    </row>
    <row r="445" spans="1:22" ht="43.2" x14ac:dyDescent="0.3">
      <c r="A445">
        <v>443</v>
      </c>
      <c r="B445" s="3" t="s">
        <v>444</v>
      </c>
      <c r="C445" s="3" t="s">
        <v>4553</v>
      </c>
      <c r="D445" s="12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>((Table1[[#This Row],[deadline]]/60)/60/24)+DATE(1970,1,1)</f>
        <v>41680.015057870369</v>
      </c>
      <c r="K445">
        <v>1389399701</v>
      </c>
      <c r="L445" s="11">
        <f>((Table1[[#This Row],[launched_at]]/60)/60/24)+DATE(1970,1,1)</f>
        <v>41650.015057870369</v>
      </c>
      <c r="M445">
        <f>MONTH(Table1[[#This Row],[Date Created Conversion]])</f>
        <v>1</v>
      </c>
      <c r="N445">
        <f>YEAR(Table1[[#This Row],[Date Created Conversion]])</f>
        <v>2014</v>
      </c>
      <c r="O445" t="b">
        <v>0</v>
      </c>
      <c r="P445">
        <v>2</v>
      </c>
      <c r="Q445" t="b">
        <v>0</v>
      </c>
      <c r="R445" t="s">
        <v>8270</v>
      </c>
      <c r="S445" s="6">
        <f>Table1[[#This Row],[pledged]]/Table1[[#This Row],[goal]]</f>
        <v>1E-3</v>
      </c>
      <c r="T445" s="8">
        <f>IF(Table1[[#This Row],[pledged]]=0,"no backers",Table1[[#This Row],[pledged]]/Table1[[#This Row],[backers_count]])</f>
        <v>5</v>
      </c>
      <c r="U445" t="str">
        <f>LEFT(Table1[[#This Row],[Category and Sub-Category]],FIND("/",Table1[[#This Row],[Category and Sub-Category]])-1)</f>
        <v>film &amp; video</v>
      </c>
      <c r="V445" t="str">
        <f>RIGHT(Table1[[#This Row],[Category and Sub-Category]],LEN(Table1[[#This Row],[Category and Sub-Category]])-FIND("/",Table1[[#This Row],[Category and Sub-Category]]))</f>
        <v>animation</v>
      </c>
    </row>
    <row r="446" spans="1:22" ht="43.2" x14ac:dyDescent="0.3">
      <c r="A446">
        <v>444</v>
      </c>
      <c r="B446" s="3" t="s">
        <v>445</v>
      </c>
      <c r="C446" s="3" t="s">
        <v>4554</v>
      </c>
      <c r="D446" s="12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>((Table1[[#This Row],[deadline]]/60)/60/24)+DATE(1970,1,1)</f>
        <v>40954.906956018516</v>
      </c>
      <c r="K446">
        <v>1324158361</v>
      </c>
      <c r="L446" s="11">
        <f>((Table1[[#This Row],[launched_at]]/60)/60/24)+DATE(1970,1,1)</f>
        <v>40894.906956018516</v>
      </c>
      <c r="M446">
        <f>MONTH(Table1[[#This Row],[Date Created Conversion]])</f>
        <v>12</v>
      </c>
      <c r="N446">
        <f>YEAR(Table1[[#This Row],[Date Created Conversion]])</f>
        <v>2011</v>
      </c>
      <c r="O446" t="b">
        <v>0</v>
      </c>
      <c r="P446">
        <v>1</v>
      </c>
      <c r="Q446" t="b">
        <v>0</v>
      </c>
      <c r="R446" t="s">
        <v>8270</v>
      </c>
      <c r="S446" s="6">
        <f>Table1[[#This Row],[pledged]]/Table1[[#This Row],[goal]]</f>
        <v>0.05</v>
      </c>
      <c r="T446" s="8">
        <f>IF(Table1[[#This Row],[pledged]]=0,"no backers",Table1[[#This Row],[pledged]]/Table1[[#This Row],[backers_count]])</f>
        <v>50</v>
      </c>
      <c r="U446" t="str">
        <f>LEFT(Table1[[#This Row],[Category and Sub-Category]],FIND("/",Table1[[#This Row],[Category and Sub-Category]])-1)</f>
        <v>film &amp; video</v>
      </c>
      <c r="V446" t="str">
        <f>RIGHT(Table1[[#This Row],[Category and Sub-Category]],LEN(Table1[[#This Row],[Category and Sub-Category]])-FIND("/",Table1[[#This Row],[Category and Sub-Category]]))</f>
        <v>animation</v>
      </c>
    </row>
    <row r="447" spans="1:22" ht="43.2" x14ac:dyDescent="0.3">
      <c r="A447">
        <v>445</v>
      </c>
      <c r="B447" s="3" t="s">
        <v>446</v>
      </c>
      <c r="C447" s="3" t="s">
        <v>4555</v>
      </c>
      <c r="D447" s="12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>((Table1[[#This Row],[deadline]]/60)/60/24)+DATE(1970,1,1)</f>
        <v>42145.335358796292</v>
      </c>
      <c r="K447">
        <v>1430899375</v>
      </c>
      <c r="L447" s="11">
        <f>((Table1[[#This Row],[launched_at]]/60)/60/24)+DATE(1970,1,1)</f>
        <v>42130.335358796292</v>
      </c>
      <c r="M447">
        <f>MONTH(Table1[[#This Row],[Date Created Conversion]])</f>
        <v>5</v>
      </c>
      <c r="N447">
        <f>YEAR(Table1[[#This Row],[Date Created Conversion]])</f>
        <v>2015</v>
      </c>
      <c r="O447" t="b">
        <v>0</v>
      </c>
      <c r="P447">
        <v>2</v>
      </c>
      <c r="Q447" t="b">
        <v>0</v>
      </c>
      <c r="R447" t="s">
        <v>8270</v>
      </c>
      <c r="S447" s="6">
        <f>Table1[[#This Row],[pledged]]/Table1[[#This Row],[goal]]</f>
        <v>3.3333333333333335E-5</v>
      </c>
      <c r="T447" s="8">
        <f>IF(Table1[[#This Row],[pledged]]=0,"no backers",Table1[[#This Row],[pledged]]/Table1[[#This Row],[backers_count]])</f>
        <v>1</v>
      </c>
      <c r="U447" t="str">
        <f>LEFT(Table1[[#This Row],[Category and Sub-Category]],FIND("/",Table1[[#This Row],[Category and Sub-Category]])-1)</f>
        <v>film &amp; video</v>
      </c>
      <c r="V447" t="str">
        <f>RIGHT(Table1[[#This Row],[Category and Sub-Category]],LEN(Table1[[#This Row],[Category and Sub-Category]])-FIND("/",Table1[[#This Row],[Category and Sub-Category]]))</f>
        <v>animation</v>
      </c>
    </row>
    <row r="448" spans="1:22" ht="43.2" x14ac:dyDescent="0.3">
      <c r="A448">
        <v>446</v>
      </c>
      <c r="B448" s="3" t="s">
        <v>447</v>
      </c>
      <c r="C448" s="3" t="s">
        <v>4556</v>
      </c>
      <c r="D448" s="12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>((Table1[[#This Row],[deadline]]/60)/60/24)+DATE(1970,1,1)</f>
        <v>42067.083564814813</v>
      </c>
      <c r="K448">
        <v>1422842420</v>
      </c>
      <c r="L448" s="11">
        <f>((Table1[[#This Row],[launched_at]]/60)/60/24)+DATE(1970,1,1)</f>
        <v>42037.083564814813</v>
      </c>
      <c r="M448">
        <f>MONTH(Table1[[#This Row],[Date Created Conversion]])</f>
        <v>2</v>
      </c>
      <c r="N448">
        <f>YEAR(Table1[[#This Row],[Date Created Conversion]])</f>
        <v>2015</v>
      </c>
      <c r="O448" t="b">
        <v>0</v>
      </c>
      <c r="P448">
        <v>16</v>
      </c>
      <c r="Q448" t="b">
        <v>0</v>
      </c>
      <c r="R448" t="s">
        <v>8270</v>
      </c>
      <c r="S448" s="6">
        <f>Table1[[#This Row],[pledged]]/Table1[[#This Row],[goal]]</f>
        <v>7.2952380952380949E-2</v>
      </c>
      <c r="T448" s="8">
        <f>IF(Table1[[#This Row],[pledged]]=0,"no backers",Table1[[#This Row],[pledged]]/Table1[[#This Row],[backers_count]])</f>
        <v>47.875</v>
      </c>
      <c r="U448" t="str">
        <f>LEFT(Table1[[#This Row],[Category and Sub-Category]],FIND("/",Table1[[#This Row],[Category and Sub-Category]])-1)</f>
        <v>film &amp; video</v>
      </c>
      <c r="V448" t="str">
        <f>RIGHT(Table1[[#This Row],[Category and Sub-Category]],LEN(Table1[[#This Row],[Category and Sub-Category]])-FIND("/",Table1[[#This Row],[Category and Sub-Category]]))</f>
        <v>animation</v>
      </c>
    </row>
    <row r="449" spans="1:22" ht="43.2" x14ac:dyDescent="0.3">
      <c r="A449">
        <v>447</v>
      </c>
      <c r="B449" s="3" t="s">
        <v>448</v>
      </c>
      <c r="C449" s="3" t="s">
        <v>4557</v>
      </c>
      <c r="D449" s="12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>((Table1[[#This Row],[deadline]]/60)/60/24)+DATE(1970,1,1)</f>
        <v>41356.513460648144</v>
      </c>
      <c r="K449">
        <v>1361884763</v>
      </c>
      <c r="L449" s="11">
        <f>((Table1[[#This Row],[launched_at]]/60)/60/24)+DATE(1970,1,1)</f>
        <v>41331.555127314816</v>
      </c>
      <c r="M449">
        <f>MONTH(Table1[[#This Row],[Date Created Conversion]])</f>
        <v>2</v>
      </c>
      <c r="N449">
        <f>YEAR(Table1[[#This Row],[Date Created Conversion]])</f>
        <v>2013</v>
      </c>
      <c r="O449" t="b">
        <v>0</v>
      </c>
      <c r="P449">
        <v>1</v>
      </c>
      <c r="Q449" t="b">
        <v>0</v>
      </c>
      <c r="R449" t="s">
        <v>8270</v>
      </c>
      <c r="S449" s="6">
        <f>Table1[[#This Row],[pledged]]/Table1[[#This Row],[goal]]</f>
        <v>1.6666666666666666E-4</v>
      </c>
      <c r="T449" s="8">
        <f>IF(Table1[[#This Row],[pledged]]=0,"no backers",Table1[[#This Row],[pledged]]/Table1[[#This Row],[backers_count]])</f>
        <v>5</v>
      </c>
      <c r="U449" t="str">
        <f>LEFT(Table1[[#This Row],[Category and Sub-Category]],FIND("/",Table1[[#This Row],[Category and Sub-Category]])-1)</f>
        <v>film &amp; video</v>
      </c>
      <c r="V449" t="str">
        <f>RIGHT(Table1[[#This Row],[Category and Sub-Category]],LEN(Table1[[#This Row],[Category and Sub-Category]])-FIND("/",Table1[[#This Row],[Category and Sub-Category]]))</f>
        <v>animation</v>
      </c>
    </row>
    <row r="450" spans="1:22" ht="43.2" x14ac:dyDescent="0.3">
      <c r="A450">
        <v>448</v>
      </c>
      <c r="B450" s="3" t="s">
        <v>449</v>
      </c>
      <c r="C450" s="3" t="s">
        <v>4558</v>
      </c>
      <c r="D450" s="12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>((Table1[[#This Row],[deadline]]/60)/60/24)+DATE(1970,1,1)</f>
        <v>41773.758043981477</v>
      </c>
      <c r="K450">
        <v>1398363095</v>
      </c>
      <c r="L450" s="11">
        <f>((Table1[[#This Row],[launched_at]]/60)/60/24)+DATE(1970,1,1)</f>
        <v>41753.758043981477</v>
      </c>
      <c r="M450">
        <f>MONTH(Table1[[#This Row],[Date Created Conversion]])</f>
        <v>4</v>
      </c>
      <c r="N450">
        <f>YEAR(Table1[[#This Row],[Date Created Conversion]])</f>
        <v>2014</v>
      </c>
      <c r="O450" t="b">
        <v>0</v>
      </c>
      <c r="P450">
        <v>4</v>
      </c>
      <c r="Q450" t="b">
        <v>0</v>
      </c>
      <c r="R450" t="s">
        <v>8270</v>
      </c>
      <c r="S450" s="6">
        <f>Table1[[#This Row],[pledged]]/Table1[[#This Row],[goal]]</f>
        <v>3.2804E-2</v>
      </c>
      <c r="T450" s="8">
        <f>IF(Table1[[#This Row],[pledged]]=0,"no backers",Table1[[#This Row],[pledged]]/Table1[[#This Row],[backers_count]])</f>
        <v>20.502500000000001</v>
      </c>
      <c r="U450" t="str">
        <f>LEFT(Table1[[#This Row],[Category and Sub-Category]],FIND("/",Table1[[#This Row],[Category and Sub-Category]])-1)</f>
        <v>film &amp; video</v>
      </c>
      <c r="V450" t="str">
        <f>RIGHT(Table1[[#This Row],[Category and Sub-Category]],LEN(Table1[[#This Row],[Category and Sub-Category]])-FIND("/",Table1[[#This Row],[Category and Sub-Category]]))</f>
        <v>animation</v>
      </c>
    </row>
    <row r="451" spans="1:22" ht="43.2" x14ac:dyDescent="0.3">
      <c r="A451">
        <v>449</v>
      </c>
      <c r="B451" s="3" t="s">
        <v>450</v>
      </c>
      <c r="C451" s="3" t="s">
        <v>4559</v>
      </c>
      <c r="D451" s="12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>((Table1[[#This Row],[deadline]]/60)/60/24)+DATE(1970,1,1)</f>
        <v>41564.568113425928</v>
      </c>
      <c r="K451">
        <v>1379425085</v>
      </c>
      <c r="L451" s="11">
        <f>((Table1[[#This Row],[launched_at]]/60)/60/24)+DATE(1970,1,1)</f>
        <v>41534.568113425928</v>
      </c>
      <c r="M451">
        <f>MONTH(Table1[[#This Row],[Date Created Conversion]])</f>
        <v>9</v>
      </c>
      <c r="N451">
        <f>YEAR(Table1[[#This Row],[Date Created Conversion]])</f>
        <v>2013</v>
      </c>
      <c r="O451" t="b">
        <v>0</v>
      </c>
      <c r="P451">
        <v>5</v>
      </c>
      <c r="Q451" t="b">
        <v>0</v>
      </c>
      <c r="R451" t="s">
        <v>8270</v>
      </c>
      <c r="S451" s="6">
        <f>Table1[[#This Row],[pledged]]/Table1[[#This Row],[goal]]</f>
        <v>2.2499999999999999E-2</v>
      </c>
      <c r="T451" s="8">
        <f>IF(Table1[[#This Row],[pledged]]=0,"no backers",Table1[[#This Row],[pledged]]/Table1[[#This Row],[backers_count]])</f>
        <v>9</v>
      </c>
      <c r="U451" t="str">
        <f>LEFT(Table1[[#This Row],[Category and Sub-Category]],FIND("/",Table1[[#This Row],[Category and Sub-Category]])-1)</f>
        <v>film &amp; video</v>
      </c>
      <c r="V451" t="str">
        <f>RIGHT(Table1[[#This Row],[Category and Sub-Category]],LEN(Table1[[#This Row],[Category and Sub-Category]])-FIND("/",Table1[[#This Row],[Category and Sub-Category]]))</f>
        <v>animation</v>
      </c>
    </row>
    <row r="452" spans="1:22" ht="43.2" x14ac:dyDescent="0.3">
      <c r="A452">
        <v>450</v>
      </c>
      <c r="B452" s="3" t="s">
        <v>451</v>
      </c>
      <c r="C452" s="3" t="s">
        <v>4560</v>
      </c>
      <c r="D452" s="1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>((Table1[[#This Row],[deadline]]/60)/60/24)+DATE(1970,1,1)</f>
        <v>41684.946759259255</v>
      </c>
      <c r="K452">
        <v>1389825800</v>
      </c>
      <c r="L452" s="11">
        <f>((Table1[[#This Row],[launched_at]]/60)/60/24)+DATE(1970,1,1)</f>
        <v>41654.946759259255</v>
      </c>
      <c r="M452">
        <f>MONTH(Table1[[#This Row],[Date Created Conversion]])</f>
        <v>1</v>
      </c>
      <c r="N452">
        <f>YEAR(Table1[[#This Row],[Date Created Conversion]])</f>
        <v>2014</v>
      </c>
      <c r="O452" t="b">
        <v>0</v>
      </c>
      <c r="P452">
        <v>7</v>
      </c>
      <c r="Q452" t="b">
        <v>0</v>
      </c>
      <c r="R452" t="s">
        <v>8270</v>
      </c>
      <c r="S452" s="6">
        <f>Table1[[#This Row],[pledged]]/Table1[[#This Row],[goal]]</f>
        <v>7.92E-3</v>
      </c>
      <c r="T452" s="8">
        <f>IF(Table1[[#This Row],[pledged]]=0,"no backers",Table1[[#This Row],[pledged]]/Table1[[#This Row],[backers_count]])</f>
        <v>56.571428571428569</v>
      </c>
      <c r="U452" t="str">
        <f>LEFT(Table1[[#This Row],[Category and Sub-Category]],FIND("/",Table1[[#This Row],[Category and Sub-Category]])-1)</f>
        <v>film &amp; video</v>
      </c>
      <c r="V452" t="str">
        <f>RIGHT(Table1[[#This Row],[Category and Sub-Category]],LEN(Table1[[#This Row],[Category and Sub-Category]])-FIND("/",Table1[[#This Row],[Category and Sub-Category]]))</f>
        <v>animation</v>
      </c>
    </row>
    <row r="453" spans="1:22" ht="43.2" x14ac:dyDescent="0.3">
      <c r="A453">
        <v>451</v>
      </c>
      <c r="B453" s="3" t="s">
        <v>452</v>
      </c>
      <c r="C453" s="3" t="s">
        <v>4561</v>
      </c>
      <c r="D453" s="12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>((Table1[[#This Row],[deadline]]/60)/60/24)+DATE(1970,1,1)</f>
        <v>41664.715173611112</v>
      </c>
      <c r="K453">
        <v>1388077791</v>
      </c>
      <c r="L453" s="11">
        <f>((Table1[[#This Row],[launched_at]]/60)/60/24)+DATE(1970,1,1)</f>
        <v>41634.715173611112</v>
      </c>
      <c r="M453">
        <f>MONTH(Table1[[#This Row],[Date Created Conversion]])</f>
        <v>12</v>
      </c>
      <c r="N453">
        <f>YEAR(Table1[[#This Row],[Date Created Conversion]])</f>
        <v>2013</v>
      </c>
      <c r="O453" t="b">
        <v>0</v>
      </c>
      <c r="P453">
        <v>0</v>
      </c>
      <c r="Q453" t="b">
        <v>0</v>
      </c>
      <c r="R453" t="s">
        <v>8270</v>
      </c>
      <c r="S453" s="6">
        <f>Table1[[#This Row],[pledged]]/Table1[[#This Row],[goal]]</f>
        <v>0</v>
      </c>
      <c r="T453" s="8" t="str">
        <f>IF(Table1[[#This Row],[pledged]]=0,"no backers",Table1[[#This Row],[pledged]]/Table1[[#This Row],[backers_count]])</f>
        <v>no backers</v>
      </c>
      <c r="U453" t="str">
        <f>LEFT(Table1[[#This Row],[Category and Sub-Category]],FIND("/",Table1[[#This Row],[Category and Sub-Category]])-1)</f>
        <v>film &amp; video</v>
      </c>
      <c r="V453" t="str">
        <f>RIGHT(Table1[[#This Row],[Category and Sub-Category]],LEN(Table1[[#This Row],[Category and Sub-Category]])-FIND("/",Table1[[#This Row],[Category and Sub-Category]]))</f>
        <v>animation</v>
      </c>
    </row>
    <row r="454" spans="1:22" ht="28.8" x14ac:dyDescent="0.3">
      <c r="A454">
        <v>452</v>
      </c>
      <c r="B454" s="3" t="s">
        <v>453</v>
      </c>
      <c r="C454" s="3" t="s">
        <v>4562</v>
      </c>
      <c r="D454" s="12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>((Table1[[#This Row],[deadline]]/60)/60/24)+DATE(1970,1,1)</f>
        <v>42137.703877314809</v>
      </c>
      <c r="K454">
        <v>1428944015</v>
      </c>
      <c r="L454" s="11">
        <f>((Table1[[#This Row],[launched_at]]/60)/60/24)+DATE(1970,1,1)</f>
        <v>42107.703877314809</v>
      </c>
      <c r="M454">
        <f>MONTH(Table1[[#This Row],[Date Created Conversion]])</f>
        <v>4</v>
      </c>
      <c r="N454">
        <f>YEAR(Table1[[#This Row],[Date Created Conversion]])</f>
        <v>2015</v>
      </c>
      <c r="O454" t="b">
        <v>0</v>
      </c>
      <c r="P454">
        <v>12</v>
      </c>
      <c r="Q454" t="b">
        <v>0</v>
      </c>
      <c r="R454" t="s">
        <v>8270</v>
      </c>
      <c r="S454" s="6">
        <f>Table1[[#This Row],[pledged]]/Table1[[#This Row],[goal]]</f>
        <v>0.64</v>
      </c>
      <c r="T454" s="8">
        <f>IF(Table1[[#This Row],[pledged]]=0,"no backers",Table1[[#This Row],[pledged]]/Table1[[#This Row],[backers_count]])</f>
        <v>40</v>
      </c>
      <c r="U454" t="str">
        <f>LEFT(Table1[[#This Row],[Category and Sub-Category]],FIND("/",Table1[[#This Row],[Category and Sub-Category]])-1)</f>
        <v>film &amp; video</v>
      </c>
      <c r="V454" t="str">
        <f>RIGHT(Table1[[#This Row],[Category and Sub-Category]],LEN(Table1[[#This Row],[Category and Sub-Category]])-FIND("/",Table1[[#This Row],[Category and Sub-Category]]))</f>
        <v>animation</v>
      </c>
    </row>
    <row r="455" spans="1:22" ht="43.2" x14ac:dyDescent="0.3">
      <c r="A455">
        <v>453</v>
      </c>
      <c r="B455" s="3" t="s">
        <v>454</v>
      </c>
      <c r="C455" s="3" t="s">
        <v>4563</v>
      </c>
      <c r="D455" s="12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>((Table1[[#This Row],[deadline]]/60)/60/24)+DATE(1970,1,1)</f>
        <v>42054.824988425928</v>
      </c>
      <c r="K455">
        <v>1422992879</v>
      </c>
      <c r="L455" s="11">
        <f>((Table1[[#This Row],[launched_at]]/60)/60/24)+DATE(1970,1,1)</f>
        <v>42038.824988425928</v>
      </c>
      <c r="M455">
        <f>MONTH(Table1[[#This Row],[Date Created Conversion]])</f>
        <v>2</v>
      </c>
      <c r="N455">
        <f>YEAR(Table1[[#This Row],[Date Created Conversion]])</f>
        <v>2015</v>
      </c>
      <c r="O455" t="b">
        <v>0</v>
      </c>
      <c r="P455">
        <v>2</v>
      </c>
      <c r="Q455" t="b">
        <v>0</v>
      </c>
      <c r="R455" t="s">
        <v>8270</v>
      </c>
      <c r="S455" s="6">
        <f>Table1[[#This Row],[pledged]]/Table1[[#This Row],[goal]]</f>
        <v>2.740447957839262E-4</v>
      </c>
      <c r="T455" s="8">
        <f>IF(Table1[[#This Row],[pledged]]=0,"no backers",Table1[[#This Row],[pledged]]/Table1[[#This Row],[backers_count]])</f>
        <v>13</v>
      </c>
      <c r="U455" t="str">
        <f>LEFT(Table1[[#This Row],[Category and Sub-Category]],FIND("/",Table1[[#This Row],[Category and Sub-Category]])-1)</f>
        <v>film &amp; video</v>
      </c>
      <c r="V455" t="str">
        <f>RIGHT(Table1[[#This Row],[Category and Sub-Category]],LEN(Table1[[#This Row],[Category and Sub-Category]])-FIND("/",Table1[[#This Row],[Category and Sub-Category]]))</f>
        <v>animation</v>
      </c>
    </row>
    <row r="456" spans="1:22" ht="43.2" x14ac:dyDescent="0.3">
      <c r="A456">
        <v>454</v>
      </c>
      <c r="B456" s="3" t="s">
        <v>455</v>
      </c>
      <c r="C456" s="3" t="s">
        <v>4564</v>
      </c>
      <c r="D456" s="12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>((Table1[[#This Row],[deadline]]/60)/60/24)+DATE(1970,1,1)</f>
        <v>41969.551388888889</v>
      </c>
      <c r="K456">
        <v>1414343571</v>
      </c>
      <c r="L456" s="11">
        <f>((Table1[[#This Row],[launched_at]]/60)/60/24)+DATE(1970,1,1)</f>
        <v>41938.717256944445</v>
      </c>
      <c r="M456">
        <f>MONTH(Table1[[#This Row],[Date Created Conversion]])</f>
        <v>10</v>
      </c>
      <c r="N456">
        <f>YEAR(Table1[[#This Row],[Date Created Conversion]])</f>
        <v>2014</v>
      </c>
      <c r="O456" t="b">
        <v>0</v>
      </c>
      <c r="P456">
        <v>5</v>
      </c>
      <c r="Q456" t="b">
        <v>0</v>
      </c>
      <c r="R456" t="s">
        <v>8270</v>
      </c>
      <c r="S456" s="6">
        <f>Table1[[#This Row],[pledged]]/Table1[[#This Row],[goal]]</f>
        <v>8.2000000000000007E-3</v>
      </c>
      <c r="T456" s="8">
        <f>IF(Table1[[#This Row],[pledged]]=0,"no backers",Table1[[#This Row],[pledged]]/Table1[[#This Row],[backers_count]])</f>
        <v>16.399999999999999</v>
      </c>
      <c r="U456" t="str">
        <f>LEFT(Table1[[#This Row],[Category and Sub-Category]],FIND("/",Table1[[#This Row],[Category and Sub-Category]])-1)</f>
        <v>film &amp; video</v>
      </c>
      <c r="V456" t="str">
        <f>RIGHT(Table1[[#This Row],[Category and Sub-Category]],LEN(Table1[[#This Row],[Category and Sub-Category]])-FIND("/",Table1[[#This Row],[Category and Sub-Category]]))</f>
        <v>animation</v>
      </c>
    </row>
    <row r="457" spans="1:22" ht="43.2" x14ac:dyDescent="0.3">
      <c r="A457">
        <v>455</v>
      </c>
      <c r="B457" s="3" t="s">
        <v>456</v>
      </c>
      <c r="C457" s="3" t="s">
        <v>4565</v>
      </c>
      <c r="D457" s="12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>((Table1[[#This Row],[deadline]]/60)/60/24)+DATE(1970,1,1)</f>
        <v>41016.021527777775</v>
      </c>
      <c r="K457">
        <v>1330733022</v>
      </c>
      <c r="L457" s="11">
        <f>((Table1[[#This Row],[launched_at]]/60)/60/24)+DATE(1970,1,1)</f>
        <v>40971.002569444441</v>
      </c>
      <c r="M457">
        <f>MONTH(Table1[[#This Row],[Date Created Conversion]])</f>
        <v>3</v>
      </c>
      <c r="N457">
        <f>YEAR(Table1[[#This Row],[Date Created Conversion]])</f>
        <v>2012</v>
      </c>
      <c r="O457" t="b">
        <v>0</v>
      </c>
      <c r="P457">
        <v>2</v>
      </c>
      <c r="Q457" t="b">
        <v>0</v>
      </c>
      <c r="R457" t="s">
        <v>8270</v>
      </c>
      <c r="S457" s="6">
        <f>Table1[[#This Row],[pledged]]/Table1[[#This Row],[goal]]</f>
        <v>6.9230769230769226E-4</v>
      </c>
      <c r="T457" s="8">
        <f>IF(Table1[[#This Row],[pledged]]=0,"no backers",Table1[[#This Row],[pledged]]/Table1[[#This Row],[backers_count]])</f>
        <v>22.5</v>
      </c>
      <c r="U457" t="str">
        <f>LEFT(Table1[[#This Row],[Category and Sub-Category]],FIND("/",Table1[[#This Row],[Category and Sub-Category]])-1)</f>
        <v>film &amp; video</v>
      </c>
      <c r="V457" t="str">
        <f>RIGHT(Table1[[#This Row],[Category and Sub-Category]],LEN(Table1[[#This Row],[Category and Sub-Category]])-FIND("/",Table1[[#This Row],[Category and Sub-Category]]))</f>
        <v>animation</v>
      </c>
    </row>
    <row r="458" spans="1:22" ht="43.2" x14ac:dyDescent="0.3">
      <c r="A458">
        <v>456</v>
      </c>
      <c r="B458" s="3" t="s">
        <v>457</v>
      </c>
      <c r="C458" s="3" t="s">
        <v>4566</v>
      </c>
      <c r="D458" s="12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>((Table1[[#This Row],[deadline]]/60)/60/24)+DATE(1970,1,1)</f>
        <v>41569.165972222225</v>
      </c>
      <c r="K458">
        <v>1380559201</v>
      </c>
      <c r="L458" s="11">
        <f>((Table1[[#This Row],[launched_at]]/60)/60/24)+DATE(1970,1,1)</f>
        <v>41547.694456018515</v>
      </c>
      <c r="M458">
        <f>MONTH(Table1[[#This Row],[Date Created Conversion]])</f>
        <v>9</v>
      </c>
      <c r="N458">
        <f>YEAR(Table1[[#This Row],[Date Created Conversion]])</f>
        <v>2013</v>
      </c>
      <c r="O458" t="b">
        <v>0</v>
      </c>
      <c r="P458">
        <v>3</v>
      </c>
      <c r="Q458" t="b">
        <v>0</v>
      </c>
      <c r="R458" t="s">
        <v>8270</v>
      </c>
      <c r="S458" s="6">
        <f>Table1[[#This Row],[pledged]]/Table1[[#This Row],[goal]]</f>
        <v>6.8631863186318634E-3</v>
      </c>
      <c r="T458" s="8">
        <f>IF(Table1[[#This Row],[pledged]]=0,"no backers",Table1[[#This Row],[pledged]]/Table1[[#This Row],[backers_count]])</f>
        <v>20.333333333333332</v>
      </c>
      <c r="U458" t="str">
        <f>LEFT(Table1[[#This Row],[Category and Sub-Category]],FIND("/",Table1[[#This Row],[Category and Sub-Category]])-1)</f>
        <v>film &amp; video</v>
      </c>
      <c r="V458" t="str">
        <f>RIGHT(Table1[[#This Row],[Category and Sub-Category]],LEN(Table1[[#This Row],[Category and Sub-Category]])-FIND("/",Table1[[#This Row],[Category and Sub-Category]]))</f>
        <v>animation</v>
      </c>
    </row>
    <row r="459" spans="1:22" ht="43.2" x14ac:dyDescent="0.3">
      <c r="A459">
        <v>457</v>
      </c>
      <c r="B459" s="3" t="s">
        <v>458</v>
      </c>
      <c r="C459" s="3" t="s">
        <v>4567</v>
      </c>
      <c r="D459" s="12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>((Table1[[#This Row],[deadline]]/60)/60/24)+DATE(1970,1,1)</f>
        <v>41867.767500000002</v>
      </c>
      <c r="K459">
        <v>1405621512</v>
      </c>
      <c r="L459" s="11">
        <f>((Table1[[#This Row],[launched_at]]/60)/60/24)+DATE(1970,1,1)</f>
        <v>41837.767500000002</v>
      </c>
      <c r="M459">
        <f>MONTH(Table1[[#This Row],[Date Created Conversion]])</f>
        <v>7</v>
      </c>
      <c r="N459">
        <f>YEAR(Table1[[#This Row],[Date Created Conversion]])</f>
        <v>2014</v>
      </c>
      <c r="O459" t="b">
        <v>0</v>
      </c>
      <c r="P459">
        <v>0</v>
      </c>
      <c r="Q459" t="b">
        <v>0</v>
      </c>
      <c r="R459" t="s">
        <v>8270</v>
      </c>
      <c r="S459" s="6">
        <f>Table1[[#This Row],[pledged]]/Table1[[#This Row],[goal]]</f>
        <v>0</v>
      </c>
      <c r="T459" s="8" t="str">
        <f>IF(Table1[[#This Row],[pledged]]=0,"no backers",Table1[[#This Row],[pledged]]/Table1[[#This Row],[backers_count]])</f>
        <v>no backers</v>
      </c>
      <c r="U459" t="str">
        <f>LEFT(Table1[[#This Row],[Category and Sub-Category]],FIND("/",Table1[[#This Row],[Category and Sub-Category]])-1)</f>
        <v>film &amp; video</v>
      </c>
      <c r="V459" t="str">
        <f>RIGHT(Table1[[#This Row],[Category and Sub-Category]],LEN(Table1[[#This Row],[Category and Sub-Category]])-FIND("/",Table1[[#This Row],[Category and Sub-Category]]))</f>
        <v>animation</v>
      </c>
    </row>
    <row r="460" spans="1:22" ht="43.2" x14ac:dyDescent="0.3">
      <c r="A460">
        <v>458</v>
      </c>
      <c r="B460" s="3" t="s">
        <v>459</v>
      </c>
      <c r="C460" s="3" t="s">
        <v>4568</v>
      </c>
      <c r="D460" s="12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>((Table1[[#This Row],[deadline]]/60)/60/24)+DATE(1970,1,1)</f>
        <v>41408.69976851852</v>
      </c>
      <c r="K460">
        <v>1365958060</v>
      </c>
      <c r="L460" s="11">
        <f>((Table1[[#This Row],[launched_at]]/60)/60/24)+DATE(1970,1,1)</f>
        <v>41378.69976851852</v>
      </c>
      <c r="M460">
        <f>MONTH(Table1[[#This Row],[Date Created Conversion]])</f>
        <v>4</v>
      </c>
      <c r="N460">
        <f>YEAR(Table1[[#This Row],[Date Created Conversion]])</f>
        <v>2013</v>
      </c>
      <c r="O460" t="b">
        <v>0</v>
      </c>
      <c r="P460">
        <v>49</v>
      </c>
      <c r="Q460" t="b">
        <v>0</v>
      </c>
      <c r="R460" t="s">
        <v>8270</v>
      </c>
      <c r="S460" s="6">
        <f>Table1[[#This Row],[pledged]]/Table1[[#This Row],[goal]]</f>
        <v>8.2100000000000006E-2</v>
      </c>
      <c r="T460" s="8">
        <f>IF(Table1[[#This Row],[pledged]]=0,"no backers",Table1[[#This Row],[pledged]]/Table1[[#This Row],[backers_count]])</f>
        <v>16.755102040816325</v>
      </c>
      <c r="U460" t="str">
        <f>LEFT(Table1[[#This Row],[Category and Sub-Category]],FIND("/",Table1[[#This Row],[Category and Sub-Category]])-1)</f>
        <v>film &amp; video</v>
      </c>
      <c r="V460" t="str">
        <f>RIGHT(Table1[[#This Row],[Category and Sub-Category]],LEN(Table1[[#This Row],[Category and Sub-Category]])-FIND("/",Table1[[#This Row],[Category and Sub-Category]]))</f>
        <v>animation</v>
      </c>
    </row>
    <row r="461" spans="1:22" ht="43.2" x14ac:dyDescent="0.3">
      <c r="A461">
        <v>459</v>
      </c>
      <c r="B461" s="3" t="s">
        <v>460</v>
      </c>
      <c r="C461" s="3" t="s">
        <v>4569</v>
      </c>
      <c r="D461" s="12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>((Table1[[#This Row],[deadline]]/60)/60/24)+DATE(1970,1,1)</f>
        <v>40860.682025462964</v>
      </c>
      <c r="K461">
        <v>1316013727</v>
      </c>
      <c r="L461" s="11">
        <f>((Table1[[#This Row],[launched_at]]/60)/60/24)+DATE(1970,1,1)</f>
        <v>40800.6403587963</v>
      </c>
      <c r="M461">
        <f>MONTH(Table1[[#This Row],[Date Created Conversion]])</f>
        <v>9</v>
      </c>
      <c r="N461">
        <f>YEAR(Table1[[#This Row],[Date Created Conversion]])</f>
        <v>2011</v>
      </c>
      <c r="O461" t="b">
        <v>0</v>
      </c>
      <c r="P461">
        <v>1</v>
      </c>
      <c r="Q461" t="b">
        <v>0</v>
      </c>
      <c r="R461" t="s">
        <v>8270</v>
      </c>
      <c r="S461" s="6">
        <f>Table1[[#This Row],[pledged]]/Table1[[#This Row],[goal]]</f>
        <v>6.4102564102564103E-4</v>
      </c>
      <c r="T461" s="8">
        <f>IF(Table1[[#This Row],[pledged]]=0,"no backers",Table1[[#This Row],[pledged]]/Table1[[#This Row],[backers_count]])</f>
        <v>25</v>
      </c>
      <c r="U461" t="str">
        <f>LEFT(Table1[[#This Row],[Category and Sub-Category]],FIND("/",Table1[[#This Row],[Category and Sub-Category]])-1)</f>
        <v>film &amp; video</v>
      </c>
      <c r="V461" t="str">
        <f>RIGHT(Table1[[#This Row],[Category and Sub-Category]],LEN(Table1[[#This Row],[Category and Sub-Category]])-FIND("/",Table1[[#This Row],[Category and Sub-Category]]))</f>
        <v>animation</v>
      </c>
    </row>
    <row r="462" spans="1:22" ht="28.8" x14ac:dyDescent="0.3">
      <c r="A462">
        <v>460</v>
      </c>
      <c r="B462" s="3" t="s">
        <v>461</v>
      </c>
      <c r="C462" s="3" t="s">
        <v>4570</v>
      </c>
      <c r="D462" s="1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>((Table1[[#This Row],[deadline]]/60)/60/24)+DATE(1970,1,1)</f>
        <v>41791.166666666664</v>
      </c>
      <c r="K462">
        <v>1398862875</v>
      </c>
      <c r="L462" s="11">
        <f>((Table1[[#This Row],[launched_at]]/60)/60/24)+DATE(1970,1,1)</f>
        <v>41759.542534722219</v>
      </c>
      <c r="M462">
        <f>MONTH(Table1[[#This Row],[Date Created Conversion]])</f>
        <v>4</v>
      </c>
      <c r="N462">
        <f>YEAR(Table1[[#This Row],[Date Created Conversion]])</f>
        <v>2014</v>
      </c>
      <c r="O462" t="b">
        <v>0</v>
      </c>
      <c r="P462">
        <v>2</v>
      </c>
      <c r="Q462" t="b">
        <v>0</v>
      </c>
      <c r="R462" t="s">
        <v>8270</v>
      </c>
      <c r="S462" s="6">
        <f>Table1[[#This Row],[pledged]]/Table1[[#This Row],[goal]]</f>
        <v>2.9411764705882353E-3</v>
      </c>
      <c r="T462" s="8">
        <f>IF(Table1[[#This Row],[pledged]]=0,"no backers",Table1[[#This Row],[pledged]]/Table1[[#This Row],[backers_count]])</f>
        <v>12.5</v>
      </c>
      <c r="U462" t="str">
        <f>LEFT(Table1[[#This Row],[Category and Sub-Category]],FIND("/",Table1[[#This Row],[Category and Sub-Category]])-1)</f>
        <v>film &amp; video</v>
      </c>
      <c r="V462" t="str">
        <f>RIGHT(Table1[[#This Row],[Category and Sub-Category]],LEN(Table1[[#This Row],[Category and Sub-Category]])-FIND("/",Table1[[#This Row],[Category and Sub-Category]]))</f>
        <v>animation</v>
      </c>
    </row>
    <row r="463" spans="1:22" ht="43.2" x14ac:dyDescent="0.3">
      <c r="A463">
        <v>461</v>
      </c>
      <c r="B463" s="3" t="s">
        <v>462</v>
      </c>
      <c r="C463" s="3" t="s">
        <v>4571</v>
      </c>
      <c r="D463" s="12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>((Table1[[#This Row],[deadline]]/60)/60/24)+DATE(1970,1,1)</f>
        <v>41427.84684027778</v>
      </c>
      <c r="K463">
        <v>1368476367</v>
      </c>
      <c r="L463" s="11">
        <f>((Table1[[#This Row],[launched_at]]/60)/60/24)+DATE(1970,1,1)</f>
        <v>41407.84684027778</v>
      </c>
      <c r="M463">
        <f>MONTH(Table1[[#This Row],[Date Created Conversion]])</f>
        <v>5</v>
      </c>
      <c r="N463">
        <f>YEAR(Table1[[#This Row],[Date Created Conversion]])</f>
        <v>2013</v>
      </c>
      <c r="O463" t="b">
        <v>0</v>
      </c>
      <c r="P463">
        <v>0</v>
      </c>
      <c r="Q463" t="b">
        <v>0</v>
      </c>
      <c r="R463" t="s">
        <v>8270</v>
      </c>
      <c r="S463" s="6">
        <f>Table1[[#This Row],[pledged]]/Table1[[#This Row],[goal]]</f>
        <v>0</v>
      </c>
      <c r="T463" s="8" t="str">
        <f>IF(Table1[[#This Row],[pledged]]=0,"no backers",Table1[[#This Row],[pledged]]/Table1[[#This Row],[backers_count]])</f>
        <v>no backers</v>
      </c>
      <c r="U463" t="str">
        <f>LEFT(Table1[[#This Row],[Category and Sub-Category]],FIND("/",Table1[[#This Row],[Category and Sub-Category]])-1)</f>
        <v>film &amp; video</v>
      </c>
      <c r="V463" t="str">
        <f>RIGHT(Table1[[#This Row],[Category and Sub-Category]],LEN(Table1[[#This Row],[Category and Sub-Category]])-FIND("/",Table1[[#This Row],[Category and Sub-Category]]))</f>
        <v>animation</v>
      </c>
    </row>
    <row r="464" spans="1:22" ht="43.2" x14ac:dyDescent="0.3">
      <c r="A464">
        <v>462</v>
      </c>
      <c r="B464" s="3" t="s">
        <v>463</v>
      </c>
      <c r="C464" s="3" t="s">
        <v>4572</v>
      </c>
      <c r="D464" s="12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>((Table1[[#This Row],[deadline]]/60)/60/24)+DATE(1970,1,1)</f>
        <v>40765.126631944448</v>
      </c>
      <c r="K464">
        <v>1307761341</v>
      </c>
      <c r="L464" s="11">
        <f>((Table1[[#This Row],[launched_at]]/60)/60/24)+DATE(1970,1,1)</f>
        <v>40705.126631944448</v>
      </c>
      <c r="M464">
        <f>MONTH(Table1[[#This Row],[Date Created Conversion]])</f>
        <v>6</v>
      </c>
      <c r="N464">
        <f>YEAR(Table1[[#This Row],[Date Created Conversion]])</f>
        <v>2011</v>
      </c>
      <c r="O464" t="b">
        <v>0</v>
      </c>
      <c r="P464">
        <v>0</v>
      </c>
      <c r="Q464" t="b">
        <v>0</v>
      </c>
      <c r="R464" t="s">
        <v>8270</v>
      </c>
      <c r="S464" s="6">
        <f>Table1[[#This Row],[pledged]]/Table1[[#This Row],[goal]]</f>
        <v>0</v>
      </c>
      <c r="T464" s="8" t="str">
        <f>IF(Table1[[#This Row],[pledged]]=0,"no backers",Table1[[#This Row],[pledged]]/Table1[[#This Row],[backers_count]])</f>
        <v>no backers</v>
      </c>
      <c r="U464" t="str">
        <f>LEFT(Table1[[#This Row],[Category and Sub-Category]],FIND("/",Table1[[#This Row],[Category and Sub-Category]])-1)</f>
        <v>film &amp; video</v>
      </c>
      <c r="V464" t="str">
        <f>RIGHT(Table1[[#This Row],[Category and Sub-Category]],LEN(Table1[[#This Row],[Category and Sub-Category]])-FIND("/",Table1[[#This Row],[Category and Sub-Category]]))</f>
        <v>animation</v>
      </c>
    </row>
    <row r="465" spans="1:22" ht="43.2" x14ac:dyDescent="0.3">
      <c r="A465">
        <v>463</v>
      </c>
      <c r="B465" s="3" t="s">
        <v>464</v>
      </c>
      <c r="C465" s="3" t="s">
        <v>4573</v>
      </c>
      <c r="D465" s="12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>((Table1[[#This Row],[deadline]]/60)/60/24)+DATE(1970,1,1)</f>
        <v>40810.710104166668</v>
      </c>
      <c r="K465">
        <v>1311699753</v>
      </c>
      <c r="L465" s="11">
        <f>((Table1[[#This Row],[launched_at]]/60)/60/24)+DATE(1970,1,1)</f>
        <v>40750.710104166668</v>
      </c>
      <c r="M465">
        <f>MONTH(Table1[[#This Row],[Date Created Conversion]])</f>
        <v>7</v>
      </c>
      <c r="N465">
        <f>YEAR(Table1[[#This Row],[Date Created Conversion]])</f>
        <v>2011</v>
      </c>
      <c r="O465" t="b">
        <v>0</v>
      </c>
      <c r="P465">
        <v>11</v>
      </c>
      <c r="Q465" t="b">
        <v>0</v>
      </c>
      <c r="R465" t="s">
        <v>8270</v>
      </c>
      <c r="S465" s="6">
        <f>Table1[[#This Row],[pledged]]/Table1[[#This Row],[goal]]</f>
        <v>2.2727272727272728E-2</v>
      </c>
      <c r="T465" s="8">
        <f>IF(Table1[[#This Row],[pledged]]=0,"no backers",Table1[[#This Row],[pledged]]/Table1[[#This Row],[backers_count]])</f>
        <v>113.63636363636364</v>
      </c>
      <c r="U465" t="str">
        <f>LEFT(Table1[[#This Row],[Category and Sub-Category]],FIND("/",Table1[[#This Row],[Category and Sub-Category]])-1)</f>
        <v>film &amp; video</v>
      </c>
      <c r="V465" t="str">
        <f>RIGHT(Table1[[#This Row],[Category and Sub-Category]],LEN(Table1[[#This Row],[Category and Sub-Category]])-FIND("/",Table1[[#This Row],[Category and Sub-Category]]))</f>
        <v>animation</v>
      </c>
    </row>
    <row r="466" spans="1:22" ht="28.8" x14ac:dyDescent="0.3">
      <c r="A466">
        <v>464</v>
      </c>
      <c r="B466" s="3" t="s">
        <v>465</v>
      </c>
      <c r="C466" s="3" t="s">
        <v>4574</v>
      </c>
      <c r="D466" s="12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>((Table1[[#This Row],[deadline]]/60)/60/24)+DATE(1970,1,1)</f>
        <v>42508.848784722228</v>
      </c>
      <c r="K466">
        <v>1461874935</v>
      </c>
      <c r="L466" s="11">
        <f>((Table1[[#This Row],[launched_at]]/60)/60/24)+DATE(1970,1,1)</f>
        <v>42488.848784722228</v>
      </c>
      <c r="M466">
        <f>MONTH(Table1[[#This Row],[Date Created Conversion]])</f>
        <v>4</v>
      </c>
      <c r="N466">
        <f>YEAR(Table1[[#This Row],[Date Created Conversion]])</f>
        <v>2016</v>
      </c>
      <c r="O466" t="b">
        <v>0</v>
      </c>
      <c r="P466">
        <v>1</v>
      </c>
      <c r="Q466" t="b">
        <v>0</v>
      </c>
      <c r="R466" t="s">
        <v>8270</v>
      </c>
      <c r="S466" s="6">
        <f>Table1[[#This Row],[pledged]]/Table1[[#This Row],[goal]]</f>
        <v>9.9009900990099011E-4</v>
      </c>
      <c r="T466" s="8">
        <f>IF(Table1[[#This Row],[pledged]]=0,"no backers",Table1[[#This Row],[pledged]]/Table1[[#This Row],[backers_count]])</f>
        <v>1</v>
      </c>
      <c r="U466" t="str">
        <f>LEFT(Table1[[#This Row],[Category and Sub-Category]],FIND("/",Table1[[#This Row],[Category and Sub-Category]])-1)</f>
        <v>film &amp; video</v>
      </c>
      <c r="V466" t="str">
        <f>RIGHT(Table1[[#This Row],[Category and Sub-Category]],LEN(Table1[[#This Row],[Category and Sub-Category]])-FIND("/",Table1[[#This Row],[Category and Sub-Category]]))</f>
        <v>animation</v>
      </c>
    </row>
    <row r="467" spans="1:22" x14ac:dyDescent="0.3">
      <c r="A467">
        <v>465</v>
      </c>
      <c r="B467" s="3" t="s">
        <v>466</v>
      </c>
      <c r="C467" s="3" t="s">
        <v>4575</v>
      </c>
      <c r="D467" s="12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>((Table1[[#This Row],[deadline]]/60)/60/24)+DATE(1970,1,1)</f>
        <v>41817.120069444441</v>
      </c>
      <c r="K467">
        <v>1402455174</v>
      </c>
      <c r="L467" s="11">
        <f>((Table1[[#This Row],[launched_at]]/60)/60/24)+DATE(1970,1,1)</f>
        <v>41801.120069444441</v>
      </c>
      <c r="M467">
        <f>MONTH(Table1[[#This Row],[Date Created Conversion]])</f>
        <v>6</v>
      </c>
      <c r="N467">
        <f>YEAR(Table1[[#This Row],[Date Created Conversion]])</f>
        <v>2014</v>
      </c>
      <c r="O467" t="b">
        <v>0</v>
      </c>
      <c r="P467">
        <v>8</v>
      </c>
      <c r="Q467" t="b">
        <v>0</v>
      </c>
      <c r="R467" t="s">
        <v>8270</v>
      </c>
      <c r="S467" s="6">
        <f>Table1[[#This Row],[pledged]]/Table1[[#This Row],[goal]]</f>
        <v>0.26953125</v>
      </c>
      <c r="T467" s="8">
        <f>IF(Table1[[#This Row],[pledged]]=0,"no backers",Table1[[#This Row],[pledged]]/Table1[[#This Row],[backers_count]])</f>
        <v>17.25</v>
      </c>
      <c r="U467" t="str">
        <f>LEFT(Table1[[#This Row],[Category and Sub-Category]],FIND("/",Table1[[#This Row],[Category and Sub-Category]])-1)</f>
        <v>film &amp; video</v>
      </c>
      <c r="V467" t="str">
        <f>RIGHT(Table1[[#This Row],[Category and Sub-Category]],LEN(Table1[[#This Row],[Category and Sub-Category]])-FIND("/",Table1[[#This Row],[Category and Sub-Category]]))</f>
        <v>animation</v>
      </c>
    </row>
    <row r="468" spans="1:22" ht="43.2" x14ac:dyDescent="0.3">
      <c r="A468">
        <v>466</v>
      </c>
      <c r="B468" s="3" t="s">
        <v>467</v>
      </c>
      <c r="C468" s="3" t="s">
        <v>4576</v>
      </c>
      <c r="D468" s="12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>((Table1[[#This Row],[deadline]]/60)/60/24)+DATE(1970,1,1)</f>
        <v>41159.942870370374</v>
      </c>
      <c r="K468">
        <v>1344465464</v>
      </c>
      <c r="L468" s="11">
        <f>((Table1[[#This Row],[launched_at]]/60)/60/24)+DATE(1970,1,1)</f>
        <v>41129.942870370374</v>
      </c>
      <c r="M468">
        <f>MONTH(Table1[[#This Row],[Date Created Conversion]])</f>
        <v>8</v>
      </c>
      <c r="N468">
        <f>YEAR(Table1[[#This Row],[Date Created Conversion]])</f>
        <v>2012</v>
      </c>
      <c r="O468" t="b">
        <v>0</v>
      </c>
      <c r="P468">
        <v>5</v>
      </c>
      <c r="Q468" t="b">
        <v>0</v>
      </c>
      <c r="R468" t="s">
        <v>8270</v>
      </c>
      <c r="S468" s="6">
        <f>Table1[[#This Row],[pledged]]/Table1[[#This Row],[goal]]</f>
        <v>7.6E-3</v>
      </c>
      <c r="T468" s="8">
        <f>IF(Table1[[#This Row],[pledged]]=0,"no backers",Table1[[#This Row],[pledged]]/Table1[[#This Row],[backers_count]])</f>
        <v>15.2</v>
      </c>
      <c r="U468" t="str">
        <f>LEFT(Table1[[#This Row],[Category and Sub-Category]],FIND("/",Table1[[#This Row],[Category and Sub-Category]])-1)</f>
        <v>film &amp; video</v>
      </c>
      <c r="V468" t="str">
        <f>RIGHT(Table1[[#This Row],[Category and Sub-Category]],LEN(Table1[[#This Row],[Category and Sub-Category]])-FIND("/",Table1[[#This Row],[Category and Sub-Category]]))</f>
        <v>animation</v>
      </c>
    </row>
    <row r="469" spans="1:22" ht="43.2" x14ac:dyDescent="0.3">
      <c r="A469">
        <v>467</v>
      </c>
      <c r="B469" s="3" t="s">
        <v>468</v>
      </c>
      <c r="C469" s="3" t="s">
        <v>4577</v>
      </c>
      <c r="D469" s="12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>((Table1[[#This Row],[deadline]]/60)/60/24)+DATE(1970,1,1)</f>
        <v>41180.679791666669</v>
      </c>
      <c r="K469">
        <v>1344961134</v>
      </c>
      <c r="L469" s="11">
        <f>((Table1[[#This Row],[launched_at]]/60)/60/24)+DATE(1970,1,1)</f>
        <v>41135.679791666669</v>
      </c>
      <c r="M469">
        <f>MONTH(Table1[[#This Row],[Date Created Conversion]])</f>
        <v>8</v>
      </c>
      <c r="N469">
        <f>YEAR(Table1[[#This Row],[Date Created Conversion]])</f>
        <v>2012</v>
      </c>
      <c r="O469" t="b">
        <v>0</v>
      </c>
      <c r="P469">
        <v>39</v>
      </c>
      <c r="Q469" t="b">
        <v>0</v>
      </c>
      <c r="R469" t="s">
        <v>8270</v>
      </c>
      <c r="S469" s="6">
        <f>Table1[[#This Row],[pledged]]/Table1[[#This Row],[goal]]</f>
        <v>0.21575</v>
      </c>
      <c r="T469" s="8">
        <f>IF(Table1[[#This Row],[pledged]]=0,"no backers",Table1[[#This Row],[pledged]]/Table1[[#This Row],[backers_count]])</f>
        <v>110.64102564102564</v>
      </c>
      <c r="U469" t="str">
        <f>LEFT(Table1[[#This Row],[Category and Sub-Category]],FIND("/",Table1[[#This Row],[Category and Sub-Category]])-1)</f>
        <v>film &amp; video</v>
      </c>
      <c r="V469" t="str">
        <f>RIGHT(Table1[[#This Row],[Category and Sub-Category]],LEN(Table1[[#This Row],[Category and Sub-Category]])-FIND("/",Table1[[#This Row],[Category and Sub-Category]]))</f>
        <v>animation</v>
      </c>
    </row>
    <row r="470" spans="1:22" ht="43.2" x14ac:dyDescent="0.3">
      <c r="A470">
        <v>468</v>
      </c>
      <c r="B470" s="3" t="s">
        <v>469</v>
      </c>
      <c r="C470" s="3" t="s">
        <v>4578</v>
      </c>
      <c r="D470" s="12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>((Table1[[#This Row],[deadline]]/60)/60/24)+DATE(1970,1,1)</f>
        <v>41101.160474537035</v>
      </c>
      <c r="K470">
        <v>1336795283</v>
      </c>
      <c r="L470" s="11">
        <f>((Table1[[#This Row],[launched_at]]/60)/60/24)+DATE(1970,1,1)</f>
        <v>41041.167627314811</v>
      </c>
      <c r="M470">
        <f>MONTH(Table1[[#This Row],[Date Created Conversion]])</f>
        <v>5</v>
      </c>
      <c r="N470">
        <f>YEAR(Table1[[#This Row],[Date Created Conversion]])</f>
        <v>2012</v>
      </c>
      <c r="O470" t="b">
        <v>0</v>
      </c>
      <c r="P470">
        <v>0</v>
      </c>
      <c r="Q470" t="b">
        <v>0</v>
      </c>
      <c r="R470" t="s">
        <v>8270</v>
      </c>
      <c r="S470" s="6">
        <f>Table1[[#This Row],[pledged]]/Table1[[#This Row],[goal]]</f>
        <v>0</v>
      </c>
      <c r="T470" s="8" t="str">
        <f>IF(Table1[[#This Row],[pledged]]=0,"no backers",Table1[[#This Row],[pledged]]/Table1[[#This Row],[backers_count]])</f>
        <v>no backers</v>
      </c>
      <c r="U470" t="str">
        <f>LEFT(Table1[[#This Row],[Category and Sub-Category]],FIND("/",Table1[[#This Row],[Category and Sub-Category]])-1)</f>
        <v>film &amp; video</v>
      </c>
      <c r="V470" t="str">
        <f>RIGHT(Table1[[#This Row],[Category and Sub-Category]],LEN(Table1[[#This Row],[Category and Sub-Category]])-FIND("/",Table1[[#This Row],[Category and Sub-Category]]))</f>
        <v>animation</v>
      </c>
    </row>
    <row r="471" spans="1:22" ht="28.8" x14ac:dyDescent="0.3">
      <c r="A471">
        <v>469</v>
      </c>
      <c r="B471" s="3" t="s">
        <v>470</v>
      </c>
      <c r="C471" s="3" t="s">
        <v>4579</v>
      </c>
      <c r="D471" s="12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>((Table1[[#This Row],[deadline]]/60)/60/24)+DATE(1970,1,1)</f>
        <v>41887.989861111113</v>
      </c>
      <c r="K471">
        <v>1404776724</v>
      </c>
      <c r="L471" s="11">
        <f>((Table1[[#This Row],[launched_at]]/60)/60/24)+DATE(1970,1,1)</f>
        <v>41827.989861111113</v>
      </c>
      <c r="M471">
        <f>MONTH(Table1[[#This Row],[Date Created Conversion]])</f>
        <v>7</v>
      </c>
      <c r="N471">
        <f>YEAR(Table1[[#This Row],[Date Created Conversion]])</f>
        <v>2014</v>
      </c>
      <c r="O471" t="b">
        <v>0</v>
      </c>
      <c r="P471">
        <v>0</v>
      </c>
      <c r="Q471" t="b">
        <v>0</v>
      </c>
      <c r="R471" t="s">
        <v>8270</v>
      </c>
      <c r="S471" s="6">
        <f>Table1[[#This Row],[pledged]]/Table1[[#This Row],[goal]]</f>
        <v>0</v>
      </c>
      <c r="T471" s="8" t="str">
        <f>IF(Table1[[#This Row],[pledged]]=0,"no backers",Table1[[#This Row],[pledged]]/Table1[[#This Row],[backers_count]])</f>
        <v>no backers</v>
      </c>
      <c r="U471" t="str">
        <f>LEFT(Table1[[#This Row],[Category and Sub-Category]],FIND("/",Table1[[#This Row],[Category and Sub-Category]])-1)</f>
        <v>film &amp; video</v>
      </c>
      <c r="V471" t="str">
        <f>RIGHT(Table1[[#This Row],[Category and Sub-Category]],LEN(Table1[[#This Row],[Category and Sub-Category]])-FIND("/",Table1[[#This Row],[Category and Sub-Category]]))</f>
        <v>animation</v>
      </c>
    </row>
    <row r="472" spans="1:22" ht="43.2" x14ac:dyDescent="0.3">
      <c r="A472">
        <v>470</v>
      </c>
      <c r="B472" s="3" t="s">
        <v>471</v>
      </c>
      <c r="C472" s="3" t="s">
        <v>4580</v>
      </c>
      <c r="D472" s="1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>((Table1[[#This Row],[deadline]]/60)/60/24)+DATE(1970,1,1)</f>
        <v>41655.166666666664</v>
      </c>
      <c r="K472">
        <v>1385524889</v>
      </c>
      <c r="L472" s="11">
        <f>((Table1[[#This Row],[launched_at]]/60)/60/24)+DATE(1970,1,1)</f>
        <v>41605.167696759258</v>
      </c>
      <c r="M472">
        <f>MONTH(Table1[[#This Row],[Date Created Conversion]])</f>
        <v>11</v>
      </c>
      <c r="N472">
        <f>YEAR(Table1[[#This Row],[Date Created Conversion]])</f>
        <v>2013</v>
      </c>
      <c r="O472" t="b">
        <v>0</v>
      </c>
      <c r="P472">
        <v>2</v>
      </c>
      <c r="Q472" t="b">
        <v>0</v>
      </c>
      <c r="R472" t="s">
        <v>8270</v>
      </c>
      <c r="S472" s="6">
        <f>Table1[[#This Row],[pledged]]/Table1[[#This Row],[goal]]</f>
        <v>1.0200000000000001E-2</v>
      </c>
      <c r="T472" s="8">
        <f>IF(Table1[[#This Row],[pledged]]=0,"no backers",Table1[[#This Row],[pledged]]/Table1[[#This Row],[backers_count]])</f>
        <v>25.5</v>
      </c>
      <c r="U472" t="str">
        <f>LEFT(Table1[[#This Row],[Category and Sub-Category]],FIND("/",Table1[[#This Row],[Category and Sub-Category]])-1)</f>
        <v>film &amp; video</v>
      </c>
      <c r="V472" t="str">
        <f>RIGHT(Table1[[#This Row],[Category and Sub-Category]],LEN(Table1[[#This Row],[Category and Sub-Category]])-FIND("/",Table1[[#This Row],[Category and Sub-Category]]))</f>
        <v>animation</v>
      </c>
    </row>
    <row r="473" spans="1:22" ht="57.6" x14ac:dyDescent="0.3">
      <c r="A473">
        <v>471</v>
      </c>
      <c r="B473" s="3" t="s">
        <v>472</v>
      </c>
      <c r="C473" s="3" t="s">
        <v>4581</v>
      </c>
      <c r="D473" s="12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>((Table1[[#This Row],[deadline]]/60)/60/24)+DATE(1970,1,1)</f>
        <v>41748.680312500001</v>
      </c>
      <c r="K473">
        <v>1394039979</v>
      </c>
      <c r="L473" s="11">
        <f>((Table1[[#This Row],[launched_at]]/60)/60/24)+DATE(1970,1,1)</f>
        <v>41703.721979166665</v>
      </c>
      <c r="M473">
        <f>MONTH(Table1[[#This Row],[Date Created Conversion]])</f>
        <v>3</v>
      </c>
      <c r="N473">
        <f>YEAR(Table1[[#This Row],[Date Created Conversion]])</f>
        <v>2014</v>
      </c>
      <c r="O473" t="b">
        <v>0</v>
      </c>
      <c r="P473">
        <v>170</v>
      </c>
      <c r="Q473" t="b">
        <v>0</v>
      </c>
      <c r="R473" t="s">
        <v>8270</v>
      </c>
      <c r="S473" s="6">
        <f>Table1[[#This Row],[pledged]]/Table1[[#This Row],[goal]]</f>
        <v>0.11892727272727273</v>
      </c>
      <c r="T473" s="8">
        <f>IF(Table1[[#This Row],[pledged]]=0,"no backers",Table1[[#This Row],[pledged]]/Table1[[#This Row],[backers_count]])</f>
        <v>38.476470588235294</v>
      </c>
      <c r="U473" t="str">
        <f>LEFT(Table1[[#This Row],[Category and Sub-Category]],FIND("/",Table1[[#This Row],[Category and Sub-Category]])-1)</f>
        <v>film &amp; video</v>
      </c>
      <c r="V473" t="str">
        <f>RIGHT(Table1[[#This Row],[Category and Sub-Category]],LEN(Table1[[#This Row],[Category and Sub-Category]])-FIND("/",Table1[[#This Row],[Category and Sub-Category]]))</f>
        <v>animation</v>
      </c>
    </row>
    <row r="474" spans="1:22" ht="43.2" x14ac:dyDescent="0.3">
      <c r="A474">
        <v>472</v>
      </c>
      <c r="B474" s="3" t="s">
        <v>473</v>
      </c>
      <c r="C474" s="3" t="s">
        <v>4582</v>
      </c>
      <c r="D474" s="12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>((Table1[[#This Row],[deadline]]/60)/60/24)+DATE(1970,1,1)</f>
        <v>41874.922662037039</v>
      </c>
      <c r="K474">
        <v>1406239718</v>
      </c>
      <c r="L474" s="11">
        <f>((Table1[[#This Row],[launched_at]]/60)/60/24)+DATE(1970,1,1)</f>
        <v>41844.922662037039</v>
      </c>
      <c r="M474">
        <f>MONTH(Table1[[#This Row],[Date Created Conversion]])</f>
        <v>7</v>
      </c>
      <c r="N474">
        <f>YEAR(Table1[[#This Row],[Date Created Conversion]])</f>
        <v>2014</v>
      </c>
      <c r="O474" t="b">
        <v>0</v>
      </c>
      <c r="P474">
        <v>5</v>
      </c>
      <c r="Q474" t="b">
        <v>0</v>
      </c>
      <c r="R474" t="s">
        <v>8270</v>
      </c>
      <c r="S474" s="6">
        <f>Table1[[#This Row],[pledged]]/Table1[[#This Row],[goal]]</f>
        <v>0.17624999999999999</v>
      </c>
      <c r="T474" s="8">
        <f>IF(Table1[[#This Row],[pledged]]=0,"no backers",Table1[[#This Row],[pledged]]/Table1[[#This Row],[backers_count]])</f>
        <v>28.2</v>
      </c>
      <c r="U474" t="str">
        <f>LEFT(Table1[[#This Row],[Category and Sub-Category]],FIND("/",Table1[[#This Row],[Category and Sub-Category]])-1)</f>
        <v>film &amp; video</v>
      </c>
      <c r="V474" t="str">
        <f>RIGHT(Table1[[#This Row],[Category and Sub-Category]],LEN(Table1[[#This Row],[Category and Sub-Category]])-FIND("/",Table1[[#This Row],[Category and Sub-Category]]))</f>
        <v>animation</v>
      </c>
    </row>
    <row r="475" spans="1:22" ht="43.2" x14ac:dyDescent="0.3">
      <c r="A475">
        <v>473</v>
      </c>
      <c r="B475" s="3" t="s">
        <v>474</v>
      </c>
      <c r="C475" s="3" t="s">
        <v>4583</v>
      </c>
      <c r="D475" s="12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>((Table1[[#This Row],[deadline]]/60)/60/24)+DATE(1970,1,1)</f>
        <v>41899.698136574072</v>
      </c>
      <c r="K475">
        <v>1408380319</v>
      </c>
      <c r="L475" s="11">
        <f>((Table1[[#This Row],[launched_at]]/60)/60/24)+DATE(1970,1,1)</f>
        <v>41869.698136574072</v>
      </c>
      <c r="M475">
        <f>MONTH(Table1[[#This Row],[Date Created Conversion]])</f>
        <v>8</v>
      </c>
      <c r="N475">
        <f>YEAR(Table1[[#This Row],[Date Created Conversion]])</f>
        <v>2014</v>
      </c>
      <c r="O475" t="b">
        <v>0</v>
      </c>
      <c r="P475">
        <v>14</v>
      </c>
      <c r="Q475" t="b">
        <v>0</v>
      </c>
      <c r="R475" t="s">
        <v>8270</v>
      </c>
      <c r="S475" s="6">
        <f>Table1[[#This Row],[pledged]]/Table1[[#This Row],[goal]]</f>
        <v>2.87E-2</v>
      </c>
      <c r="T475" s="8">
        <f>IF(Table1[[#This Row],[pledged]]=0,"no backers",Table1[[#This Row],[pledged]]/Table1[[#This Row],[backers_count]])</f>
        <v>61.5</v>
      </c>
      <c r="U475" t="str">
        <f>LEFT(Table1[[#This Row],[Category and Sub-Category]],FIND("/",Table1[[#This Row],[Category and Sub-Category]])-1)</f>
        <v>film &amp; video</v>
      </c>
      <c r="V475" t="str">
        <f>RIGHT(Table1[[#This Row],[Category and Sub-Category]],LEN(Table1[[#This Row],[Category and Sub-Category]])-FIND("/",Table1[[#This Row],[Category and Sub-Category]]))</f>
        <v>animation</v>
      </c>
    </row>
    <row r="476" spans="1:22" ht="43.2" x14ac:dyDescent="0.3">
      <c r="A476">
        <v>474</v>
      </c>
      <c r="B476" s="3" t="s">
        <v>475</v>
      </c>
      <c r="C476" s="3" t="s">
        <v>4584</v>
      </c>
      <c r="D476" s="12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>((Table1[[#This Row],[deadline]]/60)/60/24)+DATE(1970,1,1)</f>
        <v>42783.329039351855</v>
      </c>
      <c r="K476">
        <v>1484726029</v>
      </c>
      <c r="L476" s="11">
        <f>((Table1[[#This Row],[launched_at]]/60)/60/24)+DATE(1970,1,1)</f>
        <v>42753.329039351855</v>
      </c>
      <c r="M476">
        <f>MONTH(Table1[[#This Row],[Date Created Conversion]])</f>
        <v>1</v>
      </c>
      <c r="N476">
        <f>YEAR(Table1[[#This Row],[Date Created Conversion]])</f>
        <v>2017</v>
      </c>
      <c r="O476" t="b">
        <v>0</v>
      </c>
      <c r="P476">
        <v>1</v>
      </c>
      <c r="Q476" t="b">
        <v>0</v>
      </c>
      <c r="R476" t="s">
        <v>8270</v>
      </c>
      <c r="S476" s="6">
        <f>Table1[[#This Row],[pledged]]/Table1[[#This Row],[goal]]</f>
        <v>3.0303030303030303E-4</v>
      </c>
      <c r="T476" s="8">
        <f>IF(Table1[[#This Row],[pledged]]=0,"no backers",Table1[[#This Row],[pledged]]/Table1[[#This Row],[backers_count]])</f>
        <v>1</v>
      </c>
      <c r="U476" t="str">
        <f>LEFT(Table1[[#This Row],[Category and Sub-Category]],FIND("/",Table1[[#This Row],[Category and Sub-Category]])-1)</f>
        <v>film &amp; video</v>
      </c>
      <c r="V476" t="str">
        <f>RIGHT(Table1[[#This Row],[Category and Sub-Category]],LEN(Table1[[#This Row],[Category and Sub-Category]])-FIND("/",Table1[[#This Row],[Category and Sub-Category]]))</f>
        <v>animation</v>
      </c>
    </row>
    <row r="477" spans="1:22" ht="57.6" x14ac:dyDescent="0.3">
      <c r="A477">
        <v>475</v>
      </c>
      <c r="B477" s="3" t="s">
        <v>476</v>
      </c>
      <c r="C477" s="3" t="s">
        <v>4585</v>
      </c>
      <c r="D477" s="12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>((Table1[[#This Row],[deadline]]/60)/60/24)+DATE(1970,1,1)</f>
        <v>42130.086145833338</v>
      </c>
      <c r="K477">
        <v>1428285843</v>
      </c>
      <c r="L477" s="11">
        <f>((Table1[[#This Row],[launched_at]]/60)/60/24)+DATE(1970,1,1)</f>
        <v>42100.086145833338</v>
      </c>
      <c r="M477">
        <f>MONTH(Table1[[#This Row],[Date Created Conversion]])</f>
        <v>4</v>
      </c>
      <c r="N477">
        <f>YEAR(Table1[[#This Row],[Date Created Conversion]])</f>
        <v>2015</v>
      </c>
      <c r="O477" t="b">
        <v>0</v>
      </c>
      <c r="P477">
        <v>0</v>
      </c>
      <c r="Q477" t="b">
        <v>0</v>
      </c>
      <c r="R477" t="s">
        <v>8270</v>
      </c>
      <c r="S477" s="6">
        <f>Table1[[#This Row],[pledged]]/Table1[[#This Row],[goal]]</f>
        <v>0</v>
      </c>
      <c r="T477" s="8" t="str">
        <f>IF(Table1[[#This Row],[pledged]]=0,"no backers",Table1[[#This Row],[pledged]]/Table1[[#This Row],[backers_count]])</f>
        <v>no backers</v>
      </c>
      <c r="U477" t="str">
        <f>LEFT(Table1[[#This Row],[Category and Sub-Category]],FIND("/",Table1[[#This Row],[Category and Sub-Category]])-1)</f>
        <v>film &amp; video</v>
      </c>
      <c r="V477" t="str">
        <f>RIGHT(Table1[[#This Row],[Category and Sub-Category]],LEN(Table1[[#This Row],[Category and Sub-Category]])-FIND("/",Table1[[#This Row],[Category and Sub-Category]]))</f>
        <v>animation</v>
      </c>
    </row>
    <row r="478" spans="1:22" ht="28.8" x14ac:dyDescent="0.3">
      <c r="A478">
        <v>476</v>
      </c>
      <c r="B478" s="3" t="s">
        <v>477</v>
      </c>
      <c r="C478" s="3" t="s">
        <v>4586</v>
      </c>
      <c r="D478" s="12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>((Table1[[#This Row],[deadline]]/60)/60/24)+DATE(1970,1,1)</f>
        <v>41793.165972222225</v>
      </c>
      <c r="K478">
        <v>1398727441</v>
      </c>
      <c r="L478" s="11">
        <f>((Table1[[#This Row],[launched_at]]/60)/60/24)+DATE(1970,1,1)</f>
        <v>41757.975011574075</v>
      </c>
      <c r="M478">
        <f>MONTH(Table1[[#This Row],[Date Created Conversion]])</f>
        <v>4</v>
      </c>
      <c r="N478">
        <f>YEAR(Table1[[#This Row],[Date Created Conversion]])</f>
        <v>2014</v>
      </c>
      <c r="O478" t="b">
        <v>0</v>
      </c>
      <c r="P478">
        <v>124</v>
      </c>
      <c r="Q478" t="b">
        <v>0</v>
      </c>
      <c r="R478" t="s">
        <v>8270</v>
      </c>
      <c r="S478" s="6">
        <f>Table1[[#This Row],[pledged]]/Table1[[#This Row],[goal]]</f>
        <v>2.2302681818181819E-2</v>
      </c>
      <c r="T478" s="8">
        <f>IF(Table1[[#This Row],[pledged]]=0,"no backers",Table1[[#This Row],[pledged]]/Table1[[#This Row],[backers_count]])</f>
        <v>39.569274193548388</v>
      </c>
      <c r="U478" t="str">
        <f>LEFT(Table1[[#This Row],[Category and Sub-Category]],FIND("/",Table1[[#This Row],[Category and Sub-Category]])-1)</f>
        <v>film &amp; video</v>
      </c>
      <c r="V478" t="str">
        <f>RIGHT(Table1[[#This Row],[Category and Sub-Category]],LEN(Table1[[#This Row],[Category and Sub-Category]])-FIND("/",Table1[[#This Row],[Category and Sub-Category]]))</f>
        <v>animation</v>
      </c>
    </row>
    <row r="479" spans="1:22" ht="57.6" x14ac:dyDescent="0.3">
      <c r="A479">
        <v>477</v>
      </c>
      <c r="B479" s="3" t="s">
        <v>478</v>
      </c>
      <c r="C479" s="3" t="s">
        <v>4587</v>
      </c>
      <c r="D479" s="12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>((Table1[[#This Row],[deadline]]/60)/60/24)+DATE(1970,1,1)</f>
        <v>41047.83488425926</v>
      </c>
      <c r="K479">
        <v>1332187334</v>
      </c>
      <c r="L479" s="11">
        <f>((Table1[[#This Row],[launched_at]]/60)/60/24)+DATE(1970,1,1)</f>
        <v>40987.83488425926</v>
      </c>
      <c r="M479">
        <f>MONTH(Table1[[#This Row],[Date Created Conversion]])</f>
        <v>3</v>
      </c>
      <c r="N479">
        <f>YEAR(Table1[[#This Row],[Date Created Conversion]])</f>
        <v>2012</v>
      </c>
      <c r="O479" t="b">
        <v>0</v>
      </c>
      <c r="P479">
        <v>0</v>
      </c>
      <c r="Q479" t="b">
        <v>0</v>
      </c>
      <c r="R479" t="s">
        <v>8270</v>
      </c>
      <c r="S479" s="6">
        <f>Table1[[#This Row],[pledged]]/Table1[[#This Row],[goal]]</f>
        <v>0</v>
      </c>
      <c r="T479" s="8" t="str">
        <f>IF(Table1[[#This Row],[pledged]]=0,"no backers",Table1[[#This Row],[pledged]]/Table1[[#This Row],[backers_count]])</f>
        <v>no backers</v>
      </c>
      <c r="U479" t="str">
        <f>LEFT(Table1[[#This Row],[Category and Sub-Category]],FIND("/",Table1[[#This Row],[Category and Sub-Category]])-1)</f>
        <v>film &amp; video</v>
      </c>
      <c r="V479" t="str">
        <f>RIGHT(Table1[[#This Row],[Category and Sub-Category]],LEN(Table1[[#This Row],[Category and Sub-Category]])-FIND("/",Table1[[#This Row],[Category and Sub-Category]]))</f>
        <v>animation</v>
      </c>
    </row>
    <row r="480" spans="1:22" ht="43.2" x14ac:dyDescent="0.3">
      <c r="A480">
        <v>478</v>
      </c>
      <c r="B480" s="3" t="s">
        <v>479</v>
      </c>
      <c r="C480" s="3" t="s">
        <v>4588</v>
      </c>
      <c r="D480" s="12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>((Table1[[#This Row],[deadline]]/60)/60/24)+DATE(1970,1,1)</f>
        <v>42095.869317129633</v>
      </c>
      <c r="K480">
        <v>1425333109</v>
      </c>
      <c r="L480" s="11">
        <f>((Table1[[#This Row],[launched_at]]/60)/60/24)+DATE(1970,1,1)</f>
        <v>42065.910983796297</v>
      </c>
      <c r="M480">
        <f>MONTH(Table1[[#This Row],[Date Created Conversion]])</f>
        <v>3</v>
      </c>
      <c r="N480">
        <f>YEAR(Table1[[#This Row],[Date Created Conversion]])</f>
        <v>2015</v>
      </c>
      <c r="O480" t="b">
        <v>0</v>
      </c>
      <c r="P480">
        <v>0</v>
      </c>
      <c r="Q480" t="b">
        <v>0</v>
      </c>
      <c r="R480" t="s">
        <v>8270</v>
      </c>
      <c r="S480" s="6">
        <f>Table1[[#This Row],[pledged]]/Table1[[#This Row],[goal]]</f>
        <v>0</v>
      </c>
      <c r="T480" s="8" t="str">
        <f>IF(Table1[[#This Row],[pledged]]=0,"no backers",Table1[[#This Row],[pledged]]/Table1[[#This Row],[backers_count]])</f>
        <v>no backers</v>
      </c>
      <c r="U480" t="str">
        <f>LEFT(Table1[[#This Row],[Category and Sub-Category]],FIND("/",Table1[[#This Row],[Category and Sub-Category]])-1)</f>
        <v>film &amp; video</v>
      </c>
      <c r="V480" t="str">
        <f>RIGHT(Table1[[#This Row],[Category and Sub-Category]],LEN(Table1[[#This Row],[Category and Sub-Category]])-FIND("/",Table1[[#This Row],[Category and Sub-Category]]))</f>
        <v>animation</v>
      </c>
    </row>
    <row r="481" spans="1:22" ht="43.2" x14ac:dyDescent="0.3">
      <c r="A481">
        <v>479</v>
      </c>
      <c r="B481" s="3" t="s">
        <v>480</v>
      </c>
      <c r="C481" s="3" t="s">
        <v>4589</v>
      </c>
      <c r="D481" s="12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>((Table1[[#This Row],[deadline]]/60)/60/24)+DATE(1970,1,1)</f>
        <v>41964.449479166666</v>
      </c>
      <c r="K481">
        <v>1411379235</v>
      </c>
      <c r="L481" s="11">
        <f>((Table1[[#This Row],[launched_at]]/60)/60/24)+DATE(1970,1,1)</f>
        <v>41904.407812500001</v>
      </c>
      <c r="M481">
        <f>MONTH(Table1[[#This Row],[Date Created Conversion]])</f>
        <v>9</v>
      </c>
      <c r="N481">
        <f>YEAR(Table1[[#This Row],[Date Created Conversion]])</f>
        <v>2014</v>
      </c>
      <c r="O481" t="b">
        <v>0</v>
      </c>
      <c r="P481">
        <v>55</v>
      </c>
      <c r="Q481" t="b">
        <v>0</v>
      </c>
      <c r="R481" t="s">
        <v>8270</v>
      </c>
      <c r="S481" s="6">
        <f>Table1[[#This Row],[pledged]]/Table1[[#This Row],[goal]]</f>
        <v>0.3256</v>
      </c>
      <c r="T481" s="8">
        <f>IF(Table1[[#This Row],[pledged]]=0,"no backers",Table1[[#This Row],[pledged]]/Table1[[#This Row],[backers_count]])</f>
        <v>88.8</v>
      </c>
      <c r="U481" t="str">
        <f>LEFT(Table1[[#This Row],[Category and Sub-Category]],FIND("/",Table1[[#This Row],[Category and Sub-Category]])-1)</f>
        <v>film &amp; video</v>
      </c>
      <c r="V481" t="str">
        <f>RIGHT(Table1[[#This Row],[Category and Sub-Category]],LEN(Table1[[#This Row],[Category and Sub-Category]])-FIND("/",Table1[[#This Row],[Category and Sub-Category]]))</f>
        <v>animation</v>
      </c>
    </row>
    <row r="482" spans="1:22" ht="43.2" x14ac:dyDescent="0.3">
      <c r="A482">
        <v>480</v>
      </c>
      <c r="B482" s="3" t="s">
        <v>481</v>
      </c>
      <c r="C482" s="3" t="s">
        <v>4590</v>
      </c>
      <c r="D482" s="1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>((Table1[[#This Row],[deadline]]/60)/60/24)+DATE(1970,1,1)</f>
        <v>41495.500173611108</v>
      </c>
      <c r="K482">
        <v>1373457615</v>
      </c>
      <c r="L482" s="11">
        <f>((Table1[[#This Row],[launched_at]]/60)/60/24)+DATE(1970,1,1)</f>
        <v>41465.500173611108</v>
      </c>
      <c r="M482">
        <f>MONTH(Table1[[#This Row],[Date Created Conversion]])</f>
        <v>7</v>
      </c>
      <c r="N482">
        <f>YEAR(Table1[[#This Row],[Date Created Conversion]])</f>
        <v>2013</v>
      </c>
      <c r="O482" t="b">
        <v>0</v>
      </c>
      <c r="P482">
        <v>140</v>
      </c>
      <c r="Q482" t="b">
        <v>0</v>
      </c>
      <c r="R482" t="s">
        <v>8270</v>
      </c>
      <c r="S482" s="6">
        <f>Table1[[#This Row],[pledged]]/Table1[[#This Row],[goal]]</f>
        <v>0.19409999999999999</v>
      </c>
      <c r="T482" s="8">
        <f>IF(Table1[[#This Row],[pledged]]=0,"no backers",Table1[[#This Row],[pledged]]/Table1[[#This Row],[backers_count]])</f>
        <v>55.457142857142856</v>
      </c>
      <c r="U482" t="str">
        <f>LEFT(Table1[[#This Row],[Category and Sub-Category]],FIND("/",Table1[[#This Row],[Category and Sub-Category]])-1)</f>
        <v>film &amp; video</v>
      </c>
      <c r="V482" t="str">
        <f>RIGHT(Table1[[#This Row],[Category and Sub-Category]],LEN(Table1[[#This Row],[Category and Sub-Category]])-FIND("/",Table1[[#This Row],[Category and Sub-Category]]))</f>
        <v>animation</v>
      </c>
    </row>
    <row r="483" spans="1:22" ht="43.2" x14ac:dyDescent="0.3">
      <c r="A483">
        <v>481</v>
      </c>
      <c r="B483" s="3" t="s">
        <v>482</v>
      </c>
      <c r="C483" s="3" t="s">
        <v>4591</v>
      </c>
      <c r="D483" s="12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>((Table1[[#This Row],[deadline]]/60)/60/24)+DATE(1970,1,1)</f>
        <v>41192.672326388885</v>
      </c>
      <c r="K483">
        <v>1347293289</v>
      </c>
      <c r="L483" s="11">
        <f>((Table1[[#This Row],[launched_at]]/60)/60/24)+DATE(1970,1,1)</f>
        <v>41162.672326388885</v>
      </c>
      <c r="M483">
        <f>MONTH(Table1[[#This Row],[Date Created Conversion]])</f>
        <v>9</v>
      </c>
      <c r="N483">
        <f>YEAR(Table1[[#This Row],[Date Created Conversion]])</f>
        <v>2012</v>
      </c>
      <c r="O483" t="b">
        <v>0</v>
      </c>
      <c r="P483">
        <v>21</v>
      </c>
      <c r="Q483" t="b">
        <v>0</v>
      </c>
      <c r="R483" t="s">
        <v>8270</v>
      </c>
      <c r="S483" s="6">
        <f>Table1[[#This Row],[pledged]]/Table1[[#This Row],[goal]]</f>
        <v>6.0999999999999999E-2</v>
      </c>
      <c r="T483" s="8">
        <f>IF(Table1[[#This Row],[pledged]]=0,"no backers",Table1[[#This Row],[pledged]]/Table1[[#This Row],[backers_count]])</f>
        <v>87.142857142857139</v>
      </c>
      <c r="U483" t="str">
        <f>LEFT(Table1[[#This Row],[Category and Sub-Category]],FIND("/",Table1[[#This Row],[Category and Sub-Category]])-1)</f>
        <v>film &amp; video</v>
      </c>
      <c r="V483" t="str">
        <f>RIGHT(Table1[[#This Row],[Category and Sub-Category]],LEN(Table1[[#This Row],[Category and Sub-Category]])-FIND("/",Table1[[#This Row],[Category and Sub-Category]]))</f>
        <v>animation</v>
      </c>
    </row>
    <row r="484" spans="1:22" ht="43.2" x14ac:dyDescent="0.3">
      <c r="A484">
        <v>482</v>
      </c>
      <c r="B484" s="3" t="s">
        <v>483</v>
      </c>
      <c r="C484" s="3" t="s">
        <v>4592</v>
      </c>
      <c r="D484" s="12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>((Table1[[#This Row],[deadline]]/60)/60/24)+DATE(1970,1,1)</f>
        <v>42474.606944444444</v>
      </c>
      <c r="K484">
        <v>1458336690</v>
      </c>
      <c r="L484" s="11">
        <f>((Table1[[#This Row],[launched_at]]/60)/60/24)+DATE(1970,1,1)</f>
        <v>42447.896875000006</v>
      </c>
      <c r="M484">
        <f>MONTH(Table1[[#This Row],[Date Created Conversion]])</f>
        <v>3</v>
      </c>
      <c r="N484">
        <f>YEAR(Table1[[#This Row],[Date Created Conversion]])</f>
        <v>2016</v>
      </c>
      <c r="O484" t="b">
        <v>0</v>
      </c>
      <c r="P484">
        <v>1</v>
      </c>
      <c r="Q484" t="b">
        <v>0</v>
      </c>
      <c r="R484" t="s">
        <v>8270</v>
      </c>
      <c r="S484" s="6">
        <f>Table1[[#This Row],[pledged]]/Table1[[#This Row],[goal]]</f>
        <v>1E-3</v>
      </c>
      <c r="T484" s="8">
        <f>IF(Table1[[#This Row],[pledged]]=0,"no backers",Table1[[#This Row],[pledged]]/Table1[[#This Row],[backers_count]])</f>
        <v>10</v>
      </c>
      <c r="U484" t="str">
        <f>LEFT(Table1[[#This Row],[Category and Sub-Category]],FIND("/",Table1[[#This Row],[Category and Sub-Category]])-1)</f>
        <v>film &amp; video</v>
      </c>
      <c r="V484" t="str">
        <f>RIGHT(Table1[[#This Row],[Category and Sub-Category]],LEN(Table1[[#This Row],[Category and Sub-Category]])-FIND("/",Table1[[#This Row],[Category and Sub-Category]]))</f>
        <v>animation</v>
      </c>
    </row>
    <row r="485" spans="1:22" ht="57.6" x14ac:dyDescent="0.3">
      <c r="A485">
        <v>483</v>
      </c>
      <c r="B485" s="3" t="s">
        <v>484</v>
      </c>
      <c r="C485" s="3" t="s">
        <v>4593</v>
      </c>
      <c r="D485" s="12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>((Table1[[#This Row],[deadline]]/60)/60/24)+DATE(1970,1,1)</f>
        <v>41303.197592592594</v>
      </c>
      <c r="K485">
        <v>1354250672</v>
      </c>
      <c r="L485" s="11">
        <f>((Table1[[#This Row],[launched_at]]/60)/60/24)+DATE(1970,1,1)</f>
        <v>41243.197592592594</v>
      </c>
      <c r="M485">
        <f>MONTH(Table1[[#This Row],[Date Created Conversion]])</f>
        <v>11</v>
      </c>
      <c r="N485">
        <f>YEAR(Table1[[#This Row],[Date Created Conversion]])</f>
        <v>2012</v>
      </c>
      <c r="O485" t="b">
        <v>0</v>
      </c>
      <c r="P485">
        <v>147</v>
      </c>
      <c r="Q485" t="b">
        <v>0</v>
      </c>
      <c r="R485" t="s">
        <v>8270</v>
      </c>
      <c r="S485" s="6">
        <f>Table1[[#This Row],[pledged]]/Table1[[#This Row],[goal]]</f>
        <v>0.502</v>
      </c>
      <c r="T485" s="8">
        <f>IF(Table1[[#This Row],[pledged]]=0,"no backers",Table1[[#This Row],[pledged]]/Table1[[#This Row],[backers_count]])</f>
        <v>51.224489795918366</v>
      </c>
      <c r="U485" t="str">
        <f>LEFT(Table1[[#This Row],[Category and Sub-Category]],FIND("/",Table1[[#This Row],[Category and Sub-Category]])-1)</f>
        <v>film &amp; video</v>
      </c>
      <c r="V485" t="str">
        <f>RIGHT(Table1[[#This Row],[Category and Sub-Category]],LEN(Table1[[#This Row],[Category and Sub-Category]])-FIND("/",Table1[[#This Row],[Category and Sub-Category]]))</f>
        <v>animation</v>
      </c>
    </row>
    <row r="486" spans="1:22" ht="57.6" x14ac:dyDescent="0.3">
      <c r="A486">
        <v>484</v>
      </c>
      <c r="B486" s="3" t="s">
        <v>485</v>
      </c>
      <c r="C486" s="3" t="s">
        <v>4594</v>
      </c>
      <c r="D486" s="12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>((Table1[[#This Row],[deadline]]/60)/60/24)+DATE(1970,1,1)</f>
        <v>42313.981157407412</v>
      </c>
      <c r="K486">
        <v>1443220372</v>
      </c>
      <c r="L486" s="11">
        <f>((Table1[[#This Row],[launched_at]]/60)/60/24)+DATE(1970,1,1)</f>
        <v>42272.93949074074</v>
      </c>
      <c r="M486">
        <f>MONTH(Table1[[#This Row],[Date Created Conversion]])</f>
        <v>9</v>
      </c>
      <c r="N486">
        <f>YEAR(Table1[[#This Row],[Date Created Conversion]])</f>
        <v>2015</v>
      </c>
      <c r="O486" t="b">
        <v>0</v>
      </c>
      <c r="P486">
        <v>11</v>
      </c>
      <c r="Q486" t="b">
        <v>0</v>
      </c>
      <c r="R486" t="s">
        <v>8270</v>
      </c>
      <c r="S486" s="6">
        <f>Table1[[#This Row],[pledged]]/Table1[[#This Row],[goal]]</f>
        <v>1.8625E-3</v>
      </c>
      <c r="T486" s="8">
        <f>IF(Table1[[#This Row],[pledged]]=0,"no backers",Table1[[#This Row],[pledged]]/Table1[[#This Row],[backers_count]])</f>
        <v>13.545454545454545</v>
      </c>
      <c r="U486" t="str">
        <f>LEFT(Table1[[#This Row],[Category and Sub-Category]],FIND("/",Table1[[#This Row],[Category and Sub-Category]])-1)</f>
        <v>film &amp; video</v>
      </c>
      <c r="V486" t="str">
        <f>RIGHT(Table1[[#This Row],[Category and Sub-Category]],LEN(Table1[[#This Row],[Category and Sub-Category]])-FIND("/",Table1[[#This Row],[Category and Sub-Category]]))</f>
        <v>animation</v>
      </c>
    </row>
    <row r="487" spans="1:22" ht="43.2" x14ac:dyDescent="0.3">
      <c r="A487">
        <v>485</v>
      </c>
      <c r="B487" s="3" t="s">
        <v>486</v>
      </c>
      <c r="C487" s="3" t="s">
        <v>4595</v>
      </c>
      <c r="D487" s="12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>((Table1[[#This Row],[deadline]]/60)/60/24)+DATE(1970,1,1)</f>
        <v>41411.50577546296</v>
      </c>
      <c r="K487">
        <v>1366200499</v>
      </c>
      <c r="L487" s="11">
        <f>((Table1[[#This Row],[launched_at]]/60)/60/24)+DATE(1970,1,1)</f>
        <v>41381.50577546296</v>
      </c>
      <c r="M487">
        <f>MONTH(Table1[[#This Row],[Date Created Conversion]])</f>
        <v>4</v>
      </c>
      <c r="N487">
        <f>YEAR(Table1[[#This Row],[Date Created Conversion]])</f>
        <v>2013</v>
      </c>
      <c r="O487" t="b">
        <v>0</v>
      </c>
      <c r="P487">
        <v>125</v>
      </c>
      <c r="Q487" t="b">
        <v>0</v>
      </c>
      <c r="R487" t="s">
        <v>8270</v>
      </c>
      <c r="S487" s="6">
        <f>Table1[[#This Row],[pledged]]/Table1[[#This Row],[goal]]</f>
        <v>0.21906971229845085</v>
      </c>
      <c r="T487" s="8">
        <f>IF(Table1[[#This Row],[pledged]]=0,"no backers",Table1[[#This Row],[pledged]]/Table1[[#This Row],[backers_count]])</f>
        <v>66.520080000000007</v>
      </c>
      <c r="U487" t="str">
        <f>LEFT(Table1[[#This Row],[Category and Sub-Category]],FIND("/",Table1[[#This Row],[Category and Sub-Category]])-1)</f>
        <v>film &amp; video</v>
      </c>
      <c r="V487" t="str">
        <f>RIGHT(Table1[[#This Row],[Category and Sub-Category]],LEN(Table1[[#This Row],[Category and Sub-Category]])-FIND("/",Table1[[#This Row],[Category and Sub-Category]]))</f>
        <v>animation</v>
      </c>
    </row>
    <row r="488" spans="1:22" ht="43.2" x14ac:dyDescent="0.3">
      <c r="A488">
        <v>486</v>
      </c>
      <c r="B488" s="3" t="s">
        <v>487</v>
      </c>
      <c r="C488" s="3" t="s">
        <v>4596</v>
      </c>
      <c r="D488" s="12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>((Table1[[#This Row],[deadline]]/60)/60/24)+DATE(1970,1,1)</f>
        <v>41791.94258101852</v>
      </c>
      <c r="K488">
        <v>1399070239</v>
      </c>
      <c r="L488" s="11">
        <f>((Table1[[#This Row],[launched_at]]/60)/60/24)+DATE(1970,1,1)</f>
        <v>41761.94258101852</v>
      </c>
      <c r="M488">
        <f>MONTH(Table1[[#This Row],[Date Created Conversion]])</f>
        <v>5</v>
      </c>
      <c r="N488">
        <f>YEAR(Table1[[#This Row],[Date Created Conversion]])</f>
        <v>2014</v>
      </c>
      <c r="O488" t="b">
        <v>0</v>
      </c>
      <c r="P488">
        <v>1</v>
      </c>
      <c r="Q488" t="b">
        <v>0</v>
      </c>
      <c r="R488" t="s">
        <v>8270</v>
      </c>
      <c r="S488" s="6">
        <f>Table1[[#This Row],[pledged]]/Table1[[#This Row],[goal]]</f>
        <v>9.0909090909090904E-5</v>
      </c>
      <c r="T488" s="8">
        <f>IF(Table1[[#This Row],[pledged]]=0,"no backers",Table1[[#This Row],[pledged]]/Table1[[#This Row],[backers_count]])</f>
        <v>50</v>
      </c>
      <c r="U488" t="str">
        <f>LEFT(Table1[[#This Row],[Category and Sub-Category]],FIND("/",Table1[[#This Row],[Category and Sub-Category]])-1)</f>
        <v>film &amp; video</v>
      </c>
      <c r="V488" t="str">
        <f>RIGHT(Table1[[#This Row],[Category and Sub-Category]],LEN(Table1[[#This Row],[Category and Sub-Category]])-FIND("/",Table1[[#This Row],[Category and Sub-Category]]))</f>
        <v>animation</v>
      </c>
    </row>
    <row r="489" spans="1:22" ht="43.2" x14ac:dyDescent="0.3">
      <c r="A489">
        <v>487</v>
      </c>
      <c r="B489" s="3" t="s">
        <v>488</v>
      </c>
      <c r="C489" s="3" t="s">
        <v>4597</v>
      </c>
      <c r="D489" s="12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>((Table1[[#This Row],[deadline]]/60)/60/24)+DATE(1970,1,1)</f>
        <v>42729.636504629627</v>
      </c>
      <c r="K489">
        <v>1477491394</v>
      </c>
      <c r="L489" s="11">
        <f>((Table1[[#This Row],[launched_at]]/60)/60/24)+DATE(1970,1,1)</f>
        <v>42669.594837962963</v>
      </c>
      <c r="M489">
        <f>MONTH(Table1[[#This Row],[Date Created Conversion]])</f>
        <v>10</v>
      </c>
      <c r="N489">
        <f>YEAR(Table1[[#This Row],[Date Created Conversion]])</f>
        <v>2016</v>
      </c>
      <c r="O489" t="b">
        <v>0</v>
      </c>
      <c r="P489">
        <v>0</v>
      </c>
      <c r="Q489" t="b">
        <v>0</v>
      </c>
      <c r="R489" t="s">
        <v>8270</v>
      </c>
      <c r="S489" s="6">
        <f>Table1[[#This Row],[pledged]]/Table1[[#This Row],[goal]]</f>
        <v>0</v>
      </c>
      <c r="T489" s="8" t="str">
        <f>IF(Table1[[#This Row],[pledged]]=0,"no backers",Table1[[#This Row],[pledged]]/Table1[[#This Row],[backers_count]])</f>
        <v>no backers</v>
      </c>
      <c r="U489" t="str">
        <f>LEFT(Table1[[#This Row],[Category and Sub-Category]],FIND("/",Table1[[#This Row],[Category and Sub-Category]])-1)</f>
        <v>film &amp; video</v>
      </c>
      <c r="V489" t="str">
        <f>RIGHT(Table1[[#This Row],[Category and Sub-Category]],LEN(Table1[[#This Row],[Category and Sub-Category]])-FIND("/",Table1[[#This Row],[Category and Sub-Category]]))</f>
        <v>animation</v>
      </c>
    </row>
    <row r="490" spans="1:22" ht="43.2" x14ac:dyDescent="0.3">
      <c r="A490">
        <v>488</v>
      </c>
      <c r="B490" s="3" t="s">
        <v>489</v>
      </c>
      <c r="C490" s="3" t="s">
        <v>4598</v>
      </c>
      <c r="D490" s="12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>((Table1[[#This Row],[deadline]]/60)/60/24)+DATE(1970,1,1)</f>
        <v>42744.054398148146</v>
      </c>
      <c r="K490">
        <v>1481332700</v>
      </c>
      <c r="L490" s="11">
        <f>((Table1[[#This Row],[launched_at]]/60)/60/24)+DATE(1970,1,1)</f>
        <v>42714.054398148146</v>
      </c>
      <c r="M490">
        <f>MONTH(Table1[[#This Row],[Date Created Conversion]])</f>
        <v>12</v>
      </c>
      <c r="N490">
        <f>YEAR(Table1[[#This Row],[Date Created Conversion]])</f>
        <v>2016</v>
      </c>
      <c r="O490" t="b">
        <v>0</v>
      </c>
      <c r="P490">
        <v>0</v>
      </c>
      <c r="Q490" t="b">
        <v>0</v>
      </c>
      <c r="R490" t="s">
        <v>8270</v>
      </c>
      <c r="S490" s="6">
        <f>Table1[[#This Row],[pledged]]/Table1[[#This Row],[goal]]</f>
        <v>0</v>
      </c>
      <c r="T490" s="8" t="str">
        <f>IF(Table1[[#This Row],[pledged]]=0,"no backers",Table1[[#This Row],[pledged]]/Table1[[#This Row],[backers_count]])</f>
        <v>no backers</v>
      </c>
      <c r="U490" t="str">
        <f>LEFT(Table1[[#This Row],[Category and Sub-Category]],FIND("/",Table1[[#This Row],[Category and Sub-Category]])-1)</f>
        <v>film &amp; video</v>
      </c>
      <c r="V490" t="str">
        <f>RIGHT(Table1[[#This Row],[Category and Sub-Category]],LEN(Table1[[#This Row],[Category and Sub-Category]])-FIND("/",Table1[[#This Row],[Category and Sub-Category]]))</f>
        <v>animation</v>
      </c>
    </row>
    <row r="491" spans="1:22" ht="43.2" x14ac:dyDescent="0.3">
      <c r="A491">
        <v>489</v>
      </c>
      <c r="B491" s="3" t="s">
        <v>490</v>
      </c>
      <c r="C491" s="3" t="s">
        <v>4599</v>
      </c>
      <c r="D491" s="12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>((Table1[[#This Row],[deadline]]/60)/60/24)+DATE(1970,1,1)</f>
        <v>40913.481249999997</v>
      </c>
      <c r="K491">
        <v>1323084816</v>
      </c>
      <c r="L491" s="11">
        <f>((Table1[[#This Row],[launched_at]]/60)/60/24)+DATE(1970,1,1)</f>
        <v>40882.481666666667</v>
      </c>
      <c r="M491">
        <f>MONTH(Table1[[#This Row],[Date Created Conversion]])</f>
        <v>12</v>
      </c>
      <c r="N491">
        <f>YEAR(Table1[[#This Row],[Date Created Conversion]])</f>
        <v>2011</v>
      </c>
      <c r="O491" t="b">
        <v>0</v>
      </c>
      <c r="P491">
        <v>3</v>
      </c>
      <c r="Q491" t="b">
        <v>0</v>
      </c>
      <c r="R491" t="s">
        <v>8270</v>
      </c>
      <c r="S491" s="6">
        <f>Table1[[#This Row],[pledged]]/Table1[[#This Row],[goal]]</f>
        <v>2.8667813379201833E-3</v>
      </c>
      <c r="T491" s="8">
        <f>IF(Table1[[#This Row],[pledged]]=0,"no backers",Table1[[#This Row],[pledged]]/Table1[[#This Row],[backers_count]])</f>
        <v>71.666666666666671</v>
      </c>
      <c r="U491" t="str">
        <f>LEFT(Table1[[#This Row],[Category and Sub-Category]],FIND("/",Table1[[#This Row],[Category and Sub-Category]])-1)</f>
        <v>film &amp; video</v>
      </c>
      <c r="V491" t="str">
        <f>RIGHT(Table1[[#This Row],[Category and Sub-Category]],LEN(Table1[[#This Row],[Category and Sub-Category]])-FIND("/",Table1[[#This Row],[Category and Sub-Category]]))</f>
        <v>animation</v>
      </c>
    </row>
    <row r="492" spans="1:22" x14ac:dyDescent="0.3">
      <c r="A492">
        <v>490</v>
      </c>
      <c r="B492" s="3" t="s">
        <v>491</v>
      </c>
      <c r="C492" s="3" t="s">
        <v>4600</v>
      </c>
      <c r="D492" s="1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>((Table1[[#This Row],[deadline]]/60)/60/24)+DATE(1970,1,1)</f>
        <v>41143.968576388892</v>
      </c>
      <c r="K492">
        <v>1343085285</v>
      </c>
      <c r="L492" s="11">
        <f>((Table1[[#This Row],[launched_at]]/60)/60/24)+DATE(1970,1,1)</f>
        <v>41113.968576388892</v>
      </c>
      <c r="M492">
        <f>MONTH(Table1[[#This Row],[Date Created Conversion]])</f>
        <v>7</v>
      </c>
      <c r="N492">
        <f>YEAR(Table1[[#This Row],[Date Created Conversion]])</f>
        <v>2012</v>
      </c>
      <c r="O492" t="b">
        <v>0</v>
      </c>
      <c r="P492">
        <v>0</v>
      </c>
      <c r="Q492" t="b">
        <v>0</v>
      </c>
      <c r="R492" t="s">
        <v>8270</v>
      </c>
      <c r="S492" s="6">
        <f>Table1[[#This Row],[pledged]]/Table1[[#This Row],[goal]]</f>
        <v>0</v>
      </c>
      <c r="T492" s="8" t="str">
        <f>IF(Table1[[#This Row],[pledged]]=0,"no backers",Table1[[#This Row],[pledged]]/Table1[[#This Row],[backers_count]])</f>
        <v>no backers</v>
      </c>
      <c r="U492" t="str">
        <f>LEFT(Table1[[#This Row],[Category and Sub-Category]],FIND("/",Table1[[#This Row],[Category and Sub-Category]])-1)</f>
        <v>film &amp; video</v>
      </c>
      <c r="V492" t="str">
        <f>RIGHT(Table1[[#This Row],[Category and Sub-Category]],LEN(Table1[[#This Row],[Category and Sub-Category]])-FIND("/",Table1[[#This Row],[Category and Sub-Category]]))</f>
        <v>animation</v>
      </c>
    </row>
    <row r="493" spans="1:22" ht="43.2" x14ac:dyDescent="0.3">
      <c r="A493">
        <v>491</v>
      </c>
      <c r="B493" s="3" t="s">
        <v>492</v>
      </c>
      <c r="C493" s="3" t="s">
        <v>4601</v>
      </c>
      <c r="D493" s="12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>((Table1[[#This Row],[deadline]]/60)/60/24)+DATE(1970,1,1)</f>
        <v>42396.982627314821</v>
      </c>
      <c r="K493">
        <v>1451345699</v>
      </c>
      <c r="L493" s="11">
        <f>((Table1[[#This Row],[launched_at]]/60)/60/24)+DATE(1970,1,1)</f>
        <v>42366.982627314821</v>
      </c>
      <c r="M493">
        <f>MONTH(Table1[[#This Row],[Date Created Conversion]])</f>
        <v>12</v>
      </c>
      <c r="N493">
        <f>YEAR(Table1[[#This Row],[Date Created Conversion]])</f>
        <v>2015</v>
      </c>
      <c r="O493" t="b">
        <v>0</v>
      </c>
      <c r="P493">
        <v>0</v>
      </c>
      <c r="Q493" t="b">
        <v>0</v>
      </c>
      <c r="R493" t="s">
        <v>8270</v>
      </c>
      <c r="S493" s="6">
        <f>Table1[[#This Row],[pledged]]/Table1[[#This Row],[goal]]</f>
        <v>0</v>
      </c>
      <c r="T493" s="8" t="str">
        <f>IF(Table1[[#This Row],[pledged]]=0,"no backers",Table1[[#This Row],[pledged]]/Table1[[#This Row],[backers_count]])</f>
        <v>no backers</v>
      </c>
      <c r="U493" t="str">
        <f>LEFT(Table1[[#This Row],[Category and Sub-Category]],FIND("/",Table1[[#This Row],[Category and Sub-Category]])-1)</f>
        <v>film &amp; video</v>
      </c>
      <c r="V493" t="str">
        <f>RIGHT(Table1[[#This Row],[Category and Sub-Category]],LEN(Table1[[#This Row],[Category and Sub-Category]])-FIND("/",Table1[[#This Row],[Category and Sub-Category]]))</f>
        <v>animation</v>
      </c>
    </row>
    <row r="494" spans="1:22" ht="43.2" x14ac:dyDescent="0.3">
      <c r="A494">
        <v>492</v>
      </c>
      <c r="B494" s="3" t="s">
        <v>493</v>
      </c>
      <c r="C494" s="3" t="s">
        <v>4602</v>
      </c>
      <c r="D494" s="12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>((Table1[[#This Row],[deadline]]/60)/60/24)+DATE(1970,1,1)</f>
        <v>42656.03506944445</v>
      </c>
      <c r="K494">
        <v>1471135830</v>
      </c>
      <c r="L494" s="11">
        <f>((Table1[[#This Row],[launched_at]]/60)/60/24)+DATE(1970,1,1)</f>
        <v>42596.03506944445</v>
      </c>
      <c r="M494">
        <f>MONTH(Table1[[#This Row],[Date Created Conversion]])</f>
        <v>8</v>
      </c>
      <c r="N494">
        <f>YEAR(Table1[[#This Row],[Date Created Conversion]])</f>
        <v>2016</v>
      </c>
      <c r="O494" t="b">
        <v>0</v>
      </c>
      <c r="P494">
        <v>0</v>
      </c>
      <c r="Q494" t="b">
        <v>0</v>
      </c>
      <c r="R494" t="s">
        <v>8270</v>
      </c>
      <c r="S494" s="6">
        <f>Table1[[#This Row],[pledged]]/Table1[[#This Row],[goal]]</f>
        <v>0</v>
      </c>
      <c r="T494" s="8" t="str">
        <f>IF(Table1[[#This Row],[pledged]]=0,"no backers",Table1[[#This Row],[pledged]]/Table1[[#This Row],[backers_count]])</f>
        <v>no backers</v>
      </c>
      <c r="U494" t="str">
        <f>LEFT(Table1[[#This Row],[Category and Sub-Category]],FIND("/",Table1[[#This Row],[Category and Sub-Category]])-1)</f>
        <v>film &amp; video</v>
      </c>
      <c r="V494" t="str">
        <f>RIGHT(Table1[[#This Row],[Category and Sub-Category]],LEN(Table1[[#This Row],[Category and Sub-Category]])-FIND("/",Table1[[#This Row],[Category and Sub-Category]]))</f>
        <v>animation</v>
      </c>
    </row>
    <row r="495" spans="1:22" ht="43.2" x14ac:dyDescent="0.3">
      <c r="A495">
        <v>493</v>
      </c>
      <c r="B495" s="3" t="s">
        <v>494</v>
      </c>
      <c r="C495" s="3" t="s">
        <v>4603</v>
      </c>
      <c r="D495" s="12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>((Table1[[#This Row],[deadline]]/60)/60/24)+DATE(1970,1,1)</f>
        <v>42144.726134259254</v>
      </c>
      <c r="K495">
        <v>1429550738</v>
      </c>
      <c r="L495" s="11">
        <f>((Table1[[#This Row],[launched_at]]/60)/60/24)+DATE(1970,1,1)</f>
        <v>42114.726134259254</v>
      </c>
      <c r="M495">
        <f>MONTH(Table1[[#This Row],[Date Created Conversion]])</f>
        <v>4</v>
      </c>
      <c r="N495">
        <f>YEAR(Table1[[#This Row],[Date Created Conversion]])</f>
        <v>2015</v>
      </c>
      <c r="O495" t="b">
        <v>0</v>
      </c>
      <c r="P495">
        <v>0</v>
      </c>
      <c r="Q495" t="b">
        <v>0</v>
      </c>
      <c r="R495" t="s">
        <v>8270</v>
      </c>
      <c r="S495" s="6">
        <f>Table1[[#This Row],[pledged]]/Table1[[#This Row],[goal]]</f>
        <v>0</v>
      </c>
      <c r="T495" s="8" t="str">
        <f>IF(Table1[[#This Row],[pledged]]=0,"no backers",Table1[[#This Row],[pledged]]/Table1[[#This Row],[backers_count]])</f>
        <v>no backers</v>
      </c>
      <c r="U495" t="str">
        <f>LEFT(Table1[[#This Row],[Category and Sub-Category]],FIND("/",Table1[[#This Row],[Category and Sub-Category]])-1)</f>
        <v>film &amp; video</v>
      </c>
      <c r="V495" t="str">
        <f>RIGHT(Table1[[#This Row],[Category and Sub-Category]],LEN(Table1[[#This Row],[Category and Sub-Category]])-FIND("/",Table1[[#This Row],[Category and Sub-Category]]))</f>
        <v>animation</v>
      </c>
    </row>
    <row r="496" spans="1:22" ht="43.2" x14ac:dyDescent="0.3">
      <c r="A496">
        <v>494</v>
      </c>
      <c r="B496" s="3" t="s">
        <v>495</v>
      </c>
      <c r="C496" s="3" t="s">
        <v>4604</v>
      </c>
      <c r="D496" s="12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>((Table1[[#This Row],[deadline]]/60)/60/24)+DATE(1970,1,1)</f>
        <v>41823.125</v>
      </c>
      <c r="K496">
        <v>1402343765</v>
      </c>
      <c r="L496" s="11">
        <f>((Table1[[#This Row],[launched_at]]/60)/60/24)+DATE(1970,1,1)</f>
        <v>41799.830613425926</v>
      </c>
      <c r="M496">
        <f>MONTH(Table1[[#This Row],[Date Created Conversion]])</f>
        <v>6</v>
      </c>
      <c r="N496">
        <f>YEAR(Table1[[#This Row],[Date Created Conversion]])</f>
        <v>2014</v>
      </c>
      <c r="O496" t="b">
        <v>0</v>
      </c>
      <c r="P496">
        <v>3</v>
      </c>
      <c r="Q496" t="b">
        <v>0</v>
      </c>
      <c r="R496" t="s">
        <v>8270</v>
      </c>
      <c r="S496" s="6">
        <f>Table1[[#This Row],[pledged]]/Table1[[#This Row],[goal]]</f>
        <v>1.5499999999999999E-3</v>
      </c>
      <c r="T496" s="8">
        <f>IF(Table1[[#This Row],[pledged]]=0,"no backers",Table1[[#This Row],[pledged]]/Table1[[#This Row],[backers_count]])</f>
        <v>10.333333333333334</v>
      </c>
      <c r="U496" t="str">
        <f>LEFT(Table1[[#This Row],[Category and Sub-Category]],FIND("/",Table1[[#This Row],[Category and Sub-Category]])-1)</f>
        <v>film &amp; video</v>
      </c>
      <c r="V496" t="str">
        <f>RIGHT(Table1[[#This Row],[Category and Sub-Category]],LEN(Table1[[#This Row],[Category and Sub-Category]])-FIND("/",Table1[[#This Row],[Category and Sub-Category]]))</f>
        <v>animation</v>
      </c>
    </row>
    <row r="497" spans="1:22" ht="43.2" x14ac:dyDescent="0.3">
      <c r="A497">
        <v>495</v>
      </c>
      <c r="B497" s="3" t="s">
        <v>496</v>
      </c>
      <c r="C497" s="3" t="s">
        <v>4605</v>
      </c>
      <c r="D497" s="12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>((Table1[[#This Row],[deadline]]/60)/60/24)+DATE(1970,1,1)</f>
        <v>42201.827604166669</v>
      </c>
      <c r="K497">
        <v>1434484305</v>
      </c>
      <c r="L497" s="11">
        <f>((Table1[[#This Row],[launched_at]]/60)/60/24)+DATE(1970,1,1)</f>
        <v>42171.827604166669</v>
      </c>
      <c r="M497">
        <f>MONTH(Table1[[#This Row],[Date Created Conversion]])</f>
        <v>6</v>
      </c>
      <c r="N497">
        <f>YEAR(Table1[[#This Row],[Date Created Conversion]])</f>
        <v>2015</v>
      </c>
      <c r="O497" t="b">
        <v>0</v>
      </c>
      <c r="P497">
        <v>0</v>
      </c>
      <c r="Q497" t="b">
        <v>0</v>
      </c>
      <c r="R497" t="s">
        <v>8270</v>
      </c>
      <c r="S497" s="6">
        <f>Table1[[#This Row],[pledged]]/Table1[[#This Row],[goal]]</f>
        <v>0</v>
      </c>
      <c r="T497" s="8" t="str">
        <f>IF(Table1[[#This Row],[pledged]]=0,"no backers",Table1[[#This Row],[pledged]]/Table1[[#This Row],[backers_count]])</f>
        <v>no backers</v>
      </c>
      <c r="U497" t="str">
        <f>LEFT(Table1[[#This Row],[Category and Sub-Category]],FIND("/",Table1[[#This Row],[Category and Sub-Category]])-1)</f>
        <v>film &amp; video</v>
      </c>
      <c r="V497" t="str">
        <f>RIGHT(Table1[[#This Row],[Category and Sub-Category]],LEN(Table1[[#This Row],[Category and Sub-Category]])-FIND("/",Table1[[#This Row],[Category and Sub-Category]]))</f>
        <v>animation</v>
      </c>
    </row>
    <row r="498" spans="1:22" ht="28.8" x14ac:dyDescent="0.3">
      <c r="A498">
        <v>496</v>
      </c>
      <c r="B498" s="3" t="s">
        <v>497</v>
      </c>
      <c r="C498" s="3" t="s">
        <v>4606</v>
      </c>
      <c r="D498" s="12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>((Table1[[#This Row],[deadline]]/60)/60/24)+DATE(1970,1,1)</f>
        <v>41680.93141203704</v>
      </c>
      <c r="K498">
        <v>1386886874</v>
      </c>
      <c r="L498" s="11">
        <f>((Table1[[#This Row],[launched_at]]/60)/60/24)+DATE(1970,1,1)</f>
        <v>41620.93141203704</v>
      </c>
      <c r="M498">
        <f>MONTH(Table1[[#This Row],[Date Created Conversion]])</f>
        <v>12</v>
      </c>
      <c r="N498">
        <f>YEAR(Table1[[#This Row],[Date Created Conversion]])</f>
        <v>2013</v>
      </c>
      <c r="O498" t="b">
        <v>0</v>
      </c>
      <c r="P498">
        <v>1</v>
      </c>
      <c r="Q498" t="b">
        <v>0</v>
      </c>
      <c r="R498" t="s">
        <v>8270</v>
      </c>
      <c r="S498" s="6">
        <f>Table1[[#This Row],[pledged]]/Table1[[#This Row],[goal]]</f>
        <v>1.6666666666666667E-5</v>
      </c>
      <c r="T498" s="8">
        <f>IF(Table1[[#This Row],[pledged]]=0,"no backers",Table1[[#This Row],[pledged]]/Table1[[#This Row],[backers_count]])</f>
        <v>1</v>
      </c>
      <c r="U498" t="str">
        <f>LEFT(Table1[[#This Row],[Category and Sub-Category]],FIND("/",Table1[[#This Row],[Category and Sub-Category]])-1)</f>
        <v>film &amp; video</v>
      </c>
      <c r="V498" t="str">
        <f>RIGHT(Table1[[#This Row],[Category and Sub-Category]],LEN(Table1[[#This Row],[Category and Sub-Category]])-FIND("/",Table1[[#This Row],[Category and Sub-Category]]))</f>
        <v>animation</v>
      </c>
    </row>
    <row r="499" spans="1:22" x14ac:dyDescent="0.3">
      <c r="A499">
        <v>497</v>
      </c>
      <c r="B499" s="3" t="s">
        <v>498</v>
      </c>
      <c r="C499" s="3" t="s">
        <v>4607</v>
      </c>
      <c r="D499" s="12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>((Table1[[#This Row],[deadline]]/60)/60/24)+DATE(1970,1,1)</f>
        <v>41998.208333333328</v>
      </c>
      <c r="K499">
        <v>1414889665</v>
      </c>
      <c r="L499" s="11">
        <f>((Table1[[#This Row],[launched_at]]/60)/60/24)+DATE(1970,1,1)</f>
        <v>41945.037789351853</v>
      </c>
      <c r="M499">
        <f>MONTH(Table1[[#This Row],[Date Created Conversion]])</f>
        <v>11</v>
      </c>
      <c r="N499">
        <f>YEAR(Table1[[#This Row],[Date Created Conversion]])</f>
        <v>2014</v>
      </c>
      <c r="O499" t="b">
        <v>0</v>
      </c>
      <c r="P499">
        <v>3</v>
      </c>
      <c r="Q499" t="b">
        <v>0</v>
      </c>
      <c r="R499" t="s">
        <v>8270</v>
      </c>
      <c r="S499" s="6">
        <f>Table1[[#This Row],[pledged]]/Table1[[#This Row],[goal]]</f>
        <v>6.6964285714285711E-3</v>
      </c>
      <c r="T499" s="8">
        <f>IF(Table1[[#This Row],[pledged]]=0,"no backers",Table1[[#This Row],[pledged]]/Table1[[#This Row],[backers_count]])</f>
        <v>10</v>
      </c>
      <c r="U499" t="str">
        <f>LEFT(Table1[[#This Row],[Category and Sub-Category]],FIND("/",Table1[[#This Row],[Category and Sub-Category]])-1)</f>
        <v>film &amp; video</v>
      </c>
      <c r="V499" t="str">
        <f>RIGHT(Table1[[#This Row],[Category and Sub-Category]],LEN(Table1[[#This Row],[Category and Sub-Category]])-FIND("/",Table1[[#This Row],[Category and Sub-Category]]))</f>
        <v>animation</v>
      </c>
    </row>
    <row r="500" spans="1:22" ht="43.2" x14ac:dyDescent="0.3">
      <c r="A500">
        <v>498</v>
      </c>
      <c r="B500" s="3" t="s">
        <v>499</v>
      </c>
      <c r="C500" s="3" t="s">
        <v>4608</v>
      </c>
      <c r="D500" s="12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>((Table1[[#This Row],[deadline]]/60)/60/24)+DATE(1970,1,1)</f>
        <v>40900.762141203704</v>
      </c>
      <c r="K500">
        <v>1321035449</v>
      </c>
      <c r="L500" s="11">
        <f>((Table1[[#This Row],[launched_at]]/60)/60/24)+DATE(1970,1,1)</f>
        <v>40858.762141203704</v>
      </c>
      <c r="M500">
        <f>MONTH(Table1[[#This Row],[Date Created Conversion]])</f>
        <v>11</v>
      </c>
      <c r="N500">
        <f>YEAR(Table1[[#This Row],[Date Created Conversion]])</f>
        <v>2011</v>
      </c>
      <c r="O500" t="b">
        <v>0</v>
      </c>
      <c r="P500">
        <v>22</v>
      </c>
      <c r="Q500" t="b">
        <v>0</v>
      </c>
      <c r="R500" t="s">
        <v>8270</v>
      </c>
      <c r="S500" s="6">
        <f>Table1[[#This Row],[pledged]]/Table1[[#This Row],[goal]]</f>
        <v>4.5985132395404561E-2</v>
      </c>
      <c r="T500" s="8">
        <f>IF(Table1[[#This Row],[pledged]]=0,"no backers",Table1[[#This Row],[pledged]]/Table1[[#This Row],[backers_count]])</f>
        <v>136.09090909090909</v>
      </c>
      <c r="U500" t="str">
        <f>LEFT(Table1[[#This Row],[Category and Sub-Category]],FIND("/",Table1[[#This Row],[Category and Sub-Category]])-1)</f>
        <v>film &amp; video</v>
      </c>
      <c r="V500" t="str">
        <f>RIGHT(Table1[[#This Row],[Category and Sub-Category]],LEN(Table1[[#This Row],[Category and Sub-Category]])-FIND("/",Table1[[#This Row],[Category and Sub-Category]]))</f>
        <v>animation</v>
      </c>
    </row>
    <row r="501" spans="1:22" ht="57.6" x14ac:dyDescent="0.3">
      <c r="A501">
        <v>499</v>
      </c>
      <c r="B501" s="3" t="s">
        <v>500</v>
      </c>
      <c r="C501" s="3" t="s">
        <v>4609</v>
      </c>
      <c r="D501" s="12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>((Table1[[#This Row],[deadline]]/60)/60/24)+DATE(1970,1,1)</f>
        <v>40098.874305555553</v>
      </c>
      <c r="K501">
        <v>1250630968</v>
      </c>
      <c r="L501" s="11">
        <f>((Table1[[#This Row],[launched_at]]/60)/60/24)+DATE(1970,1,1)</f>
        <v>40043.895462962959</v>
      </c>
      <c r="M501">
        <f>MONTH(Table1[[#This Row],[Date Created Conversion]])</f>
        <v>8</v>
      </c>
      <c r="N501">
        <f>YEAR(Table1[[#This Row],[Date Created Conversion]])</f>
        <v>2009</v>
      </c>
      <c r="O501" t="b">
        <v>0</v>
      </c>
      <c r="P501">
        <v>26</v>
      </c>
      <c r="Q501" t="b">
        <v>0</v>
      </c>
      <c r="R501" t="s">
        <v>8270</v>
      </c>
      <c r="S501" s="6">
        <f>Table1[[#This Row],[pledged]]/Table1[[#This Row],[goal]]</f>
        <v>9.5500000000000002E-2</v>
      </c>
      <c r="T501" s="8">
        <f>IF(Table1[[#This Row],[pledged]]=0,"no backers",Table1[[#This Row],[pledged]]/Table1[[#This Row],[backers_count]])</f>
        <v>73.461538461538467</v>
      </c>
      <c r="U501" t="str">
        <f>LEFT(Table1[[#This Row],[Category and Sub-Category]],FIND("/",Table1[[#This Row],[Category and Sub-Category]])-1)</f>
        <v>film &amp; video</v>
      </c>
      <c r="V501" t="str">
        <f>RIGHT(Table1[[#This Row],[Category and Sub-Category]],LEN(Table1[[#This Row],[Category and Sub-Category]])-FIND("/",Table1[[#This Row],[Category and Sub-Category]]))</f>
        <v>animation</v>
      </c>
    </row>
    <row r="502" spans="1:22" ht="57.6" x14ac:dyDescent="0.3">
      <c r="A502">
        <v>500</v>
      </c>
      <c r="B502" s="3" t="s">
        <v>501</v>
      </c>
      <c r="C502" s="3" t="s">
        <v>4610</v>
      </c>
      <c r="D502" s="1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>((Table1[[#This Row],[deadline]]/60)/60/24)+DATE(1970,1,1)</f>
        <v>40306.927777777775</v>
      </c>
      <c r="K502">
        <v>1268255751</v>
      </c>
      <c r="L502" s="11">
        <f>((Table1[[#This Row],[launched_at]]/60)/60/24)+DATE(1970,1,1)</f>
        <v>40247.886006944449</v>
      </c>
      <c r="M502">
        <f>MONTH(Table1[[#This Row],[Date Created Conversion]])</f>
        <v>3</v>
      </c>
      <c r="N502">
        <f>YEAR(Table1[[#This Row],[Date Created Conversion]])</f>
        <v>2010</v>
      </c>
      <c r="O502" t="b">
        <v>0</v>
      </c>
      <c r="P502">
        <v>4</v>
      </c>
      <c r="Q502" t="b">
        <v>0</v>
      </c>
      <c r="R502" t="s">
        <v>8270</v>
      </c>
      <c r="S502" s="6">
        <f>Table1[[#This Row],[pledged]]/Table1[[#This Row],[goal]]</f>
        <v>3.307692307692308E-2</v>
      </c>
      <c r="T502" s="8">
        <f>IF(Table1[[#This Row],[pledged]]=0,"no backers",Table1[[#This Row],[pledged]]/Table1[[#This Row],[backers_count]])</f>
        <v>53.75</v>
      </c>
      <c r="U502" t="str">
        <f>LEFT(Table1[[#This Row],[Category and Sub-Category]],FIND("/",Table1[[#This Row],[Category and Sub-Category]])-1)</f>
        <v>film &amp; video</v>
      </c>
      <c r="V502" t="str">
        <f>RIGHT(Table1[[#This Row],[Category and Sub-Category]],LEN(Table1[[#This Row],[Category and Sub-Category]])-FIND("/",Table1[[#This Row],[Category and Sub-Category]]))</f>
        <v>animation</v>
      </c>
    </row>
    <row r="503" spans="1:22" ht="43.2" x14ac:dyDescent="0.3">
      <c r="A503">
        <v>501</v>
      </c>
      <c r="B503" s="3" t="s">
        <v>502</v>
      </c>
      <c r="C503" s="3" t="s">
        <v>4611</v>
      </c>
      <c r="D503" s="12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>((Table1[[#This Row],[deadline]]/60)/60/24)+DATE(1970,1,1)</f>
        <v>40733.234386574077</v>
      </c>
      <c r="K503">
        <v>1307597851</v>
      </c>
      <c r="L503" s="11">
        <f>((Table1[[#This Row],[launched_at]]/60)/60/24)+DATE(1970,1,1)</f>
        <v>40703.234386574077</v>
      </c>
      <c r="M503">
        <f>MONTH(Table1[[#This Row],[Date Created Conversion]])</f>
        <v>6</v>
      </c>
      <c r="N503">
        <f>YEAR(Table1[[#This Row],[Date Created Conversion]])</f>
        <v>2011</v>
      </c>
      <c r="O503" t="b">
        <v>0</v>
      </c>
      <c r="P503">
        <v>0</v>
      </c>
      <c r="Q503" t="b">
        <v>0</v>
      </c>
      <c r="R503" t="s">
        <v>8270</v>
      </c>
      <c r="S503" s="6">
        <f>Table1[[#This Row],[pledged]]/Table1[[#This Row],[goal]]</f>
        <v>0</v>
      </c>
      <c r="T503" s="8" t="str">
        <f>IF(Table1[[#This Row],[pledged]]=0,"no backers",Table1[[#This Row],[pledged]]/Table1[[#This Row],[backers_count]])</f>
        <v>no backers</v>
      </c>
      <c r="U503" t="str">
        <f>LEFT(Table1[[#This Row],[Category and Sub-Category]],FIND("/",Table1[[#This Row],[Category and Sub-Category]])-1)</f>
        <v>film &amp; video</v>
      </c>
      <c r="V503" t="str">
        <f>RIGHT(Table1[[#This Row],[Category and Sub-Category]],LEN(Table1[[#This Row],[Category and Sub-Category]])-FIND("/",Table1[[#This Row],[Category and Sub-Category]]))</f>
        <v>animation</v>
      </c>
    </row>
    <row r="504" spans="1:22" ht="57.6" x14ac:dyDescent="0.3">
      <c r="A504">
        <v>502</v>
      </c>
      <c r="B504" s="3" t="s">
        <v>503</v>
      </c>
      <c r="C504" s="3" t="s">
        <v>4612</v>
      </c>
      <c r="D504" s="12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>((Table1[[#This Row],[deadline]]/60)/60/24)+DATE(1970,1,1)</f>
        <v>40986.511863425927</v>
      </c>
      <c r="K504">
        <v>1329484625</v>
      </c>
      <c r="L504" s="11">
        <f>((Table1[[#This Row],[launched_at]]/60)/60/24)+DATE(1970,1,1)</f>
        <v>40956.553530092591</v>
      </c>
      <c r="M504">
        <f>MONTH(Table1[[#This Row],[Date Created Conversion]])</f>
        <v>2</v>
      </c>
      <c r="N504">
        <f>YEAR(Table1[[#This Row],[Date Created Conversion]])</f>
        <v>2012</v>
      </c>
      <c r="O504" t="b">
        <v>0</v>
      </c>
      <c r="P504">
        <v>4</v>
      </c>
      <c r="Q504" t="b">
        <v>0</v>
      </c>
      <c r="R504" t="s">
        <v>8270</v>
      </c>
      <c r="S504" s="6">
        <f>Table1[[#This Row],[pledged]]/Table1[[#This Row],[goal]]</f>
        <v>1.15E-2</v>
      </c>
      <c r="T504" s="8">
        <f>IF(Table1[[#This Row],[pledged]]=0,"no backers",Table1[[#This Row],[pledged]]/Table1[[#This Row],[backers_count]])</f>
        <v>57.5</v>
      </c>
      <c r="U504" t="str">
        <f>LEFT(Table1[[#This Row],[Category and Sub-Category]],FIND("/",Table1[[#This Row],[Category and Sub-Category]])-1)</f>
        <v>film &amp; video</v>
      </c>
      <c r="V504" t="str">
        <f>RIGHT(Table1[[#This Row],[Category and Sub-Category]],LEN(Table1[[#This Row],[Category and Sub-Category]])-FIND("/",Table1[[#This Row],[Category and Sub-Category]]))</f>
        <v>animation</v>
      </c>
    </row>
    <row r="505" spans="1:22" ht="43.2" x14ac:dyDescent="0.3">
      <c r="A505">
        <v>503</v>
      </c>
      <c r="B505" s="3" t="s">
        <v>504</v>
      </c>
      <c r="C505" s="3" t="s">
        <v>4613</v>
      </c>
      <c r="D505" s="12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>((Table1[[#This Row],[deadline]]/60)/60/24)+DATE(1970,1,1)</f>
        <v>42021.526655092588</v>
      </c>
      <c r="K505">
        <v>1418906303</v>
      </c>
      <c r="L505" s="11">
        <f>((Table1[[#This Row],[launched_at]]/60)/60/24)+DATE(1970,1,1)</f>
        <v>41991.526655092588</v>
      </c>
      <c r="M505">
        <f>MONTH(Table1[[#This Row],[Date Created Conversion]])</f>
        <v>12</v>
      </c>
      <c r="N505">
        <f>YEAR(Table1[[#This Row],[Date Created Conversion]])</f>
        <v>2014</v>
      </c>
      <c r="O505" t="b">
        <v>0</v>
      </c>
      <c r="P505">
        <v>9</v>
      </c>
      <c r="Q505" t="b">
        <v>0</v>
      </c>
      <c r="R505" t="s">
        <v>8270</v>
      </c>
      <c r="S505" s="6">
        <f>Table1[[#This Row],[pledged]]/Table1[[#This Row],[goal]]</f>
        <v>1.7538461538461537E-2</v>
      </c>
      <c r="T505" s="8">
        <f>IF(Table1[[#This Row],[pledged]]=0,"no backers",Table1[[#This Row],[pledged]]/Table1[[#This Row],[backers_count]])</f>
        <v>12.666666666666666</v>
      </c>
      <c r="U505" t="str">
        <f>LEFT(Table1[[#This Row],[Category and Sub-Category]],FIND("/",Table1[[#This Row],[Category and Sub-Category]])-1)</f>
        <v>film &amp; video</v>
      </c>
      <c r="V505" t="str">
        <f>RIGHT(Table1[[#This Row],[Category and Sub-Category]],LEN(Table1[[#This Row],[Category and Sub-Category]])-FIND("/",Table1[[#This Row],[Category and Sub-Category]]))</f>
        <v>animation</v>
      </c>
    </row>
    <row r="506" spans="1:22" ht="43.2" x14ac:dyDescent="0.3">
      <c r="A506">
        <v>504</v>
      </c>
      <c r="B506" s="3" t="s">
        <v>505</v>
      </c>
      <c r="C506" s="3" t="s">
        <v>4614</v>
      </c>
      <c r="D506" s="12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>((Table1[[#This Row],[deadline]]/60)/60/24)+DATE(1970,1,1)</f>
        <v>41009.941979166666</v>
      </c>
      <c r="K506">
        <v>1328916987</v>
      </c>
      <c r="L506" s="11">
        <f>((Table1[[#This Row],[launched_at]]/60)/60/24)+DATE(1970,1,1)</f>
        <v>40949.98364583333</v>
      </c>
      <c r="M506">
        <f>MONTH(Table1[[#This Row],[Date Created Conversion]])</f>
        <v>2</v>
      </c>
      <c r="N506">
        <f>YEAR(Table1[[#This Row],[Date Created Conversion]])</f>
        <v>2012</v>
      </c>
      <c r="O506" t="b">
        <v>0</v>
      </c>
      <c r="P506">
        <v>5</v>
      </c>
      <c r="Q506" t="b">
        <v>0</v>
      </c>
      <c r="R506" t="s">
        <v>8270</v>
      </c>
      <c r="S506" s="6">
        <f>Table1[[#This Row],[pledged]]/Table1[[#This Row],[goal]]</f>
        <v>1.3673469387755101E-2</v>
      </c>
      <c r="T506" s="8">
        <f>IF(Table1[[#This Row],[pledged]]=0,"no backers",Table1[[#This Row],[pledged]]/Table1[[#This Row],[backers_count]])</f>
        <v>67</v>
      </c>
      <c r="U506" t="str">
        <f>LEFT(Table1[[#This Row],[Category and Sub-Category]],FIND("/",Table1[[#This Row],[Category and Sub-Category]])-1)</f>
        <v>film &amp; video</v>
      </c>
      <c r="V506" t="str">
        <f>RIGHT(Table1[[#This Row],[Category and Sub-Category]],LEN(Table1[[#This Row],[Category and Sub-Category]])-FIND("/",Table1[[#This Row],[Category and Sub-Category]]))</f>
        <v>animation</v>
      </c>
    </row>
    <row r="507" spans="1:22" ht="43.2" x14ac:dyDescent="0.3">
      <c r="A507">
        <v>505</v>
      </c>
      <c r="B507" s="3" t="s">
        <v>506</v>
      </c>
      <c r="C507" s="3" t="s">
        <v>4615</v>
      </c>
      <c r="D507" s="12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>((Table1[[#This Row],[deadline]]/60)/60/24)+DATE(1970,1,1)</f>
        <v>42363.098217592589</v>
      </c>
      <c r="K507">
        <v>1447122086</v>
      </c>
      <c r="L507" s="11">
        <f>((Table1[[#This Row],[launched_at]]/60)/60/24)+DATE(1970,1,1)</f>
        <v>42318.098217592589</v>
      </c>
      <c r="M507">
        <f>MONTH(Table1[[#This Row],[Date Created Conversion]])</f>
        <v>11</v>
      </c>
      <c r="N507">
        <f>YEAR(Table1[[#This Row],[Date Created Conversion]])</f>
        <v>2015</v>
      </c>
      <c r="O507" t="b">
        <v>0</v>
      </c>
      <c r="P507">
        <v>14</v>
      </c>
      <c r="Q507" t="b">
        <v>0</v>
      </c>
      <c r="R507" t="s">
        <v>8270</v>
      </c>
      <c r="S507" s="6">
        <f>Table1[[#This Row],[pledged]]/Table1[[#This Row],[goal]]</f>
        <v>4.3333333333333331E-3</v>
      </c>
      <c r="T507" s="8">
        <f>IF(Table1[[#This Row],[pledged]]=0,"no backers",Table1[[#This Row],[pledged]]/Table1[[#This Row],[backers_count]])</f>
        <v>3.7142857142857144</v>
      </c>
      <c r="U507" t="str">
        <f>LEFT(Table1[[#This Row],[Category and Sub-Category]],FIND("/",Table1[[#This Row],[Category and Sub-Category]])-1)</f>
        <v>film &amp; video</v>
      </c>
      <c r="V507" t="str">
        <f>RIGHT(Table1[[#This Row],[Category and Sub-Category]],LEN(Table1[[#This Row],[Category and Sub-Category]])-FIND("/",Table1[[#This Row],[Category and Sub-Category]]))</f>
        <v>animation</v>
      </c>
    </row>
    <row r="508" spans="1:22" ht="43.2" x14ac:dyDescent="0.3">
      <c r="A508">
        <v>506</v>
      </c>
      <c r="B508" s="3" t="s">
        <v>507</v>
      </c>
      <c r="C508" s="3" t="s">
        <v>4616</v>
      </c>
      <c r="D508" s="12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>((Table1[[#This Row],[deadline]]/60)/60/24)+DATE(1970,1,1)</f>
        <v>41496.552314814813</v>
      </c>
      <c r="K508">
        <v>1373548520</v>
      </c>
      <c r="L508" s="11">
        <f>((Table1[[#This Row],[launched_at]]/60)/60/24)+DATE(1970,1,1)</f>
        <v>41466.552314814813</v>
      </c>
      <c r="M508">
        <f>MONTH(Table1[[#This Row],[Date Created Conversion]])</f>
        <v>7</v>
      </c>
      <c r="N508">
        <f>YEAR(Table1[[#This Row],[Date Created Conversion]])</f>
        <v>2013</v>
      </c>
      <c r="O508" t="b">
        <v>0</v>
      </c>
      <c r="P508">
        <v>1</v>
      </c>
      <c r="Q508" t="b">
        <v>0</v>
      </c>
      <c r="R508" t="s">
        <v>8270</v>
      </c>
      <c r="S508" s="6">
        <f>Table1[[#This Row],[pledged]]/Table1[[#This Row],[goal]]</f>
        <v>1.25E-3</v>
      </c>
      <c r="T508" s="8">
        <f>IF(Table1[[#This Row],[pledged]]=0,"no backers",Table1[[#This Row],[pledged]]/Table1[[#This Row],[backers_count]])</f>
        <v>250</v>
      </c>
      <c r="U508" t="str">
        <f>LEFT(Table1[[#This Row],[Category and Sub-Category]],FIND("/",Table1[[#This Row],[Category and Sub-Category]])-1)</f>
        <v>film &amp; video</v>
      </c>
      <c r="V508" t="str">
        <f>RIGHT(Table1[[#This Row],[Category and Sub-Category]],LEN(Table1[[#This Row],[Category and Sub-Category]])-FIND("/",Table1[[#This Row],[Category and Sub-Category]]))</f>
        <v>animation</v>
      </c>
    </row>
    <row r="509" spans="1:22" ht="43.2" x14ac:dyDescent="0.3">
      <c r="A509">
        <v>507</v>
      </c>
      <c r="B509" s="3" t="s">
        <v>508</v>
      </c>
      <c r="C509" s="3" t="s">
        <v>4617</v>
      </c>
      <c r="D509" s="12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>((Table1[[#This Row],[deadline]]/60)/60/24)+DATE(1970,1,1)</f>
        <v>41201.958993055552</v>
      </c>
      <c r="K509">
        <v>1346799657</v>
      </c>
      <c r="L509" s="11">
        <f>((Table1[[#This Row],[launched_at]]/60)/60/24)+DATE(1970,1,1)</f>
        <v>41156.958993055552</v>
      </c>
      <c r="M509">
        <f>MONTH(Table1[[#This Row],[Date Created Conversion]])</f>
        <v>9</v>
      </c>
      <c r="N509">
        <f>YEAR(Table1[[#This Row],[Date Created Conversion]])</f>
        <v>2012</v>
      </c>
      <c r="O509" t="b">
        <v>0</v>
      </c>
      <c r="P509">
        <v>10</v>
      </c>
      <c r="Q509" t="b">
        <v>0</v>
      </c>
      <c r="R509" t="s">
        <v>8270</v>
      </c>
      <c r="S509" s="6">
        <f>Table1[[#This Row],[pledged]]/Table1[[#This Row],[goal]]</f>
        <v>3.2000000000000001E-2</v>
      </c>
      <c r="T509" s="8">
        <f>IF(Table1[[#This Row],[pledged]]=0,"no backers",Table1[[#This Row],[pledged]]/Table1[[#This Row],[backers_count]])</f>
        <v>64</v>
      </c>
      <c r="U509" t="str">
        <f>LEFT(Table1[[#This Row],[Category and Sub-Category]],FIND("/",Table1[[#This Row],[Category and Sub-Category]])-1)</f>
        <v>film &amp; video</v>
      </c>
      <c r="V509" t="str">
        <f>RIGHT(Table1[[#This Row],[Category and Sub-Category]],LEN(Table1[[#This Row],[Category and Sub-Category]])-FIND("/",Table1[[#This Row],[Category and Sub-Category]]))</f>
        <v>animation</v>
      </c>
    </row>
    <row r="510" spans="1:22" ht="57.6" x14ac:dyDescent="0.3">
      <c r="A510">
        <v>508</v>
      </c>
      <c r="B510" s="3" t="s">
        <v>509</v>
      </c>
      <c r="C510" s="3" t="s">
        <v>4618</v>
      </c>
      <c r="D510" s="12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>((Table1[[#This Row],[deadline]]/60)/60/24)+DATE(1970,1,1)</f>
        <v>41054.593055555553</v>
      </c>
      <c r="K510">
        <v>1332808501</v>
      </c>
      <c r="L510" s="11">
        <f>((Table1[[#This Row],[launched_at]]/60)/60/24)+DATE(1970,1,1)</f>
        <v>40995.024317129632</v>
      </c>
      <c r="M510">
        <f>MONTH(Table1[[#This Row],[Date Created Conversion]])</f>
        <v>3</v>
      </c>
      <c r="N510">
        <f>YEAR(Table1[[#This Row],[Date Created Conversion]])</f>
        <v>2012</v>
      </c>
      <c r="O510" t="b">
        <v>0</v>
      </c>
      <c r="P510">
        <v>3</v>
      </c>
      <c r="Q510" t="b">
        <v>0</v>
      </c>
      <c r="R510" t="s">
        <v>8270</v>
      </c>
      <c r="S510" s="6">
        <f>Table1[[#This Row],[pledged]]/Table1[[#This Row],[goal]]</f>
        <v>8.0000000000000002E-3</v>
      </c>
      <c r="T510" s="8">
        <f>IF(Table1[[#This Row],[pledged]]=0,"no backers",Table1[[#This Row],[pledged]]/Table1[[#This Row],[backers_count]])</f>
        <v>133.33333333333334</v>
      </c>
      <c r="U510" t="str">
        <f>LEFT(Table1[[#This Row],[Category and Sub-Category]],FIND("/",Table1[[#This Row],[Category and Sub-Category]])-1)</f>
        <v>film &amp; video</v>
      </c>
      <c r="V510" t="str">
        <f>RIGHT(Table1[[#This Row],[Category and Sub-Category]],LEN(Table1[[#This Row],[Category and Sub-Category]])-FIND("/",Table1[[#This Row],[Category and Sub-Category]]))</f>
        <v>animation</v>
      </c>
    </row>
    <row r="511" spans="1:22" ht="43.2" x14ac:dyDescent="0.3">
      <c r="A511">
        <v>509</v>
      </c>
      <c r="B511" s="3" t="s">
        <v>510</v>
      </c>
      <c r="C511" s="3" t="s">
        <v>4619</v>
      </c>
      <c r="D511" s="12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>((Table1[[#This Row],[deadline]]/60)/60/24)+DATE(1970,1,1)</f>
        <v>42183.631597222222</v>
      </c>
      <c r="K511">
        <v>1432912170</v>
      </c>
      <c r="L511" s="11">
        <f>((Table1[[#This Row],[launched_at]]/60)/60/24)+DATE(1970,1,1)</f>
        <v>42153.631597222222</v>
      </c>
      <c r="M511">
        <f>MONTH(Table1[[#This Row],[Date Created Conversion]])</f>
        <v>5</v>
      </c>
      <c r="N511">
        <f>YEAR(Table1[[#This Row],[Date Created Conversion]])</f>
        <v>2015</v>
      </c>
      <c r="O511" t="b">
        <v>0</v>
      </c>
      <c r="P511">
        <v>1</v>
      </c>
      <c r="Q511" t="b">
        <v>0</v>
      </c>
      <c r="R511" t="s">
        <v>8270</v>
      </c>
      <c r="S511" s="6">
        <f>Table1[[#This Row],[pledged]]/Table1[[#This Row],[goal]]</f>
        <v>2E-3</v>
      </c>
      <c r="T511" s="8">
        <f>IF(Table1[[#This Row],[pledged]]=0,"no backers",Table1[[#This Row],[pledged]]/Table1[[#This Row],[backers_count]])</f>
        <v>10</v>
      </c>
      <c r="U511" t="str">
        <f>LEFT(Table1[[#This Row],[Category and Sub-Category]],FIND("/",Table1[[#This Row],[Category and Sub-Category]])-1)</f>
        <v>film &amp; video</v>
      </c>
      <c r="V511" t="str">
        <f>RIGHT(Table1[[#This Row],[Category and Sub-Category]],LEN(Table1[[#This Row],[Category and Sub-Category]])-FIND("/",Table1[[#This Row],[Category and Sub-Category]]))</f>
        <v>animation</v>
      </c>
    </row>
    <row r="512" spans="1:22" ht="43.2" x14ac:dyDescent="0.3">
      <c r="A512">
        <v>510</v>
      </c>
      <c r="B512" s="3" t="s">
        <v>511</v>
      </c>
      <c r="C512" s="3" t="s">
        <v>4620</v>
      </c>
      <c r="D512" s="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>((Table1[[#This Row],[deadline]]/60)/60/24)+DATE(1970,1,1)</f>
        <v>42430.176377314812</v>
      </c>
      <c r="K512">
        <v>1454213639</v>
      </c>
      <c r="L512" s="11">
        <f>((Table1[[#This Row],[launched_at]]/60)/60/24)+DATE(1970,1,1)</f>
        <v>42400.176377314812</v>
      </c>
      <c r="M512">
        <f>MONTH(Table1[[#This Row],[Date Created Conversion]])</f>
        <v>1</v>
      </c>
      <c r="N512">
        <f>YEAR(Table1[[#This Row],[Date Created Conversion]])</f>
        <v>2016</v>
      </c>
      <c r="O512" t="b">
        <v>0</v>
      </c>
      <c r="P512">
        <v>0</v>
      </c>
      <c r="Q512" t="b">
        <v>0</v>
      </c>
      <c r="R512" t="s">
        <v>8270</v>
      </c>
      <c r="S512" s="6">
        <f>Table1[[#This Row],[pledged]]/Table1[[#This Row],[goal]]</f>
        <v>0</v>
      </c>
      <c r="T512" s="8" t="str">
        <f>IF(Table1[[#This Row],[pledged]]=0,"no backers",Table1[[#This Row],[pledged]]/Table1[[#This Row],[backers_count]])</f>
        <v>no backers</v>
      </c>
      <c r="U512" t="str">
        <f>LEFT(Table1[[#This Row],[Category and Sub-Category]],FIND("/",Table1[[#This Row],[Category and Sub-Category]])-1)</f>
        <v>film &amp; video</v>
      </c>
      <c r="V512" t="str">
        <f>RIGHT(Table1[[#This Row],[Category and Sub-Category]],LEN(Table1[[#This Row],[Category and Sub-Category]])-FIND("/",Table1[[#This Row],[Category and Sub-Category]]))</f>
        <v>animation</v>
      </c>
    </row>
    <row r="513" spans="1:22" ht="43.2" x14ac:dyDescent="0.3">
      <c r="A513">
        <v>511</v>
      </c>
      <c r="B513" s="3" t="s">
        <v>512</v>
      </c>
      <c r="C513" s="3" t="s">
        <v>4621</v>
      </c>
      <c r="D513" s="12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>((Table1[[#This Row],[deadline]]/60)/60/24)+DATE(1970,1,1)</f>
        <v>41370.261365740742</v>
      </c>
      <c r="K513">
        <v>1362640582</v>
      </c>
      <c r="L513" s="11">
        <f>((Table1[[#This Row],[launched_at]]/60)/60/24)+DATE(1970,1,1)</f>
        <v>41340.303032407406</v>
      </c>
      <c r="M513">
        <f>MONTH(Table1[[#This Row],[Date Created Conversion]])</f>
        <v>3</v>
      </c>
      <c r="N513">
        <f>YEAR(Table1[[#This Row],[Date Created Conversion]])</f>
        <v>2013</v>
      </c>
      <c r="O513" t="b">
        <v>0</v>
      </c>
      <c r="P513">
        <v>5</v>
      </c>
      <c r="Q513" t="b">
        <v>0</v>
      </c>
      <c r="R513" t="s">
        <v>8270</v>
      </c>
      <c r="S513" s="6">
        <f>Table1[[#This Row],[pledged]]/Table1[[#This Row],[goal]]</f>
        <v>0.03</v>
      </c>
      <c r="T513" s="8">
        <f>IF(Table1[[#This Row],[pledged]]=0,"no backers",Table1[[#This Row],[pledged]]/Table1[[#This Row],[backers_count]])</f>
        <v>30</v>
      </c>
      <c r="U513" t="str">
        <f>LEFT(Table1[[#This Row],[Category and Sub-Category]],FIND("/",Table1[[#This Row],[Category and Sub-Category]])-1)</f>
        <v>film &amp; video</v>
      </c>
      <c r="V513" t="str">
        <f>RIGHT(Table1[[#This Row],[Category and Sub-Category]],LEN(Table1[[#This Row],[Category and Sub-Category]])-FIND("/",Table1[[#This Row],[Category and Sub-Category]]))</f>
        <v>animation</v>
      </c>
    </row>
    <row r="514" spans="1:22" ht="43.2" x14ac:dyDescent="0.3">
      <c r="A514">
        <v>512</v>
      </c>
      <c r="B514" s="3" t="s">
        <v>513</v>
      </c>
      <c r="C514" s="3" t="s">
        <v>4622</v>
      </c>
      <c r="D514" s="12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>((Table1[[#This Row],[deadline]]/60)/60/24)+DATE(1970,1,1)</f>
        <v>42694.783877314811</v>
      </c>
      <c r="K514">
        <v>1475776127</v>
      </c>
      <c r="L514" s="11">
        <f>((Table1[[#This Row],[launched_at]]/60)/60/24)+DATE(1970,1,1)</f>
        <v>42649.742210648154</v>
      </c>
      <c r="M514">
        <f>MONTH(Table1[[#This Row],[Date Created Conversion]])</f>
        <v>10</v>
      </c>
      <c r="N514">
        <f>YEAR(Table1[[#This Row],[Date Created Conversion]])</f>
        <v>2016</v>
      </c>
      <c r="O514" t="b">
        <v>0</v>
      </c>
      <c r="P514">
        <v>2</v>
      </c>
      <c r="Q514" t="b">
        <v>0</v>
      </c>
      <c r="R514" t="s">
        <v>8270</v>
      </c>
      <c r="S514" s="6">
        <f>Table1[[#This Row],[pledged]]/Table1[[#This Row],[goal]]</f>
        <v>1.3749999999999999E-3</v>
      </c>
      <c r="T514" s="8">
        <f>IF(Table1[[#This Row],[pledged]]=0,"no backers",Table1[[#This Row],[pledged]]/Table1[[#This Row],[backers_count]])</f>
        <v>5.5</v>
      </c>
      <c r="U514" t="str">
        <f>LEFT(Table1[[#This Row],[Category and Sub-Category]],FIND("/",Table1[[#This Row],[Category and Sub-Category]])-1)</f>
        <v>film &amp; video</v>
      </c>
      <c r="V514" t="str">
        <f>RIGHT(Table1[[#This Row],[Category and Sub-Category]],LEN(Table1[[#This Row],[Category and Sub-Category]])-FIND("/",Table1[[#This Row],[Category and Sub-Category]]))</f>
        <v>animation</v>
      </c>
    </row>
    <row r="515" spans="1:22" ht="28.8" x14ac:dyDescent="0.3">
      <c r="A515">
        <v>513</v>
      </c>
      <c r="B515" s="3" t="s">
        <v>514</v>
      </c>
      <c r="C515" s="3" t="s">
        <v>4623</v>
      </c>
      <c r="D515" s="12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>((Table1[[#This Row],[deadline]]/60)/60/24)+DATE(1970,1,1)</f>
        <v>42597.291666666672</v>
      </c>
      <c r="K515">
        <v>1467387705</v>
      </c>
      <c r="L515" s="11">
        <f>((Table1[[#This Row],[launched_at]]/60)/60/24)+DATE(1970,1,1)</f>
        <v>42552.653993055559</v>
      </c>
      <c r="M515">
        <f>MONTH(Table1[[#This Row],[Date Created Conversion]])</f>
        <v>7</v>
      </c>
      <c r="N515">
        <f>YEAR(Table1[[#This Row],[Date Created Conversion]])</f>
        <v>2016</v>
      </c>
      <c r="O515" t="b">
        <v>0</v>
      </c>
      <c r="P515">
        <v>68</v>
      </c>
      <c r="Q515" t="b">
        <v>0</v>
      </c>
      <c r="R515" t="s">
        <v>8270</v>
      </c>
      <c r="S515" s="6">
        <f>Table1[[#This Row],[pledged]]/Table1[[#This Row],[goal]]</f>
        <v>0.13924</v>
      </c>
      <c r="T515" s="8">
        <f>IF(Table1[[#This Row],[pledged]]=0,"no backers",Table1[[#This Row],[pledged]]/Table1[[#This Row],[backers_count]])</f>
        <v>102.38235294117646</v>
      </c>
      <c r="U515" t="str">
        <f>LEFT(Table1[[#This Row],[Category and Sub-Category]],FIND("/",Table1[[#This Row],[Category and Sub-Category]])-1)</f>
        <v>film &amp; video</v>
      </c>
      <c r="V515" t="str">
        <f>RIGHT(Table1[[#This Row],[Category and Sub-Category]],LEN(Table1[[#This Row],[Category and Sub-Category]])-FIND("/",Table1[[#This Row],[Category and Sub-Category]]))</f>
        <v>animation</v>
      </c>
    </row>
    <row r="516" spans="1:22" ht="43.2" x14ac:dyDescent="0.3">
      <c r="A516">
        <v>514</v>
      </c>
      <c r="B516" s="3" t="s">
        <v>515</v>
      </c>
      <c r="C516" s="3" t="s">
        <v>4624</v>
      </c>
      <c r="D516" s="12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>((Table1[[#This Row],[deadline]]/60)/60/24)+DATE(1970,1,1)</f>
        <v>41860.613969907405</v>
      </c>
      <c r="K516">
        <v>1405003447</v>
      </c>
      <c r="L516" s="11">
        <f>((Table1[[#This Row],[launched_at]]/60)/60/24)+DATE(1970,1,1)</f>
        <v>41830.613969907405</v>
      </c>
      <c r="M516">
        <f>MONTH(Table1[[#This Row],[Date Created Conversion]])</f>
        <v>7</v>
      </c>
      <c r="N516">
        <f>YEAR(Table1[[#This Row],[Date Created Conversion]])</f>
        <v>2014</v>
      </c>
      <c r="O516" t="b">
        <v>0</v>
      </c>
      <c r="P516">
        <v>3</v>
      </c>
      <c r="Q516" t="b">
        <v>0</v>
      </c>
      <c r="R516" t="s">
        <v>8270</v>
      </c>
      <c r="S516" s="6">
        <f>Table1[[#This Row],[pledged]]/Table1[[#This Row],[goal]]</f>
        <v>3.3333333333333333E-2</v>
      </c>
      <c r="T516" s="8">
        <f>IF(Table1[[#This Row],[pledged]]=0,"no backers",Table1[[#This Row],[pledged]]/Table1[[#This Row],[backers_count]])</f>
        <v>16.666666666666668</v>
      </c>
      <c r="U516" t="str">
        <f>LEFT(Table1[[#This Row],[Category and Sub-Category]],FIND("/",Table1[[#This Row],[Category and Sub-Category]])-1)</f>
        <v>film &amp; video</v>
      </c>
      <c r="V516" t="str">
        <f>RIGHT(Table1[[#This Row],[Category and Sub-Category]],LEN(Table1[[#This Row],[Category and Sub-Category]])-FIND("/",Table1[[#This Row],[Category and Sub-Category]]))</f>
        <v>animation</v>
      </c>
    </row>
    <row r="517" spans="1:22" ht="43.2" x14ac:dyDescent="0.3">
      <c r="A517">
        <v>515</v>
      </c>
      <c r="B517" s="3" t="s">
        <v>516</v>
      </c>
      <c r="C517" s="3" t="s">
        <v>4625</v>
      </c>
      <c r="D517" s="12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>((Table1[[#This Row],[deadline]]/60)/60/24)+DATE(1970,1,1)</f>
        <v>42367.490752314814</v>
      </c>
      <c r="K517">
        <v>1447933601</v>
      </c>
      <c r="L517" s="11">
        <f>((Table1[[#This Row],[launched_at]]/60)/60/24)+DATE(1970,1,1)</f>
        <v>42327.490752314814</v>
      </c>
      <c r="M517">
        <f>MONTH(Table1[[#This Row],[Date Created Conversion]])</f>
        <v>11</v>
      </c>
      <c r="N517">
        <f>YEAR(Table1[[#This Row],[Date Created Conversion]])</f>
        <v>2015</v>
      </c>
      <c r="O517" t="b">
        <v>0</v>
      </c>
      <c r="P517">
        <v>34</v>
      </c>
      <c r="Q517" t="b">
        <v>0</v>
      </c>
      <c r="R517" t="s">
        <v>8270</v>
      </c>
      <c r="S517" s="6">
        <f>Table1[[#This Row],[pledged]]/Table1[[#This Row],[goal]]</f>
        <v>0.25413402061855672</v>
      </c>
      <c r="T517" s="8">
        <f>IF(Table1[[#This Row],[pledged]]=0,"no backers",Table1[[#This Row],[pledged]]/Table1[[#This Row],[backers_count]])</f>
        <v>725.02941176470586</v>
      </c>
      <c r="U517" t="str">
        <f>LEFT(Table1[[#This Row],[Category and Sub-Category]],FIND("/",Table1[[#This Row],[Category and Sub-Category]])-1)</f>
        <v>film &amp; video</v>
      </c>
      <c r="V517" t="str">
        <f>RIGHT(Table1[[#This Row],[Category and Sub-Category]],LEN(Table1[[#This Row],[Category and Sub-Category]])-FIND("/",Table1[[#This Row],[Category and Sub-Category]]))</f>
        <v>animation</v>
      </c>
    </row>
    <row r="518" spans="1:22" ht="28.8" x14ac:dyDescent="0.3">
      <c r="A518">
        <v>516</v>
      </c>
      <c r="B518" s="3" t="s">
        <v>517</v>
      </c>
      <c r="C518" s="3" t="s">
        <v>4626</v>
      </c>
      <c r="D518" s="12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>((Table1[[#This Row],[deadline]]/60)/60/24)+DATE(1970,1,1)</f>
        <v>42151.778703703705</v>
      </c>
      <c r="K518">
        <v>1427568080</v>
      </c>
      <c r="L518" s="11">
        <f>((Table1[[#This Row],[launched_at]]/60)/60/24)+DATE(1970,1,1)</f>
        <v>42091.778703703705</v>
      </c>
      <c r="M518">
        <f>MONTH(Table1[[#This Row],[Date Created Conversion]])</f>
        <v>3</v>
      </c>
      <c r="N518">
        <f>YEAR(Table1[[#This Row],[Date Created Conversion]])</f>
        <v>2015</v>
      </c>
      <c r="O518" t="b">
        <v>0</v>
      </c>
      <c r="P518">
        <v>0</v>
      </c>
      <c r="Q518" t="b">
        <v>0</v>
      </c>
      <c r="R518" t="s">
        <v>8270</v>
      </c>
      <c r="S518" s="6">
        <f>Table1[[#This Row],[pledged]]/Table1[[#This Row],[goal]]</f>
        <v>0</v>
      </c>
      <c r="T518" s="8" t="str">
        <f>IF(Table1[[#This Row],[pledged]]=0,"no backers",Table1[[#This Row],[pledged]]/Table1[[#This Row],[backers_count]])</f>
        <v>no backers</v>
      </c>
      <c r="U518" t="str">
        <f>LEFT(Table1[[#This Row],[Category and Sub-Category]],FIND("/",Table1[[#This Row],[Category and Sub-Category]])-1)</f>
        <v>film &amp; video</v>
      </c>
      <c r="V518" t="str">
        <f>RIGHT(Table1[[#This Row],[Category and Sub-Category]],LEN(Table1[[#This Row],[Category and Sub-Category]])-FIND("/",Table1[[#This Row],[Category and Sub-Category]]))</f>
        <v>animation</v>
      </c>
    </row>
    <row r="519" spans="1:22" ht="43.2" x14ac:dyDescent="0.3">
      <c r="A519">
        <v>517</v>
      </c>
      <c r="B519" s="3" t="s">
        <v>518</v>
      </c>
      <c r="C519" s="3" t="s">
        <v>4627</v>
      </c>
      <c r="D519" s="12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>((Table1[[#This Row],[deadline]]/60)/60/24)+DATE(1970,1,1)</f>
        <v>42768.615289351852</v>
      </c>
      <c r="K519">
        <v>1483454761</v>
      </c>
      <c r="L519" s="11">
        <f>((Table1[[#This Row],[launched_at]]/60)/60/24)+DATE(1970,1,1)</f>
        <v>42738.615289351852</v>
      </c>
      <c r="M519">
        <f>MONTH(Table1[[#This Row],[Date Created Conversion]])</f>
        <v>1</v>
      </c>
      <c r="N519">
        <f>YEAR(Table1[[#This Row],[Date Created Conversion]])</f>
        <v>2017</v>
      </c>
      <c r="O519" t="b">
        <v>0</v>
      </c>
      <c r="P519">
        <v>3</v>
      </c>
      <c r="Q519" t="b">
        <v>0</v>
      </c>
      <c r="R519" t="s">
        <v>8270</v>
      </c>
      <c r="S519" s="6">
        <f>Table1[[#This Row],[pledged]]/Table1[[#This Row],[goal]]</f>
        <v>1.3666666666666667E-2</v>
      </c>
      <c r="T519" s="8">
        <f>IF(Table1[[#This Row],[pledged]]=0,"no backers",Table1[[#This Row],[pledged]]/Table1[[#This Row],[backers_count]])</f>
        <v>68.333333333333329</v>
      </c>
      <c r="U519" t="str">
        <f>LEFT(Table1[[#This Row],[Category and Sub-Category]],FIND("/",Table1[[#This Row],[Category and Sub-Category]])-1)</f>
        <v>film &amp; video</v>
      </c>
      <c r="V519" t="str">
        <f>RIGHT(Table1[[#This Row],[Category and Sub-Category]],LEN(Table1[[#This Row],[Category and Sub-Category]])-FIND("/",Table1[[#This Row],[Category and Sub-Category]]))</f>
        <v>animation</v>
      </c>
    </row>
    <row r="520" spans="1:22" ht="43.2" x14ac:dyDescent="0.3">
      <c r="A520">
        <v>518</v>
      </c>
      <c r="B520" s="3" t="s">
        <v>519</v>
      </c>
      <c r="C520" s="3" t="s">
        <v>4628</v>
      </c>
      <c r="D520" s="12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>((Table1[[#This Row],[deadline]]/60)/60/24)+DATE(1970,1,1)</f>
        <v>42253.615277777775</v>
      </c>
      <c r="K520">
        <v>1438958824</v>
      </c>
      <c r="L520" s="11">
        <f>((Table1[[#This Row],[launched_at]]/60)/60/24)+DATE(1970,1,1)</f>
        <v>42223.616018518514</v>
      </c>
      <c r="M520">
        <f>MONTH(Table1[[#This Row],[Date Created Conversion]])</f>
        <v>8</v>
      </c>
      <c r="N520">
        <f>YEAR(Table1[[#This Row],[Date Created Conversion]])</f>
        <v>2015</v>
      </c>
      <c r="O520" t="b">
        <v>0</v>
      </c>
      <c r="P520">
        <v>0</v>
      </c>
      <c r="Q520" t="b">
        <v>0</v>
      </c>
      <c r="R520" t="s">
        <v>8270</v>
      </c>
      <c r="S520" s="6">
        <f>Table1[[#This Row],[pledged]]/Table1[[#This Row],[goal]]</f>
        <v>0</v>
      </c>
      <c r="T520" s="8" t="str">
        <f>IF(Table1[[#This Row],[pledged]]=0,"no backers",Table1[[#This Row],[pledged]]/Table1[[#This Row],[backers_count]])</f>
        <v>no backers</v>
      </c>
      <c r="U520" t="str">
        <f>LEFT(Table1[[#This Row],[Category and Sub-Category]],FIND("/",Table1[[#This Row],[Category and Sub-Category]])-1)</f>
        <v>film &amp; video</v>
      </c>
      <c r="V520" t="str">
        <f>RIGHT(Table1[[#This Row],[Category and Sub-Category]],LEN(Table1[[#This Row],[Category and Sub-Category]])-FIND("/",Table1[[#This Row],[Category and Sub-Category]]))</f>
        <v>animation</v>
      </c>
    </row>
    <row r="521" spans="1:22" ht="43.2" x14ac:dyDescent="0.3">
      <c r="A521">
        <v>519</v>
      </c>
      <c r="B521" s="3" t="s">
        <v>520</v>
      </c>
      <c r="C521" s="3" t="s">
        <v>4629</v>
      </c>
      <c r="D521" s="12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>((Table1[[#This Row],[deadline]]/60)/60/24)+DATE(1970,1,1)</f>
        <v>41248.391446759262</v>
      </c>
      <c r="K521">
        <v>1352107421</v>
      </c>
      <c r="L521" s="11">
        <f>((Table1[[#This Row],[launched_at]]/60)/60/24)+DATE(1970,1,1)</f>
        <v>41218.391446759262</v>
      </c>
      <c r="M521">
        <f>MONTH(Table1[[#This Row],[Date Created Conversion]])</f>
        <v>11</v>
      </c>
      <c r="N521">
        <f>YEAR(Table1[[#This Row],[Date Created Conversion]])</f>
        <v>2012</v>
      </c>
      <c r="O521" t="b">
        <v>0</v>
      </c>
      <c r="P521">
        <v>70</v>
      </c>
      <c r="Q521" t="b">
        <v>0</v>
      </c>
      <c r="R521" t="s">
        <v>8270</v>
      </c>
      <c r="S521" s="6">
        <f>Table1[[#This Row],[pledged]]/Table1[[#This Row],[goal]]</f>
        <v>0.22881426547787684</v>
      </c>
      <c r="T521" s="8">
        <f>IF(Table1[[#This Row],[pledged]]=0,"no backers",Table1[[#This Row],[pledged]]/Table1[[#This Row],[backers_count]])</f>
        <v>39.228571428571428</v>
      </c>
      <c r="U521" t="str">
        <f>LEFT(Table1[[#This Row],[Category and Sub-Category]],FIND("/",Table1[[#This Row],[Category and Sub-Category]])-1)</f>
        <v>film &amp; video</v>
      </c>
      <c r="V521" t="str">
        <f>RIGHT(Table1[[#This Row],[Category and Sub-Category]],LEN(Table1[[#This Row],[Category and Sub-Category]])-FIND("/",Table1[[#This Row],[Category and Sub-Category]]))</f>
        <v>animation</v>
      </c>
    </row>
    <row r="522" spans="1:22" ht="43.2" x14ac:dyDescent="0.3">
      <c r="A522">
        <v>520</v>
      </c>
      <c r="B522" s="3" t="s">
        <v>521</v>
      </c>
      <c r="C522" s="3" t="s">
        <v>4630</v>
      </c>
      <c r="D522" s="1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>((Table1[[#This Row],[deadline]]/60)/60/24)+DATE(1970,1,1)</f>
        <v>42348.702094907407</v>
      </c>
      <c r="K522">
        <v>1447174261</v>
      </c>
      <c r="L522" s="11">
        <f>((Table1[[#This Row],[launched_at]]/60)/60/24)+DATE(1970,1,1)</f>
        <v>42318.702094907407</v>
      </c>
      <c r="M522">
        <f>MONTH(Table1[[#This Row],[Date Created Conversion]])</f>
        <v>11</v>
      </c>
      <c r="N522">
        <f>YEAR(Table1[[#This Row],[Date Created Conversion]])</f>
        <v>2015</v>
      </c>
      <c r="O522" t="b">
        <v>0</v>
      </c>
      <c r="P522">
        <v>34</v>
      </c>
      <c r="Q522" t="b">
        <v>1</v>
      </c>
      <c r="R522" t="s">
        <v>8271</v>
      </c>
      <c r="S522" s="6">
        <f>Table1[[#This Row],[pledged]]/Table1[[#This Row],[goal]]</f>
        <v>1.0209999999999999</v>
      </c>
      <c r="T522" s="8">
        <f>IF(Table1[[#This Row],[pledged]]=0,"no backers",Table1[[#This Row],[pledged]]/Table1[[#This Row],[backers_count]])</f>
        <v>150.14705882352942</v>
      </c>
      <c r="U522" t="str">
        <f>LEFT(Table1[[#This Row],[Category and Sub-Category]],FIND("/",Table1[[#This Row],[Category and Sub-Category]])-1)</f>
        <v>theater</v>
      </c>
      <c r="V522" t="str">
        <f>RIGHT(Table1[[#This Row],[Category and Sub-Category]],LEN(Table1[[#This Row],[Category and Sub-Category]])-FIND("/",Table1[[#This Row],[Category and Sub-Category]]))</f>
        <v>plays</v>
      </c>
    </row>
    <row r="523" spans="1:22" ht="43.2" x14ac:dyDescent="0.3">
      <c r="A523">
        <v>521</v>
      </c>
      <c r="B523" s="3" t="s">
        <v>522</v>
      </c>
      <c r="C523" s="3" t="s">
        <v>4631</v>
      </c>
      <c r="D523" s="12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>((Table1[[#This Row],[deadline]]/60)/60/24)+DATE(1970,1,1)</f>
        <v>42675.207638888889</v>
      </c>
      <c r="K523">
        <v>1475460819</v>
      </c>
      <c r="L523" s="11">
        <f>((Table1[[#This Row],[launched_at]]/60)/60/24)+DATE(1970,1,1)</f>
        <v>42646.092812499999</v>
      </c>
      <c r="M523">
        <f>MONTH(Table1[[#This Row],[Date Created Conversion]])</f>
        <v>10</v>
      </c>
      <c r="N523">
        <f>YEAR(Table1[[#This Row],[Date Created Conversion]])</f>
        <v>2016</v>
      </c>
      <c r="O523" t="b">
        <v>0</v>
      </c>
      <c r="P523">
        <v>56</v>
      </c>
      <c r="Q523" t="b">
        <v>1</v>
      </c>
      <c r="R523" t="s">
        <v>8271</v>
      </c>
      <c r="S523" s="6">
        <f>Table1[[#This Row],[pledged]]/Table1[[#This Row],[goal]]</f>
        <v>1.0464</v>
      </c>
      <c r="T523" s="8">
        <f>IF(Table1[[#This Row],[pledged]]=0,"no backers",Table1[[#This Row],[pledged]]/Table1[[#This Row],[backers_count]])</f>
        <v>93.428571428571431</v>
      </c>
      <c r="U523" t="str">
        <f>LEFT(Table1[[#This Row],[Category and Sub-Category]],FIND("/",Table1[[#This Row],[Category and Sub-Category]])-1)</f>
        <v>theater</v>
      </c>
      <c r="V523" t="str">
        <f>RIGHT(Table1[[#This Row],[Category and Sub-Category]],LEN(Table1[[#This Row],[Category and Sub-Category]])-FIND("/",Table1[[#This Row],[Category and Sub-Category]]))</f>
        <v>plays</v>
      </c>
    </row>
    <row r="524" spans="1:22" ht="43.2" x14ac:dyDescent="0.3">
      <c r="A524">
        <v>522</v>
      </c>
      <c r="B524" s="3" t="s">
        <v>523</v>
      </c>
      <c r="C524" s="3" t="s">
        <v>4632</v>
      </c>
      <c r="D524" s="12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>((Table1[[#This Row],[deadline]]/60)/60/24)+DATE(1970,1,1)</f>
        <v>42449.999131944445</v>
      </c>
      <c r="K524">
        <v>1456793925</v>
      </c>
      <c r="L524" s="11">
        <f>((Table1[[#This Row],[launched_at]]/60)/60/24)+DATE(1970,1,1)</f>
        <v>42430.040798611109</v>
      </c>
      <c r="M524">
        <f>MONTH(Table1[[#This Row],[Date Created Conversion]])</f>
        <v>3</v>
      </c>
      <c r="N524">
        <f>YEAR(Table1[[#This Row],[Date Created Conversion]])</f>
        <v>2016</v>
      </c>
      <c r="O524" t="b">
        <v>0</v>
      </c>
      <c r="P524">
        <v>31</v>
      </c>
      <c r="Q524" t="b">
        <v>1</v>
      </c>
      <c r="R524" t="s">
        <v>8271</v>
      </c>
      <c r="S524" s="6">
        <f>Table1[[#This Row],[pledged]]/Table1[[#This Row],[goal]]</f>
        <v>1.1466666666666667</v>
      </c>
      <c r="T524" s="8">
        <f>IF(Table1[[#This Row],[pledged]]=0,"no backers",Table1[[#This Row],[pledged]]/Table1[[#This Row],[backers_count]])</f>
        <v>110.96774193548387</v>
      </c>
      <c r="U524" t="str">
        <f>LEFT(Table1[[#This Row],[Category and Sub-Category]],FIND("/",Table1[[#This Row],[Category and Sub-Category]])-1)</f>
        <v>theater</v>
      </c>
      <c r="V524" t="str">
        <f>RIGHT(Table1[[#This Row],[Category and Sub-Category]],LEN(Table1[[#This Row],[Category and Sub-Category]])-FIND("/",Table1[[#This Row],[Category and Sub-Category]]))</f>
        <v>plays</v>
      </c>
    </row>
    <row r="525" spans="1:22" ht="43.2" x14ac:dyDescent="0.3">
      <c r="A525">
        <v>523</v>
      </c>
      <c r="B525" s="3" t="s">
        <v>524</v>
      </c>
      <c r="C525" s="3" t="s">
        <v>4633</v>
      </c>
      <c r="D525" s="12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>((Table1[[#This Row],[deadline]]/60)/60/24)+DATE(1970,1,1)</f>
        <v>42268.13282407407</v>
      </c>
      <c r="K525">
        <v>1440213076</v>
      </c>
      <c r="L525" s="11">
        <f>((Table1[[#This Row],[launched_at]]/60)/60/24)+DATE(1970,1,1)</f>
        <v>42238.13282407407</v>
      </c>
      <c r="M525">
        <f>MONTH(Table1[[#This Row],[Date Created Conversion]])</f>
        <v>8</v>
      </c>
      <c r="N525">
        <f>YEAR(Table1[[#This Row],[Date Created Conversion]])</f>
        <v>2015</v>
      </c>
      <c r="O525" t="b">
        <v>0</v>
      </c>
      <c r="P525">
        <v>84</v>
      </c>
      <c r="Q525" t="b">
        <v>1</v>
      </c>
      <c r="R525" t="s">
        <v>8271</v>
      </c>
      <c r="S525" s="6">
        <f>Table1[[#This Row],[pledged]]/Table1[[#This Row],[goal]]</f>
        <v>1.206</v>
      </c>
      <c r="T525" s="8">
        <f>IF(Table1[[#This Row],[pledged]]=0,"no backers",Table1[[#This Row],[pledged]]/Table1[[#This Row],[backers_count]])</f>
        <v>71.785714285714292</v>
      </c>
      <c r="U525" t="str">
        <f>LEFT(Table1[[#This Row],[Category and Sub-Category]],FIND("/",Table1[[#This Row],[Category and Sub-Category]])-1)</f>
        <v>theater</v>
      </c>
      <c r="V525" t="str">
        <f>RIGHT(Table1[[#This Row],[Category and Sub-Category]],LEN(Table1[[#This Row],[Category and Sub-Category]])-FIND("/",Table1[[#This Row],[Category and Sub-Category]]))</f>
        <v>plays</v>
      </c>
    </row>
    <row r="526" spans="1:22" ht="43.2" x14ac:dyDescent="0.3">
      <c r="A526">
        <v>524</v>
      </c>
      <c r="B526" s="3" t="s">
        <v>525</v>
      </c>
      <c r="C526" s="3" t="s">
        <v>4634</v>
      </c>
      <c r="D526" s="12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>((Table1[[#This Row],[deadline]]/60)/60/24)+DATE(1970,1,1)</f>
        <v>42522.717233796298</v>
      </c>
      <c r="K526">
        <v>1462209169</v>
      </c>
      <c r="L526" s="11">
        <f>((Table1[[#This Row],[launched_at]]/60)/60/24)+DATE(1970,1,1)</f>
        <v>42492.717233796298</v>
      </c>
      <c r="M526">
        <f>MONTH(Table1[[#This Row],[Date Created Conversion]])</f>
        <v>5</v>
      </c>
      <c r="N526">
        <f>YEAR(Table1[[#This Row],[Date Created Conversion]])</f>
        <v>2016</v>
      </c>
      <c r="O526" t="b">
        <v>0</v>
      </c>
      <c r="P526">
        <v>130</v>
      </c>
      <c r="Q526" t="b">
        <v>1</v>
      </c>
      <c r="R526" t="s">
        <v>8271</v>
      </c>
      <c r="S526" s="6">
        <f>Table1[[#This Row],[pledged]]/Table1[[#This Row],[goal]]</f>
        <v>1.0867285714285715</v>
      </c>
      <c r="T526" s="8">
        <f>IF(Table1[[#This Row],[pledged]]=0,"no backers",Table1[[#This Row],[pledged]]/Table1[[#This Row],[backers_count]])</f>
        <v>29.258076923076924</v>
      </c>
      <c r="U526" t="str">
        <f>LEFT(Table1[[#This Row],[Category and Sub-Category]],FIND("/",Table1[[#This Row],[Category and Sub-Category]])-1)</f>
        <v>theater</v>
      </c>
      <c r="V526" t="str">
        <f>RIGHT(Table1[[#This Row],[Category and Sub-Category]],LEN(Table1[[#This Row],[Category and Sub-Category]])-FIND("/",Table1[[#This Row],[Category and Sub-Category]]))</f>
        <v>plays</v>
      </c>
    </row>
    <row r="527" spans="1:22" ht="57.6" x14ac:dyDescent="0.3">
      <c r="A527">
        <v>525</v>
      </c>
      <c r="B527" s="3" t="s">
        <v>526</v>
      </c>
      <c r="C527" s="3" t="s">
        <v>4635</v>
      </c>
      <c r="D527" s="12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>((Table1[[#This Row],[deadline]]/60)/60/24)+DATE(1970,1,1)</f>
        <v>41895.400937500002</v>
      </c>
      <c r="K527">
        <v>1406713041</v>
      </c>
      <c r="L527" s="11">
        <f>((Table1[[#This Row],[launched_at]]/60)/60/24)+DATE(1970,1,1)</f>
        <v>41850.400937500002</v>
      </c>
      <c r="M527">
        <f>MONTH(Table1[[#This Row],[Date Created Conversion]])</f>
        <v>7</v>
      </c>
      <c r="N527">
        <f>YEAR(Table1[[#This Row],[Date Created Conversion]])</f>
        <v>2014</v>
      </c>
      <c r="O527" t="b">
        <v>0</v>
      </c>
      <c r="P527">
        <v>12</v>
      </c>
      <c r="Q527" t="b">
        <v>1</v>
      </c>
      <c r="R527" t="s">
        <v>8271</v>
      </c>
      <c r="S527" s="6">
        <f>Table1[[#This Row],[pledged]]/Table1[[#This Row],[goal]]</f>
        <v>1</v>
      </c>
      <c r="T527" s="8">
        <f>IF(Table1[[#This Row],[pledged]]=0,"no backers",Table1[[#This Row],[pledged]]/Table1[[#This Row],[backers_count]])</f>
        <v>1000</v>
      </c>
      <c r="U527" t="str">
        <f>LEFT(Table1[[#This Row],[Category and Sub-Category]],FIND("/",Table1[[#This Row],[Category and Sub-Category]])-1)</f>
        <v>theater</v>
      </c>
      <c r="V527" t="str">
        <f>RIGHT(Table1[[#This Row],[Category and Sub-Category]],LEN(Table1[[#This Row],[Category and Sub-Category]])-FIND("/",Table1[[#This Row],[Category and Sub-Category]]))</f>
        <v>plays</v>
      </c>
    </row>
    <row r="528" spans="1:22" ht="43.2" x14ac:dyDescent="0.3">
      <c r="A528">
        <v>526</v>
      </c>
      <c r="B528" s="3" t="s">
        <v>527</v>
      </c>
      <c r="C528" s="3" t="s">
        <v>4636</v>
      </c>
      <c r="D528" s="12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>((Table1[[#This Row],[deadline]]/60)/60/24)+DATE(1970,1,1)</f>
        <v>42223.708333333328</v>
      </c>
      <c r="K528">
        <v>1436278344</v>
      </c>
      <c r="L528" s="11">
        <f>((Table1[[#This Row],[launched_at]]/60)/60/24)+DATE(1970,1,1)</f>
        <v>42192.591944444444</v>
      </c>
      <c r="M528">
        <f>MONTH(Table1[[#This Row],[Date Created Conversion]])</f>
        <v>7</v>
      </c>
      <c r="N528">
        <f>YEAR(Table1[[#This Row],[Date Created Conversion]])</f>
        <v>2015</v>
      </c>
      <c r="O528" t="b">
        <v>0</v>
      </c>
      <c r="P528">
        <v>23</v>
      </c>
      <c r="Q528" t="b">
        <v>1</v>
      </c>
      <c r="R528" t="s">
        <v>8271</v>
      </c>
      <c r="S528" s="6">
        <f>Table1[[#This Row],[pledged]]/Table1[[#This Row],[goal]]</f>
        <v>1.1399999999999999</v>
      </c>
      <c r="T528" s="8">
        <f>IF(Table1[[#This Row],[pledged]]=0,"no backers",Table1[[#This Row],[pledged]]/Table1[[#This Row],[backers_count]])</f>
        <v>74.347826086956516</v>
      </c>
      <c r="U528" t="str">
        <f>LEFT(Table1[[#This Row],[Category and Sub-Category]],FIND("/",Table1[[#This Row],[Category and Sub-Category]])-1)</f>
        <v>theater</v>
      </c>
      <c r="V528" t="str">
        <f>RIGHT(Table1[[#This Row],[Category and Sub-Category]],LEN(Table1[[#This Row],[Category and Sub-Category]])-FIND("/",Table1[[#This Row],[Category and Sub-Category]]))</f>
        <v>plays</v>
      </c>
    </row>
    <row r="529" spans="1:22" ht="57.6" x14ac:dyDescent="0.3">
      <c r="A529">
        <v>527</v>
      </c>
      <c r="B529" s="3" t="s">
        <v>528</v>
      </c>
      <c r="C529" s="3" t="s">
        <v>4637</v>
      </c>
      <c r="D529" s="12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>((Table1[[#This Row],[deadline]]/60)/60/24)+DATE(1970,1,1)</f>
        <v>42783.670138888891</v>
      </c>
      <c r="K529">
        <v>1484715366</v>
      </c>
      <c r="L529" s="11">
        <f>((Table1[[#This Row],[launched_at]]/60)/60/24)+DATE(1970,1,1)</f>
        <v>42753.205625000002</v>
      </c>
      <c r="M529">
        <f>MONTH(Table1[[#This Row],[Date Created Conversion]])</f>
        <v>1</v>
      </c>
      <c r="N529">
        <f>YEAR(Table1[[#This Row],[Date Created Conversion]])</f>
        <v>2017</v>
      </c>
      <c r="O529" t="b">
        <v>0</v>
      </c>
      <c r="P529">
        <v>158</v>
      </c>
      <c r="Q529" t="b">
        <v>1</v>
      </c>
      <c r="R529" t="s">
        <v>8271</v>
      </c>
      <c r="S529" s="6">
        <f>Table1[[#This Row],[pledged]]/Table1[[#This Row],[goal]]</f>
        <v>1.0085</v>
      </c>
      <c r="T529" s="8">
        <f>IF(Table1[[#This Row],[pledged]]=0,"no backers",Table1[[#This Row],[pledged]]/Table1[[#This Row],[backers_count]])</f>
        <v>63.829113924050631</v>
      </c>
      <c r="U529" t="str">
        <f>LEFT(Table1[[#This Row],[Category and Sub-Category]],FIND("/",Table1[[#This Row],[Category and Sub-Category]])-1)</f>
        <v>theater</v>
      </c>
      <c r="V529" t="str">
        <f>RIGHT(Table1[[#This Row],[Category and Sub-Category]],LEN(Table1[[#This Row],[Category and Sub-Category]])-FIND("/",Table1[[#This Row],[Category and Sub-Category]]))</f>
        <v>plays</v>
      </c>
    </row>
    <row r="530" spans="1:22" ht="28.8" x14ac:dyDescent="0.3">
      <c r="A530">
        <v>528</v>
      </c>
      <c r="B530" s="3" t="s">
        <v>529</v>
      </c>
      <c r="C530" s="3" t="s">
        <v>4638</v>
      </c>
      <c r="D530" s="12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>((Table1[[#This Row],[deadline]]/60)/60/24)+DATE(1970,1,1)</f>
        <v>42176.888888888891</v>
      </c>
      <c r="K530">
        <v>1433109907</v>
      </c>
      <c r="L530" s="11">
        <f>((Table1[[#This Row],[launched_at]]/60)/60/24)+DATE(1970,1,1)</f>
        <v>42155.920219907406</v>
      </c>
      <c r="M530">
        <f>MONTH(Table1[[#This Row],[Date Created Conversion]])</f>
        <v>5</v>
      </c>
      <c r="N530">
        <f>YEAR(Table1[[#This Row],[Date Created Conversion]])</f>
        <v>2015</v>
      </c>
      <c r="O530" t="b">
        <v>0</v>
      </c>
      <c r="P530">
        <v>30</v>
      </c>
      <c r="Q530" t="b">
        <v>1</v>
      </c>
      <c r="R530" t="s">
        <v>8271</v>
      </c>
      <c r="S530" s="6">
        <f>Table1[[#This Row],[pledged]]/Table1[[#This Row],[goal]]</f>
        <v>1.1565217391304348</v>
      </c>
      <c r="T530" s="8">
        <f>IF(Table1[[#This Row],[pledged]]=0,"no backers",Table1[[#This Row],[pledged]]/Table1[[#This Row],[backers_count]])</f>
        <v>44.333333333333336</v>
      </c>
      <c r="U530" t="str">
        <f>LEFT(Table1[[#This Row],[Category and Sub-Category]],FIND("/",Table1[[#This Row],[Category and Sub-Category]])-1)</f>
        <v>theater</v>
      </c>
      <c r="V530" t="str">
        <f>RIGHT(Table1[[#This Row],[Category and Sub-Category]],LEN(Table1[[#This Row],[Category and Sub-Category]])-FIND("/",Table1[[#This Row],[Category and Sub-Category]]))</f>
        <v>plays</v>
      </c>
    </row>
    <row r="531" spans="1:22" ht="43.2" x14ac:dyDescent="0.3">
      <c r="A531">
        <v>529</v>
      </c>
      <c r="B531" s="3" t="s">
        <v>530</v>
      </c>
      <c r="C531" s="3" t="s">
        <v>4639</v>
      </c>
      <c r="D531" s="12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>((Table1[[#This Row],[deadline]]/60)/60/24)+DATE(1970,1,1)</f>
        <v>42746.208333333328</v>
      </c>
      <c r="K531">
        <v>1482281094</v>
      </c>
      <c r="L531" s="11">
        <f>((Table1[[#This Row],[launched_at]]/60)/60/24)+DATE(1970,1,1)</f>
        <v>42725.031180555554</v>
      </c>
      <c r="M531">
        <f>MONTH(Table1[[#This Row],[Date Created Conversion]])</f>
        <v>12</v>
      </c>
      <c r="N531">
        <f>YEAR(Table1[[#This Row],[Date Created Conversion]])</f>
        <v>2016</v>
      </c>
      <c r="O531" t="b">
        <v>0</v>
      </c>
      <c r="P531">
        <v>18</v>
      </c>
      <c r="Q531" t="b">
        <v>1</v>
      </c>
      <c r="R531" t="s">
        <v>8271</v>
      </c>
      <c r="S531" s="6">
        <f>Table1[[#This Row],[pledged]]/Table1[[#This Row],[goal]]</f>
        <v>1.3041666666666667</v>
      </c>
      <c r="T531" s="8">
        <f>IF(Table1[[#This Row],[pledged]]=0,"no backers",Table1[[#This Row],[pledged]]/Table1[[#This Row],[backers_count]])</f>
        <v>86.944444444444443</v>
      </c>
      <c r="U531" t="str">
        <f>LEFT(Table1[[#This Row],[Category and Sub-Category]],FIND("/",Table1[[#This Row],[Category and Sub-Category]])-1)</f>
        <v>theater</v>
      </c>
      <c r="V531" t="str">
        <f>RIGHT(Table1[[#This Row],[Category and Sub-Category]],LEN(Table1[[#This Row],[Category and Sub-Category]])-FIND("/",Table1[[#This Row],[Category and Sub-Category]]))</f>
        <v>plays</v>
      </c>
    </row>
    <row r="532" spans="1:22" ht="43.2" x14ac:dyDescent="0.3">
      <c r="A532">
        <v>530</v>
      </c>
      <c r="B532" s="3" t="s">
        <v>531</v>
      </c>
      <c r="C532" s="3" t="s">
        <v>4640</v>
      </c>
      <c r="D532" s="1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>((Table1[[#This Row],[deadline]]/60)/60/24)+DATE(1970,1,1)</f>
        <v>42179.083333333328</v>
      </c>
      <c r="K532">
        <v>1433254268</v>
      </c>
      <c r="L532" s="11">
        <f>((Table1[[#This Row],[launched_at]]/60)/60/24)+DATE(1970,1,1)</f>
        <v>42157.591064814813</v>
      </c>
      <c r="M532">
        <f>MONTH(Table1[[#This Row],[Date Created Conversion]])</f>
        <v>6</v>
      </c>
      <c r="N532">
        <f>YEAR(Table1[[#This Row],[Date Created Conversion]])</f>
        <v>2015</v>
      </c>
      <c r="O532" t="b">
        <v>0</v>
      </c>
      <c r="P532">
        <v>29</v>
      </c>
      <c r="Q532" t="b">
        <v>1</v>
      </c>
      <c r="R532" t="s">
        <v>8271</v>
      </c>
      <c r="S532" s="6">
        <f>Table1[[#This Row],[pledged]]/Table1[[#This Row],[goal]]</f>
        <v>1.0778267254038179</v>
      </c>
      <c r="T532" s="8">
        <f>IF(Table1[[#This Row],[pledged]]=0,"no backers",Table1[[#This Row],[pledged]]/Table1[[#This Row],[backers_count]])</f>
        <v>126.55172413793103</v>
      </c>
      <c r="U532" t="str">
        <f>LEFT(Table1[[#This Row],[Category and Sub-Category]],FIND("/",Table1[[#This Row],[Category and Sub-Category]])-1)</f>
        <v>theater</v>
      </c>
      <c r="V532" t="str">
        <f>RIGHT(Table1[[#This Row],[Category and Sub-Category]],LEN(Table1[[#This Row],[Category and Sub-Category]])-FIND("/",Table1[[#This Row],[Category and Sub-Category]]))</f>
        <v>plays</v>
      </c>
    </row>
    <row r="533" spans="1:22" ht="43.2" x14ac:dyDescent="0.3">
      <c r="A533">
        <v>531</v>
      </c>
      <c r="B533" s="3" t="s">
        <v>532</v>
      </c>
      <c r="C533" s="3" t="s">
        <v>4641</v>
      </c>
      <c r="D533" s="12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>((Table1[[#This Row],[deadline]]/60)/60/24)+DATE(1970,1,1)</f>
        <v>42721.290972222225</v>
      </c>
      <c r="K533">
        <v>1478050429</v>
      </c>
      <c r="L533" s="11">
        <f>((Table1[[#This Row],[launched_at]]/60)/60/24)+DATE(1970,1,1)</f>
        <v>42676.065150462964</v>
      </c>
      <c r="M533">
        <f>MONTH(Table1[[#This Row],[Date Created Conversion]])</f>
        <v>11</v>
      </c>
      <c r="N533">
        <f>YEAR(Table1[[#This Row],[Date Created Conversion]])</f>
        <v>2016</v>
      </c>
      <c r="O533" t="b">
        <v>0</v>
      </c>
      <c r="P533">
        <v>31</v>
      </c>
      <c r="Q533" t="b">
        <v>1</v>
      </c>
      <c r="R533" t="s">
        <v>8271</v>
      </c>
      <c r="S533" s="6">
        <f>Table1[[#This Row],[pledged]]/Table1[[#This Row],[goal]]</f>
        <v>1</v>
      </c>
      <c r="T533" s="8">
        <f>IF(Table1[[#This Row],[pledged]]=0,"no backers",Table1[[#This Row],[pledged]]/Table1[[#This Row],[backers_count]])</f>
        <v>129.03225806451613</v>
      </c>
      <c r="U533" t="str">
        <f>LEFT(Table1[[#This Row],[Category and Sub-Category]],FIND("/",Table1[[#This Row],[Category and Sub-Category]])-1)</f>
        <v>theater</v>
      </c>
      <c r="V533" t="str">
        <f>RIGHT(Table1[[#This Row],[Category and Sub-Category]],LEN(Table1[[#This Row],[Category and Sub-Category]])-FIND("/",Table1[[#This Row],[Category and Sub-Category]]))</f>
        <v>plays</v>
      </c>
    </row>
    <row r="534" spans="1:22" ht="43.2" x14ac:dyDescent="0.3">
      <c r="A534">
        <v>532</v>
      </c>
      <c r="B534" s="3" t="s">
        <v>533</v>
      </c>
      <c r="C534" s="3" t="s">
        <v>4642</v>
      </c>
      <c r="D534" s="12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>((Table1[[#This Row],[deadline]]/60)/60/24)+DATE(1970,1,1)</f>
        <v>42503.007037037038</v>
      </c>
      <c r="K534">
        <v>1460506208</v>
      </c>
      <c r="L534" s="11">
        <f>((Table1[[#This Row],[launched_at]]/60)/60/24)+DATE(1970,1,1)</f>
        <v>42473.007037037038</v>
      </c>
      <c r="M534">
        <f>MONTH(Table1[[#This Row],[Date Created Conversion]])</f>
        <v>4</v>
      </c>
      <c r="N534">
        <f>YEAR(Table1[[#This Row],[Date Created Conversion]])</f>
        <v>2016</v>
      </c>
      <c r="O534" t="b">
        <v>0</v>
      </c>
      <c r="P534">
        <v>173</v>
      </c>
      <c r="Q534" t="b">
        <v>1</v>
      </c>
      <c r="R534" t="s">
        <v>8271</v>
      </c>
      <c r="S534" s="6">
        <f>Table1[[#This Row],[pledged]]/Table1[[#This Row],[goal]]</f>
        <v>1.2324999999999999</v>
      </c>
      <c r="T534" s="8">
        <f>IF(Table1[[#This Row],[pledged]]=0,"no backers",Table1[[#This Row],[pledged]]/Table1[[#This Row],[backers_count]])</f>
        <v>71.242774566473983</v>
      </c>
      <c r="U534" t="str">
        <f>LEFT(Table1[[#This Row],[Category and Sub-Category]],FIND("/",Table1[[#This Row],[Category and Sub-Category]])-1)</f>
        <v>theater</v>
      </c>
      <c r="V534" t="str">
        <f>RIGHT(Table1[[#This Row],[Category and Sub-Category]],LEN(Table1[[#This Row],[Category and Sub-Category]])-FIND("/",Table1[[#This Row],[Category and Sub-Category]]))</f>
        <v>plays</v>
      </c>
    </row>
    <row r="535" spans="1:22" ht="43.2" x14ac:dyDescent="0.3">
      <c r="A535">
        <v>533</v>
      </c>
      <c r="B535" s="3" t="s">
        <v>534</v>
      </c>
      <c r="C535" s="3" t="s">
        <v>4643</v>
      </c>
      <c r="D535" s="12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>((Table1[[#This Row],[deadline]]/60)/60/24)+DATE(1970,1,1)</f>
        <v>42506.43478009259</v>
      </c>
      <c r="K535">
        <v>1461320765</v>
      </c>
      <c r="L535" s="11">
        <f>((Table1[[#This Row],[launched_at]]/60)/60/24)+DATE(1970,1,1)</f>
        <v>42482.43478009259</v>
      </c>
      <c r="M535">
        <f>MONTH(Table1[[#This Row],[Date Created Conversion]])</f>
        <v>4</v>
      </c>
      <c r="N535">
        <f>YEAR(Table1[[#This Row],[Date Created Conversion]])</f>
        <v>2016</v>
      </c>
      <c r="O535" t="b">
        <v>0</v>
      </c>
      <c r="P535">
        <v>17</v>
      </c>
      <c r="Q535" t="b">
        <v>1</v>
      </c>
      <c r="R535" t="s">
        <v>8271</v>
      </c>
      <c r="S535" s="6">
        <f>Table1[[#This Row],[pledged]]/Table1[[#This Row],[goal]]</f>
        <v>1.002</v>
      </c>
      <c r="T535" s="8">
        <f>IF(Table1[[#This Row],[pledged]]=0,"no backers",Table1[[#This Row],[pledged]]/Table1[[#This Row],[backers_count]])</f>
        <v>117.88235294117646</v>
      </c>
      <c r="U535" t="str">
        <f>LEFT(Table1[[#This Row],[Category and Sub-Category]],FIND("/",Table1[[#This Row],[Category and Sub-Category]])-1)</f>
        <v>theater</v>
      </c>
      <c r="V535" t="str">
        <f>RIGHT(Table1[[#This Row],[Category and Sub-Category]],LEN(Table1[[#This Row],[Category and Sub-Category]])-FIND("/",Table1[[#This Row],[Category and Sub-Category]]))</f>
        <v>plays</v>
      </c>
    </row>
    <row r="536" spans="1:22" ht="43.2" x14ac:dyDescent="0.3">
      <c r="A536">
        <v>534</v>
      </c>
      <c r="B536" s="3" t="s">
        <v>535</v>
      </c>
      <c r="C536" s="3" t="s">
        <v>4644</v>
      </c>
      <c r="D536" s="12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>((Table1[[#This Row],[deadline]]/60)/60/24)+DATE(1970,1,1)</f>
        <v>42309.958333333328</v>
      </c>
      <c r="K536">
        <v>1443036470</v>
      </c>
      <c r="L536" s="11">
        <f>((Table1[[#This Row],[launched_at]]/60)/60/24)+DATE(1970,1,1)</f>
        <v>42270.810995370368</v>
      </c>
      <c r="M536">
        <f>MONTH(Table1[[#This Row],[Date Created Conversion]])</f>
        <v>9</v>
      </c>
      <c r="N536">
        <f>YEAR(Table1[[#This Row],[Date Created Conversion]])</f>
        <v>2015</v>
      </c>
      <c r="O536" t="b">
        <v>0</v>
      </c>
      <c r="P536">
        <v>48</v>
      </c>
      <c r="Q536" t="b">
        <v>1</v>
      </c>
      <c r="R536" t="s">
        <v>8271</v>
      </c>
      <c r="S536" s="6">
        <f>Table1[[#This Row],[pledged]]/Table1[[#This Row],[goal]]</f>
        <v>1.0466666666666666</v>
      </c>
      <c r="T536" s="8">
        <f>IF(Table1[[#This Row],[pledged]]=0,"no backers",Table1[[#This Row],[pledged]]/Table1[[#This Row],[backers_count]])</f>
        <v>327.08333333333331</v>
      </c>
      <c r="U536" t="str">
        <f>LEFT(Table1[[#This Row],[Category and Sub-Category]],FIND("/",Table1[[#This Row],[Category and Sub-Category]])-1)</f>
        <v>theater</v>
      </c>
      <c r="V536" t="str">
        <f>RIGHT(Table1[[#This Row],[Category and Sub-Category]],LEN(Table1[[#This Row],[Category and Sub-Category]])-FIND("/",Table1[[#This Row],[Category and Sub-Category]]))</f>
        <v>plays</v>
      </c>
    </row>
    <row r="537" spans="1:22" ht="43.2" x14ac:dyDescent="0.3">
      <c r="A537">
        <v>535</v>
      </c>
      <c r="B537" s="3" t="s">
        <v>536</v>
      </c>
      <c r="C537" s="3" t="s">
        <v>4645</v>
      </c>
      <c r="D537" s="12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>((Table1[[#This Row],[deadline]]/60)/60/24)+DATE(1970,1,1)</f>
        <v>42741.545196759253</v>
      </c>
      <c r="K537">
        <v>1481115905</v>
      </c>
      <c r="L537" s="11">
        <f>((Table1[[#This Row],[launched_at]]/60)/60/24)+DATE(1970,1,1)</f>
        <v>42711.545196759253</v>
      </c>
      <c r="M537">
        <f>MONTH(Table1[[#This Row],[Date Created Conversion]])</f>
        <v>12</v>
      </c>
      <c r="N537">
        <f>YEAR(Table1[[#This Row],[Date Created Conversion]])</f>
        <v>2016</v>
      </c>
      <c r="O537" t="b">
        <v>0</v>
      </c>
      <c r="P537">
        <v>59</v>
      </c>
      <c r="Q537" t="b">
        <v>1</v>
      </c>
      <c r="R537" t="s">
        <v>8271</v>
      </c>
      <c r="S537" s="6">
        <f>Table1[[#This Row],[pledged]]/Table1[[#This Row],[goal]]</f>
        <v>1.0249999999999999</v>
      </c>
      <c r="T537" s="8">
        <f>IF(Table1[[#This Row],[pledged]]=0,"no backers",Table1[[#This Row],[pledged]]/Table1[[#This Row],[backers_count]])</f>
        <v>34.745762711864408</v>
      </c>
      <c r="U537" t="str">
        <f>LEFT(Table1[[#This Row],[Category and Sub-Category]],FIND("/",Table1[[#This Row],[Category and Sub-Category]])-1)</f>
        <v>theater</v>
      </c>
      <c r="V537" t="str">
        <f>RIGHT(Table1[[#This Row],[Category and Sub-Category]],LEN(Table1[[#This Row],[Category and Sub-Category]])-FIND("/",Table1[[#This Row],[Category and Sub-Category]]))</f>
        <v>plays</v>
      </c>
    </row>
    <row r="538" spans="1:22" ht="57.6" x14ac:dyDescent="0.3">
      <c r="A538">
        <v>536</v>
      </c>
      <c r="B538" s="3" t="s">
        <v>537</v>
      </c>
      <c r="C538" s="3" t="s">
        <v>4646</v>
      </c>
      <c r="D538" s="12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>((Table1[[#This Row],[deadline]]/60)/60/24)+DATE(1970,1,1)</f>
        <v>42219.75</v>
      </c>
      <c r="K538">
        <v>1435133807</v>
      </c>
      <c r="L538" s="11">
        <f>((Table1[[#This Row],[launched_at]]/60)/60/24)+DATE(1970,1,1)</f>
        <v>42179.344988425932</v>
      </c>
      <c r="M538">
        <f>MONTH(Table1[[#This Row],[Date Created Conversion]])</f>
        <v>6</v>
      </c>
      <c r="N538">
        <f>YEAR(Table1[[#This Row],[Date Created Conversion]])</f>
        <v>2015</v>
      </c>
      <c r="O538" t="b">
        <v>0</v>
      </c>
      <c r="P538">
        <v>39</v>
      </c>
      <c r="Q538" t="b">
        <v>1</v>
      </c>
      <c r="R538" t="s">
        <v>8271</v>
      </c>
      <c r="S538" s="6">
        <f>Table1[[#This Row],[pledged]]/Table1[[#This Row],[goal]]</f>
        <v>1.1825757575757576</v>
      </c>
      <c r="T538" s="8">
        <f>IF(Table1[[#This Row],[pledged]]=0,"no backers",Table1[[#This Row],[pledged]]/Table1[[#This Row],[backers_count]])</f>
        <v>100.06410256410257</v>
      </c>
      <c r="U538" t="str">
        <f>LEFT(Table1[[#This Row],[Category and Sub-Category]],FIND("/",Table1[[#This Row],[Category and Sub-Category]])-1)</f>
        <v>theater</v>
      </c>
      <c r="V538" t="str">
        <f>RIGHT(Table1[[#This Row],[Category and Sub-Category]],LEN(Table1[[#This Row],[Category and Sub-Category]])-FIND("/",Table1[[#This Row],[Category and Sub-Category]]))</f>
        <v>plays</v>
      </c>
    </row>
    <row r="539" spans="1:22" ht="43.2" x14ac:dyDescent="0.3">
      <c r="A539">
        <v>537</v>
      </c>
      <c r="B539" s="3" t="s">
        <v>538</v>
      </c>
      <c r="C539" s="3" t="s">
        <v>4647</v>
      </c>
      <c r="D539" s="12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>((Table1[[#This Row],[deadline]]/60)/60/24)+DATE(1970,1,1)</f>
        <v>42312.810081018513</v>
      </c>
      <c r="K539">
        <v>1444069591</v>
      </c>
      <c r="L539" s="11">
        <f>((Table1[[#This Row],[launched_at]]/60)/60/24)+DATE(1970,1,1)</f>
        <v>42282.768414351856</v>
      </c>
      <c r="M539">
        <f>MONTH(Table1[[#This Row],[Date Created Conversion]])</f>
        <v>10</v>
      </c>
      <c r="N539">
        <f>YEAR(Table1[[#This Row],[Date Created Conversion]])</f>
        <v>2015</v>
      </c>
      <c r="O539" t="b">
        <v>0</v>
      </c>
      <c r="P539">
        <v>59</v>
      </c>
      <c r="Q539" t="b">
        <v>1</v>
      </c>
      <c r="R539" t="s">
        <v>8271</v>
      </c>
      <c r="S539" s="6">
        <f>Table1[[#This Row],[pledged]]/Table1[[#This Row],[goal]]</f>
        <v>1.2050000000000001</v>
      </c>
      <c r="T539" s="8">
        <f>IF(Table1[[#This Row],[pledged]]=0,"no backers",Table1[[#This Row],[pledged]]/Table1[[#This Row],[backers_count]])</f>
        <v>40.847457627118644</v>
      </c>
      <c r="U539" t="str">
        <f>LEFT(Table1[[#This Row],[Category and Sub-Category]],FIND("/",Table1[[#This Row],[Category and Sub-Category]])-1)</f>
        <v>theater</v>
      </c>
      <c r="V539" t="str">
        <f>RIGHT(Table1[[#This Row],[Category and Sub-Category]],LEN(Table1[[#This Row],[Category and Sub-Category]])-FIND("/",Table1[[#This Row],[Category and Sub-Category]]))</f>
        <v>plays</v>
      </c>
    </row>
    <row r="540" spans="1:22" ht="43.2" x14ac:dyDescent="0.3">
      <c r="A540">
        <v>538</v>
      </c>
      <c r="B540" s="3" t="s">
        <v>539</v>
      </c>
      <c r="C540" s="3" t="s">
        <v>4648</v>
      </c>
      <c r="D540" s="12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>((Table1[[#This Row],[deadline]]/60)/60/24)+DATE(1970,1,1)</f>
        <v>42503.794710648144</v>
      </c>
      <c r="K540">
        <v>1460574263</v>
      </c>
      <c r="L540" s="11">
        <f>((Table1[[#This Row],[launched_at]]/60)/60/24)+DATE(1970,1,1)</f>
        <v>42473.794710648144</v>
      </c>
      <c r="M540">
        <f>MONTH(Table1[[#This Row],[Date Created Conversion]])</f>
        <v>4</v>
      </c>
      <c r="N540">
        <f>YEAR(Table1[[#This Row],[Date Created Conversion]])</f>
        <v>2016</v>
      </c>
      <c r="O540" t="b">
        <v>0</v>
      </c>
      <c r="P540">
        <v>60</v>
      </c>
      <c r="Q540" t="b">
        <v>1</v>
      </c>
      <c r="R540" t="s">
        <v>8271</v>
      </c>
      <c r="S540" s="6">
        <f>Table1[[#This Row],[pledged]]/Table1[[#This Row],[goal]]</f>
        <v>3.0242</v>
      </c>
      <c r="T540" s="8">
        <f>IF(Table1[[#This Row],[pledged]]=0,"no backers",Table1[[#This Row],[pledged]]/Table1[[#This Row],[backers_count]])</f>
        <v>252.01666666666668</v>
      </c>
      <c r="U540" t="str">
        <f>LEFT(Table1[[#This Row],[Category and Sub-Category]],FIND("/",Table1[[#This Row],[Category and Sub-Category]])-1)</f>
        <v>theater</v>
      </c>
      <c r="V540" t="str">
        <f>RIGHT(Table1[[#This Row],[Category and Sub-Category]],LEN(Table1[[#This Row],[Category and Sub-Category]])-FIND("/",Table1[[#This Row],[Category and Sub-Category]]))</f>
        <v>plays</v>
      </c>
    </row>
    <row r="541" spans="1:22" ht="43.2" x14ac:dyDescent="0.3">
      <c r="A541">
        <v>539</v>
      </c>
      <c r="B541" s="3" t="s">
        <v>540</v>
      </c>
      <c r="C541" s="3" t="s">
        <v>4649</v>
      </c>
      <c r="D541" s="12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>((Table1[[#This Row],[deadline]]/60)/60/24)+DATE(1970,1,1)</f>
        <v>42556.049849537041</v>
      </c>
      <c r="K541">
        <v>1465866707</v>
      </c>
      <c r="L541" s="11">
        <f>((Table1[[#This Row],[launched_at]]/60)/60/24)+DATE(1970,1,1)</f>
        <v>42535.049849537041</v>
      </c>
      <c r="M541">
        <f>MONTH(Table1[[#This Row],[Date Created Conversion]])</f>
        <v>6</v>
      </c>
      <c r="N541">
        <f>YEAR(Table1[[#This Row],[Date Created Conversion]])</f>
        <v>2016</v>
      </c>
      <c r="O541" t="b">
        <v>0</v>
      </c>
      <c r="P541">
        <v>20</v>
      </c>
      <c r="Q541" t="b">
        <v>1</v>
      </c>
      <c r="R541" t="s">
        <v>8271</v>
      </c>
      <c r="S541" s="6">
        <f>Table1[[#This Row],[pledged]]/Table1[[#This Row],[goal]]</f>
        <v>1.00644</v>
      </c>
      <c r="T541" s="8">
        <f>IF(Table1[[#This Row],[pledged]]=0,"no backers",Table1[[#This Row],[pledged]]/Table1[[#This Row],[backers_count]])</f>
        <v>25.161000000000001</v>
      </c>
      <c r="U541" t="str">
        <f>LEFT(Table1[[#This Row],[Category and Sub-Category]],FIND("/",Table1[[#This Row],[Category and Sub-Category]])-1)</f>
        <v>theater</v>
      </c>
      <c r="V541" t="str">
        <f>RIGHT(Table1[[#This Row],[Category and Sub-Category]],LEN(Table1[[#This Row],[Category and Sub-Category]])-FIND("/",Table1[[#This Row],[Category and Sub-Category]]))</f>
        <v>plays</v>
      </c>
    </row>
    <row r="542" spans="1:22" ht="57.6" x14ac:dyDescent="0.3">
      <c r="A542">
        <v>540</v>
      </c>
      <c r="B542" s="3" t="s">
        <v>541</v>
      </c>
      <c r="C542" s="3" t="s">
        <v>4650</v>
      </c>
      <c r="D542" s="1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>((Table1[[#This Row],[deadline]]/60)/60/24)+DATE(1970,1,1)</f>
        <v>42039.817199074074</v>
      </c>
      <c r="K542">
        <v>1420486606</v>
      </c>
      <c r="L542" s="11">
        <f>((Table1[[#This Row],[launched_at]]/60)/60/24)+DATE(1970,1,1)</f>
        <v>42009.817199074074</v>
      </c>
      <c r="M542">
        <f>MONTH(Table1[[#This Row],[Date Created Conversion]])</f>
        <v>1</v>
      </c>
      <c r="N542">
        <f>YEAR(Table1[[#This Row],[Date Created Conversion]])</f>
        <v>2015</v>
      </c>
      <c r="O542" t="b">
        <v>0</v>
      </c>
      <c r="P542">
        <v>1</v>
      </c>
      <c r="Q542" t="b">
        <v>0</v>
      </c>
      <c r="R542" t="s">
        <v>8272</v>
      </c>
      <c r="S542" s="6">
        <f>Table1[[#This Row],[pledged]]/Table1[[#This Row],[goal]]</f>
        <v>6.666666666666667E-5</v>
      </c>
      <c r="T542" s="8">
        <f>IF(Table1[[#This Row],[pledged]]=0,"no backers",Table1[[#This Row],[pledged]]/Table1[[#This Row],[backers_count]])</f>
        <v>1</v>
      </c>
      <c r="U542" t="str">
        <f>LEFT(Table1[[#This Row],[Category and Sub-Category]],FIND("/",Table1[[#This Row],[Category and Sub-Category]])-1)</f>
        <v>technology</v>
      </c>
      <c r="V542" t="str">
        <f>RIGHT(Table1[[#This Row],[Category and Sub-Category]],LEN(Table1[[#This Row],[Category and Sub-Category]])-FIND("/",Table1[[#This Row],[Category and Sub-Category]]))</f>
        <v>web</v>
      </c>
    </row>
    <row r="543" spans="1:22" ht="43.2" x14ac:dyDescent="0.3">
      <c r="A543">
        <v>541</v>
      </c>
      <c r="B543" s="3" t="s">
        <v>542</v>
      </c>
      <c r="C543" s="3" t="s">
        <v>4651</v>
      </c>
      <c r="D543" s="12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>((Table1[[#This Row],[deadline]]/60)/60/24)+DATE(1970,1,1)</f>
        <v>42306.046689814815</v>
      </c>
      <c r="K543">
        <v>1443488834</v>
      </c>
      <c r="L543" s="11">
        <f>((Table1[[#This Row],[launched_at]]/60)/60/24)+DATE(1970,1,1)</f>
        <v>42276.046689814815</v>
      </c>
      <c r="M543">
        <f>MONTH(Table1[[#This Row],[Date Created Conversion]])</f>
        <v>9</v>
      </c>
      <c r="N543">
        <f>YEAR(Table1[[#This Row],[Date Created Conversion]])</f>
        <v>2015</v>
      </c>
      <c r="O543" t="b">
        <v>0</v>
      </c>
      <c r="P543">
        <v>1</v>
      </c>
      <c r="Q543" t="b">
        <v>0</v>
      </c>
      <c r="R543" t="s">
        <v>8272</v>
      </c>
      <c r="S543" s="6">
        <f>Table1[[#This Row],[pledged]]/Table1[[#This Row],[goal]]</f>
        <v>5.5555555555555558E-3</v>
      </c>
      <c r="T543" s="8">
        <f>IF(Table1[[#This Row],[pledged]]=0,"no backers",Table1[[#This Row],[pledged]]/Table1[[#This Row],[backers_count]])</f>
        <v>25</v>
      </c>
      <c r="U543" t="str">
        <f>LEFT(Table1[[#This Row],[Category and Sub-Category]],FIND("/",Table1[[#This Row],[Category and Sub-Category]])-1)</f>
        <v>technology</v>
      </c>
      <c r="V543" t="str">
        <f>RIGHT(Table1[[#This Row],[Category and Sub-Category]],LEN(Table1[[#This Row],[Category and Sub-Category]])-FIND("/",Table1[[#This Row],[Category and Sub-Category]]))</f>
        <v>web</v>
      </c>
    </row>
    <row r="544" spans="1:22" ht="43.2" x14ac:dyDescent="0.3">
      <c r="A544">
        <v>542</v>
      </c>
      <c r="B544" s="3" t="s">
        <v>543</v>
      </c>
      <c r="C544" s="3" t="s">
        <v>4652</v>
      </c>
      <c r="D544" s="12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>((Table1[[#This Row],[deadline]]/60)/60/24)+DATE(1970,1,1)</f>
        <v>42493.695787037039</v>
      </c>
      <c r="K544">
        <v>1457113316</v>
      </c>
      <c r="L544" s="11">
        <f>((Table1[[#This Row],[launched_at]]/60)/60/24)+DATE(1970,1,1)</f>
        <v>42433.737453703703</v>
      </c>
      <c r="M544">
        <f>MONTH(Table1[[#This Row],[Date Created Conversion]])</f>
        <v>3</v>
      </c>
      <c r="N544">
        <f>YEAR(Table1[[#This Row],[Date Created Conversion]])</f>
        <v>2016</v>
      </c>
      <c r="O544" t="b">
        <v>0</v>
      </c>
      <c r="P544">
        <v>1</v>
      </c>
      <c r="Q544" t="b">
        <v>0</v>
      </c>
      <c r="R544" t="s">
        <v>8272</v>
      </c>
      <c r="S544" s="6">
        <f>Table1[[#This Row],[pledged]]/Table1[[#This Row],[goal]]</f>
        <v>3.9999999999999998E-6</v>
      </c>
      <c r="T544" s="8">
        <f>IF(Table1[[#This Row],[pledged]]=0,"no backers",Table1[[#This Row],[pledged]]/Table1[[#This Row],[backers_count]])</f>
        <v>1</v>
      </c>
      <c r="U544" t="str">
        <f>LEFT(Table1[[#This Row],[Category and Sub-Category]],FIND("/",Table1[[#This Row],[Category and Sub-Category]])-1)</f>
        <v>technology</v>
      </c>
      <c r="V544" t="str">
        <f>RIGHT(Table1[[#This Row],[Category and Sub-Category]],LEN(Table1[[#This Row],[Category and Sub-Category]])-FIND("/",Table1[[#This Row],[Category and Sub-Category]]))</f>
        <v>web</v>
      </c>
    </row>
    <row r="545" spans="1:22" ht="43.2" x14ac:dyDescent="0.3">
      <c r="A545">
        <v>543</v>
      </c>
      <c r="B545" s="3" t="s">
        <v>544</v>
      </c>
      <c r="C545" s="3" t="s">
        <v>4653</v>
      </c>
      <c r="D545" s="12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>((Table1[[#This Row],[deadline]]/60)/60/24)+DATE(1970,1,1)</f>
        <v>41944.092152777775</v>
      </c>
      <c r="K545">
        <v>1412215962</v>
      </c>
      <c r="L545" s="11">
        <f>((Table1[[#This Row],[launched_at]]/60)/60/24)+DATE(1970,1,1)</f>
        <v>41914.092152777775</v>
      </c>
      <c r="M545">
        <f>MONTH(Table1[[#This Row],[Date Created Conversion]])</f>
        <v>10</v>
      </c>
      <c r="N545">
        <f>YEAR(Table1[[#This Row],[Date Created Conversion]])</f>
        <v>2014</v>
      </c>
      <c r="O545" t="b">
        <v>0</v>
      </c>
      <c r="P545">
        <v>2</v>
      </c>
      <c r="Q545" t="b">
        <v>0</v>
      </c>
      <c r="R545" t="s">
        <v>8272</v>
      </c>
      <c r="S545" s="6">
        <f>Table1[[#This Row],[pledged]]/Table1[[#This Row],[goal]]</f>
        <v>3.1818181818181819E-3</v>
      </c>
      <c r="T545" s="8">
        <f>IF(Table1[[#This Row],[pledged]]=0,"no backers",Table1[[#This Row],[pledged]]/Table1[[#This Row],[backers_count]])</f>
        <v>35</v>
      </c>
      <c r="U545" t="str">
        <f>LEFT(Table1[[#This Row],[Category and Sub-Category]],FIND("/",Table1[[#This Row],[Category and Sub-Category]])-1)</f>
        <v>technology</v>
      </c>
      <c r="V545" t="str">
        <f>RIGHT(Table1[[#This Row],[Category and Sub-Category]],LEN(Table1[[#This Row],[Category and Sub-Category]])-FIND("/",Table1[[#This Row],[Category and Sub-Category]]))</f>
        <v>web</v>
      </c>
    </row>
    <row r="546" spans="1:22" ht="43.2" x14ac:dyDescent="0.3">
      <c r="A546">
        <v>544</v>
      </c>
      <c r="B546" s="3" t="s">
        <v>545</v>
      </c>
      <c r="C546" s="3" t="s">
        <v>4654</v>
      </c>
      <c r="D546" s="12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>((Table1[[#This Row],[deadline]]/60)/60/24)+DATE(1970,1,1)</f>
        <v>42555.656944444447</v>
      </c>
      <c r="K546">
        <v>1465055160</v>
      </c>
      <c r="L546" s="11">
        <f>((Table1[[#This Row],[launched_at]]/60)/60/24)+DATE(1970,1,1)</f>
        <v>42525.656944444447</v>
      </c>
      <c r="M546">
        <f>MONTH(Table1[[#This Row],[Date Created Conversion]])</f>
        <v>6</v>
      </c>
      <c r="N546">
        <f>YEAR(Table1[[#This Row],[Date Created Conversion]])</f>
        <v>2016</v>
      </c>
      <c r="O546" t="b">
        <v>0</v>
      </c>
      <c r="P546">
        <v>2</v>
      </c>
      <c r="Q546" t="b">
        <v>0</v>
      </c>
      <c r="R546" t="s">
        <v>8272</v>
      </c>
      <c r="S546" s="6">
        <f>Table1[[#This Row],[pledged]]/Table1[[#This Row],[goal]]</f>
        <v>1.2E-2</v>
      </c>
      <c r="T546" s="8">
        <f>IF(Table1[[#This Row],[pledged]]=0,"no backers",Table1[[#This Row],[pledged]]/Table1[[#This Row],[backers_count]])</f>
        <v>3</v>
      </c>
      <c r="U546" t="str">
        <f>LEFT(Table1[[#This Row],[Category and Sub-Category]],FIND("/",Table1[[#This Row],[Category and Sub-Category]])-1)</f>
        <v>technology</v>
      </c>
      <c r="V546" t="str">
        <f>RIGHT(Table1[[#This Row],[Category and Sub-Category]],LEN(Table1[[#This Row],[Category and Sub-Category]])-FIND("/",Table1[[#This Row],[Category and Sub-Category]]))</f>
        <v>web</v>
      </c>
    </row>
    <row r="547" spans="1:22" ht="43.2" x14ac:dyDescent="0.3">
      <c r="A547">
        <v>545</v>
      </c>
      <c r="B547" s="3" t="s">
        <v>546</v>
      </c>
      <c r="C547" s="3" t="s">
        <v>4655</v>
      </c>
      <c r="D547" s="12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>((Table1[[#This Row],[deadline]]/60)/60/24)+DATE(1970,1,1)</f>
        <v>42323.634131944447</v>
      </c>
      <c r="K547">
        <v>1444140789</v>
      </c>
      <c r="L547" s="11">
        <f>((Table1[[#This Row],[launched_at]]/60)/60/24)+DATE(1970,1,1)</f>
        <v>42283.592465277776</v>
      </c>
      <c r="M547">
        <f>MONTH(Table1[[#This Row],[Date Created Conversion]])</f>
        <v>10</v>
      </c>
      <c r="N547">
        <f>YEAR(Table1[[#This Row],[Date Created Conversion]])</f>
        <v>2015</v>
      </c>
      <c r="O547" t="b">
        <v>0</v>
      </c>
      <c r="P547">
        <v>34</v>
      </c>
      <c r="Q547" t="b">
        <v>0</v>
      </c>
      <c r="R547" t="s">
        <v>8272</v>
      </c>
      <c r="S547" s="6">
        <f>Table1[[#This Row],[pledged]]/Table1[[#This Row],[goal]]</f>
        <v>0.27383999999999997</v>
      </c>
      <c r="T547" s="8">
        <f>IF(Table1[[#This Row],[pledged]]=0,"no backers",Table1[[#This Row],[pledged]]/Table1[[#This Row],[backers_count]])</f>
        <v>402.70588235294116</v>
      </c>
      <c r="U547" t="str">
        <f>LEFT(Table1[[#This Row],[Category and Sub-Category]],FIND("/",Table1[[#This Row],[Category and Sub-Category]])-1)</f>
        <v>technology</v>
      </c>
      <c r="V547" t="str">
        <f>RIGHT(Table1[[#This Row],[Category and Sub-Category]],LEN(Table1[[#This Row],[Category and Sub-Category]])-FIND("/",Table1[[#This Row],[Category and Sub-Category]]))</f>
        <v>web</v>
      </c>
    </row>
    <row r="548" spans="1:22" ht="43.2" x14ac:dyDescent="0.3">
      <c r="A548">
        <v>546</v>
      </c>
      <c r="B548" s="3" t="s">
        <v>547</v>
      </c>
      <c r="C548" s="3" t="s">
        <v>4656</v>
      </c>
      <c r="D548" s="12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>((Table1[[#This Row],[deadline]]/60)/60/24)+DATE(1970,1,1)</f>
        <v>42294.667997685188</v>
      </c>
      <c r="K548">
        <v>1441209715</v>
      </c>
      <c r="L548" s="11">
        <f>((Table1[[#This Row],[launched_at]]/60)/60/24)+DATE(1970,1,1)</f>
        <v>42249.667997685188</v>
      </c>
      <c r="M548">
        <f>MONTH(Table1[[#This Row],[Date Created Conversion]])</f>
        <v>9</v>
      </c>
      <c r="N548">
        <f>YEAR(Table1[[#This Row],[Date Created Conversion]])</f>
        <v>2015</v>
      </c>
      <c r="O548" t="b">
        <v>0</v>
      </c>
      <c r="P548">
        <v>2</v>
      </c>
      <c r="Q548" t="b">
        <v>0</v>
      </c>
      <c r="R548" t="s">
        <v>8272</v>
      </c>
      <c r="S548" s="6">
        <f>Table1[[#This Row],[pledged]]/Table1[[#This Row],[goal]]</f>
        <v>8.6666666666666663E-4</v>
      </c>
      <c r="T548" s="8">
        <f>IF(Table1[[#This Row],[pledged]]=0,"no backers",Table1[[#This Row],[pledged]]/Table1[[#This Row],[backers_count]])</f>
        <v>26</v>
      </c>
      <c r="U548" t="str">
        <f>LEFT(Table1[[#This Row],[Category and Sub-Category]],FIND("/",Table1[[#This Row],[Category and Sub-Category]])-1)</f>
        <v>technology</v>
      </c>
      <c r="V548" t="str">
        <f>RIGHT(Table1[[#This Row],[Category and Sub-Category]],LEN(Table1[[#This Row],[Category and Sub-Category]])-FIND("/",Table1[[#This Row],[Category and Sub-Category]]))</f>
        <v>web</v>
      </c>
    </row>
    <row r="549" spans="1:22" ht="57.6" x14ac:dyDescent="0.3">
      <c r="A549">
        <v>547</v>
      </c>
      <c r="B549" s="3" t="s">
        <v>548</v>
      </c>
      <c r="C549" s="3" t="s">
        <v>4657</v>
      </c>
      <c r="D549" s="12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>((Table1[[#This Row],[deadline]]/60)/60/24)+DATE(1970,1,1)</f>
        <v>42410.696342592593</v>
      </c>
      <c r="K549">
        <v>1452530564</v>
      </c>
      <c r="L549" s="11">
        <f>((Table1[[#This Row],[launched_at]]/60)/60/24)+DATE(1970,1,1)</f>
        <v>42380.696342592593</v>
      </c>
      <c r="M549">
        <f>MONTH(Table1[[#This Row],[Date Created Conversion]])</f>
        <v>1</v>
      </c>
      <c r="N549">
        <f>YEAR(Table1[[#This Row],[Date Created Conversion]])</f>
        <v>2016</v>
      </c>
      <c r="O549" t="b">
        <v>0</v>
      </c>
      <c r="P549">
        <v>0</v>
      </c>
      <c r="Q549" t="b">
        <v>0</v>
      </c>
      <c r="R549" t="s">
        <v>8272</v>
      </c>
      <c r="S549" s="6">
        <f>Table1[[#This Row],[pledged]]/Table1[[#This Row],[goal]]</f>
        <v>0</v>
      </c>
      <c r="T549" s="8" t="str">
        <f>IF(Table1[[#This Row],[pledged]]=0,"no backers",Table1[[#This Row],[pledged]]/Table1[[#This Row],[backers_count]])</f>
        <v>no backers</v>
      </c>
      <c r="U549" t="str">
        <f>LEFT(Table1[[#This Row],[Category and Sub-Category]],FIND("/",Table1[[#This Row],[Category and Sub-Category]])-1)</f>
        <v>technology</v>
      </c>
      <c r="V549" t="str">
        <f>RIGHT(Table1[[#This Row],[Category and Sub-Category]],LEN(Table1[[#This Row],[Category and Sub-Category]])-FIND("/",Table1[[#This Row],[Category and Sub-Category]]))</f>
        <v>web</v>
      </c>
    </row>
    <row r="550" spans="1:22" ht="43.2" x14ac:dyDescent="0.3">
      <c r="A550">
        <v>548</v>
      </c>
      <c r="B550" s="3" t="s">
        <v>549</v>
      </c>
      <c r="C550" s="3" t="s">
        <v>4658</v>
      </c>
      <c r="D550" s="12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>((Table1[[#This Row],[deadline]]/60)/60/24)+DATE(1970,1,1)</f>
        <v>42306.903333333335</v>
      </c>
      <c r="K550">
        <v>1443562848</v>
      </c>
      <c r="L550" s="11">
        <f>((Table1[[#This Row],[launched_at]]/60)/60/24)+DATE(1970,1,1)</f>
        <v>42276.903333333335</v>
      </c>
      <c r="M550">
        <f>MONTH(Table1[[#This Row],[Date Created Conversion]])</f>
        <v>9</v>
      </c>
      <c r="N550">
        <f>YEAR(Table1[[#This Row],[Date Created Conversion]])</f>
        <v>2015</v>
      </c>
      <c r="O550" t="b">
        <v>0</v>
      </c>
      <c r="P550">
        <v>1</v>
      </c>
      <c r="Q550" t="b">
        <v>0</v>
      </c>
      <c r="R550" t="s">
        <v>8272</v>
      </c>
      <c r="S550" s="6">
        <f>Table1[[#This Row],[pledged]]/Table1[[#This Row],[goal]]</f>
        <v>8.9999999999999998E-4</v>
      </c>
      <c r="T550" s="8">
        <f>IF(Table1[[#This Row],[pledged]]=0,"no backers",Table1[[#This Row],[pledged]]/Table1[[#This Row],[backers_count]])</f>
        <v>9</v>
      </c>
      <c r="U550" t="str">
        <f>LEFT(Table1[[#This Row],[Category and Sub-Category]],FIND("/",Table1[[#This Row],[Category and Sub-Category]])-1)</f>
        <v>technology</v>
      </c>
      <c r="V550" t="str">
        <f>RIGHT(Table1[[#This Row],[Category and Sub-Category]],LEN(Table1[[#This Row],[Category and Sub-Category]])-FIND("/",Table1[[#This Row],[Category and Sub-Category]]))</f>
        <v>web</v>
      </c>
    </row>
    <row r="551" spans="1:22" ht="57.6" x14ac:dyDescent="0.3">
      <c r="A551">
        <v>549</v>
      </c>
      <c r="B551" s="3" t="s">
        <v>550</v>
      </c>
      <c r="C551" s="3" t="s">
        <v>4659</v>
      </c>
      <c r="D551" s="12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>((Table1[[#This Row],[deadline]]/60)/60/24)+DATE(1970,1,1)</f>
        <v>42193.636828703704</v>
      </c>
      <c r="K551">
        <v>1433776622</v>
      </c>
      <c r="L551" s="11">
        <f>((Table1[[#This Row],[launched_at]]/60)/60/24)+DATE(1970,1,1)</f>
        <v>42163.636828703704</v>
      </c>
      <c r="M551">
        <f>MONTH(Table1[[#This Row],[Date Created Conversion]])</f>
        <v>6</v>
      </c>
      <c r="N551">
        <f>YEAR(Table1[[#This Row],[Date Created Conversion]])</f>
        <v>2015</v>
      </c>
      <c r="O551" t="b">
        <v>0</v>
      </c>
      <c r="P551">
        <v>8</v>
      </c>
      <c r="Q551" t="b">
        <v>0</v>
      </c>
      <c r="R551" t="s">
        <v>8272</v>
      </c>
      <c r="S551" s="6">
        <f>Table1[[#This Row],[pledged]]/Table1[[#This Row],[goal]]</f>
        <v>2.7199999999999998E-2</v>
      </c>
      <c r="T551" s="8">
        <f>IF(Table1[[#This Row],[pledged]]=0,"no backers",Table1[[#This Row],[pledged]]/Table1[[#This Row],[backers_count]])</f>
        <v>8.5</v>
      </c>
      <c r="U551" t="str">
        <f>LEFT(Table1[[#This Row],[Category and Sub-Category]],FIND("/",Table1[[#This Row],[Category and Sub-Category]])-1)</f>
        <v>technology</v>
      </c>
      <c r="V551" t="str">
        <f>RIGHT(Table1[[#This Row],[Category and Sub-Category]],LEN(Table1[[#This Row],[Category and Sub-Category]])-FIND("/",Table1[[#This Row],[Category and Sub-Category]]))</f>
        <v>web</v>
      </c>
    </row>
    <row r="552" spans="1:22" ht="43.2" x14ac:dyDescent="0.3">
      <c r="A552">
        <v>550</v>
      </c>
      <c r="B552" s="3" t="s">
        <v>551</v>
      </c>
      <c r="C552" s="3" t="s">
        <v>4660</v>
      </c>
      <c r="D552" s="1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>((Table1[[#This Row],[deadline]]/60)/60/24)+DATE(1970,1,1)</f>
        <v>42766.208333333328</v>
      </c>
      <c r="K552">
        <v>1484756245</v>
      </c>
      <c r="L552" s="11">
        <f>((Table1[[#This Row],[launched_at]]/60)/60/24)+DATE(1970,1,1)</f>
        <v>42753.678761574076</v>
      </c>
      <c r="M552">
        <f>MONTH(Table1[[#This Row],[Date Created Conversion]])</f>
        <v>1</v>
      </c>
      <c r="N552">
        <f>YEAR(Table1[[#This Row],[Date Created Conversion]])</f>
        <v>2017</v>
      </c>
      <c r="O552" t="b">
        <v>0</v>
      </c>
      <c r="P552">
        <v>4</v>
      </c>
      <c r="Q552" t="b">
        <v>0</v>
      </c>
      <c r="R552" t="s">
        <v>8272</v>
      </c>
      <c r="S552" s="6">
        <f>Table1[[#This Row],[pledged]]/Table1[[#This Row],[goal]]</f>
        <v>7.0000000000000001E-3</v>
      </c>
      <c r="T552" s="8">
        <f>IF(Table1[[#This Row],[pledged]]=0,"no backers",Table1[[#This Row],[pledged]]/Table1[[#This Row],[backers_count]])</f>
        <v>8.75</v>
      </c>
      <c r="U552" t="str">
        <f>LEFT(Table1[[#This Row],[Category and Sub-Category]],FIND("/",Table1[[#This Row],[Category and Sub-Category]])-1)</f>
        <v>technology</v>
      </c>
      <c r="V552" t="str">
        <f>RIGHT(Table1[[#This Row],[Category and Sub-Category]],LEN(Table1[[#This Row],[Category and Sub-Category]])-FIND("/",Table1[[#This Row],[Category and Sub-Category]]))</f>
        <v>web</v>
      </c>
    </row>
    <row r="553" spans="1:22" ht="43.2" x14ac:dyDescent="0.3">
      <c r="A553">
        <v>551</v>
      </c>
      <c r="B553" s="3" t="s">
        <v>552</v>
      </c>
      <c r="C553" s="3" t="s">
        <v>4661</v>
      </c>
      <c r="D553" s="12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>((Table1[[#This Row],[deadline]]/60)/60/24)+DATE(1970,1,1)</f>
        <v>42217.745138888888</v>
      </c>
      <c r="K553">
        <v>1434609424</v>
      </c>
      <c r="L553" s="11">
        <f>((Table1[[#This Row],[launched_at]]/60)/60/24)+DATE(1970,1,1)</f>
        <v>42173.275740740741</v>
      </c>
      <c r="M553">
        <f>MONTH(Table1[[#This Row],[Date Created Conversion]])</f>
        <v>6</v>
      </c>
      <c r="N553">
        <f>YEAR(Table1[[#This Row],[Date Created Conversion]])</f>
        <v>2015</v>
      </c>
      <c r="O553" t="b">
        <v>0</v>
      </c>
      <c r="P553">
        <v>28</v>
      </c>
      <c r="Q553" t="b">
        <v>0</v>
      </c>
      <c r="R553" t="s">
        <v>8272</v>
      </c>
      <c r="S553" s="6">
        <f>Table1[[#This Row],[pledged]]/Table1[[#This Row],[goal]]</f>
        <v>5.0413333333333331E-2</v>
      </c>
      <c r="T553" s="8">
        <f>IF(Table1[[#This Row],[pledged]]=0,"no backers",Table1[[#This Row],[pledged]]/Table1[[#This Row],[backers_count]])</f>
        <v>135.03571428571428</v>
      </c>
      <c r="U553" t="str">
        <f>LEFT(Table1[[#This Row],[Category and Sub-Category]],FIND("/",Table1[[#This Row],[Category and Sub-Category]])-1)</f>
        <v>technology</v>
      </c>
      <c r="V553" t="str">
        <f>RIGHT(Table1[[#This Row],[Category and Sub-Category]],LEN(Table1[[#This Row],[Category and Sub-Category]])-FIND("/",Table1[[#This Row],[Category and Sub-Category]]))</f>
        <v>web</v>
      </c>
    </row>
    <row r="554" spans="1:22" ht="43.2" x14ac:dyDescent="0.3">
      <c r="A554">
        <v>552</v>
      </c>
      <c r="B554" s="3" t="s">
        <v>553</v>
      </c>
      <c r="C554" s="3" t="s">
        <v>4662</v>
      </c>
      <c r="D554" s="12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>((Table1[[#This Row],[deadline]]/60)/60/24)+DATE(1970,1,1)</f>
        <v>42378.616851851853</v>
      </c>
      <c r="K554">
        <v>1447166896</v>
      </c>
      <c r="L554" s="11">
        <f>((Table1[[#This Row],[launched_at]]/60)/60/24)+DATE(1970,1,1)</f>
        <v>42318.616851851853</v>
      </c>
      <c r="M554">
        <f>MONTH(Table1[[#This Row],[Date Created Conversion]])</f>
        <v>11</v>
      </c>
      <c r="N554">
        <f>YEAR(Table1[[#This Row],[Date Created Conversion]])</f>
        <v>2015</v>
      </c>
      <c r="O554" t="b">
        <v>0</v>
      </c>
      <c r="P554">
        <v>0</v>
      </c>
      <c r="Q554" t="b">
        <v>0</v>
      </c>
      <c r="R554" t="s">
        <v>8272</v>
      </c>
      <c r="S554" s="6">
        <f>Table1[[#This Row],[pledged]]/Table1[[#This Row],[goal]]</f>
        <v>0</v>
      </c>
      <c r="T554" s="8" t="str">
        <f>IF(Table1[[#This Row],[pledged]]=0,"no backers",Table1[[#This Row],[pledged]]/Table1[[#This Row],[backers_count]])</f>
        <v>no backers</v>
      </c>
      <c r="U554" t="str">
        <f>LEFT(Table1[[#This Row],[Category and Sub-Category]],FIND("/",Table1[[#This Row],[Category and Sub-Category]])-1)</f>
        <v>technology</v>
      </c>
      <c r="V554" t="str">
        <f>RIGHT(Table1[[#This Row],[Category and Sub-Category]],LEN(Table1[[#This Row],[Category and Sub-Category]])-FIND("/",Table1[[#This Row],[Category and Sub-Category]]))</f>
        <v>web</v>
      </c>
    </row>
    <row r="555" spans="1:22" ht="43.2" x14ac:dyDescent="0.3">
      <c r="A555">
        <v>553</v>
      </c>
      <c r="B555" s="3" t="s">
        <v>554</v>
      </c>
      <c r="C555" s="3" t="s">
        <v>4663</v>
      </c>
      <c r="D555" s="12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>((Table1[[#This Row],[deadline]]/60)/60/24)+DATE(1970,1,1)</f>
        <v>41957.761469907404</v>
      </c>
      <c r="K555">
        <v>1413393391</v>
      </c>
      <c r="L555" s="11">
        <f>((Table1[[#This Row],[launched_at]]/60)/60/24)+DATE(1970,1,1)</f>
        <v>41927.71980324074</v>
      </c>
      <c r="M555">
        <f>MONTH(Table1[[#This Row],[Date Created Conversion]])</f>
        <v>10</v>
      </c>
      <c r="N555">
        <f>YEAR(Table1[[#This Row],[Date Created Conversion]])</f>
        <v>2014</v>
      </c>
      <c r="O555" t="b">
        <v>0</v>
      </c>
      <c r="P555">
        <v>6</v>
      </c>
      <c r="Q555" t="b">
        <v>0</v>
      </c>
      <c r="R555" t="s">
        <v>8272</v>
      </c>
      <c r="S555" s="6">
        <f>Table1[[#This Row],[pledged]]/Table1[[#This Row],[goal]]</f>
        <v>4.9199999999999999E-3</v>
      </c>
      <c r="T555" s="8">
        <f>IF(Table1[[#This Row],[pledged]]=0,"no backers",Table1[[#This Row],[pledged]]/Table1[[#This Row],[backers_count]])</f>
        <v>20.5</v>
      </c>
      <c r="U555" t="str">
        <f>LEFT(Table1[[#This Row],[Category and Sub-Category]],FIND("/",Table1[[#This Row],[Category and Sub-Category]])-1)</f>
        <v>technology</v>
      </c>
      <c r="V555" t="str">
        <f>RIGHT(Table1[[#This Row],[Category and Sub-Category]],LEN(Table1[[#This Row],[Category and Sub-Category]])-FIND("/",Table1[[#This Row],[Category and Sub-Category]]))</f>
        <v>web</v>
      </c>
    </row>
    <row r="556" spans="1:22" ht="43.2" x14ac:dyDescent="0.3">
      <c r="A556">
        <v>554</v>
      </c>
      <c r="B556" s="3" t="s">
        <v>555</v>
      </c>
      <c r="C556" s="3" t="s">
        <v>4664</v>
      </c>
      <c r="D556" s="12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>((Table1[[#This Row],[deadline]]/60)/60/24)+DATE(1970,1,1)</f>
        <v>41931.684861111113</v>
      </c>
      <c r="K556">
        <v>1411143972</v>
      </c>
      <c r="L556" s="11">
        <f>((Table1[[#This Row],[launched_at]]/60)/60/24)+DATE(1970,1,1)</f>
        <v>41901.684861111113</v>
      </c>
      <c r="M556">
        <f>MONTH(Table1[[#This Row],[Date Created Conversion]])</f>
        <v>9</v>
      </c>
      <c r="N556">
        <f>YEAR(Table1[[#This Row],[Date Created Conversion]])</f>
        <v>2014</v>
      </c>
      <c r="O556" t="b">
        <v>0</v>
      </c>
      <c r="P556">
        <v>22</v>
      </c>
      <c r="Q556" t="b">
        <v>0</v>
      </c>
      <c r="R556" t="s">
        <v>8272</v>
      </c>
      <c r="S556" s="6">
        <f>Table1[[#This Row],[pledged]]/Table1[[#This Row],[goal]]</f>
        <v>0.36589147286821705</v>
      </c>
      <c r="T556" s="8">
        <f>IF(Table1[[#This Row],[pledged]]=0,"no backers",Table1[[#This Row],[pledged]]/Table1[[#This Row],[backers_count]])</f>
        <v>64.36363636363636</v>
      </c>
      <c r="U556" t="str">
        <f>LEFT(Table1[[#This Row],[Category and Sub-Category]],FIND("/",Table1[[#This Row],[Category and Sub-Category]])-1)</f>
        <v>technology</v>
      </c>
      <c r="V556" t="str">
        <f>RIGHT(Table1[[#This Row],[Category and Sub-Category]],LEN(Table1[[#This Row],[Category and Sub-Category]])-FIND("/",Table1[[#This Row],[Category and Sub-Category]]))</f>
        <v>web</v>
      </c>
    </row>
    <row r="557" spans="1:22" ht="43.2" x14ac:dyDescent="0.3">
      <c r="A557">
        <v>555</v>
      </c>
      <c r="B557" s="3" t="s">
        <v>556</v>
      </c>
      <c r="C557" s="3" t="s">
        <v>4665</v>
      </c>
      <c r="D557" s="12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>((Table1[[#This Row],[deadline]]/60)/60/24)+DATE(1970,1,1)</f>
        <v>42533.353506944448</v>
      </c>
      <c r="K557">
        <v>1463128143</v>
      </c>
      <c r="L557" s="11">
        <f>((Table1[[#This Row],[launched_at]]/60)/60/24)+DATE(1970,1,1)</f>
        <v>42503.353506944448</v>
      </c>
      <c r="M557">
        <f>MONTH(Table1[[#This Row],[Date Created Conversion]])</f>
        <v>5</v>
      </c>
      <c r="N557">
        <f>YEAR(Table1[[#This Row],[Date Created Conversion]])</f>
        <v>2016</v>
      </c>
      <c r="O557" t="b">
        <v>0</v>
      </c>
      <c r="P557">
        <v>0</v>
      </c>
      <c r="Q557" t="b">
        <v>0</v>
      </c>
      <c r="R557" t="s">
        <v>8272</v>
      </c>
      <c r="S557" s="6">
        <f>Table1[[#This Row],[pledged]]/Table1[[#This Row],[goal]]</f>
        <v>0</v>
      </c>
      <c r="T557" s="8" t="str">
        <f>IF(Table1[[#This Row],[pledged]]=0,"no backers",Table1[[#This Row],[pledged]]/Table1[[#This Row],[backers_count]])</f>
        <v>no backers</v>
      </c>
      <c r="U557" t="str">
        <f>LEFT(Table1[[#This Row],[Category and Sub-Category]],FIND("/",Table1[[#This Row],[Category and Sub-Category]])-1)</f>
        <v>technology</v>
      </c>
      <c r="V557" t="str">
        <f>RIGHT(Table1[[#This Row],[Category and Sub-Category]],LEN(Table1[[#This Row],[Category and Sub-Category]])-FIND("/",Table1[[#This Row],[Category and Sub-Category]]))</f>
        <v>web</v>
      </c>
    </row>
    <row r="558" spans="1:22" ht="28.8" x14ac:dyDescent="0.3">
      <c r="A558">
        <v>556</v>
      </c>
      <c r="B558" s="3" t="s">
        <v>557</v>
      </c>
      <c r="C558" s="3" t="s">
        <v>4666</v>
      </c>
      <c r="D558" s="12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>((Table1[[#This Row],[deadline]]/60)/60/24)+DATE(1970,1,1)</f>
        <v>42375.860150462962</v>
      </c>
      <c r="K558">
        <v>1449520717</v>
      </c>
      <c r="L558" s="11">
        <f>((Table1[[#This Row],[launched_at]]/60)/60/24)+DATE(1970,1,1)</f>
        <v>42345.860150462962</v>
      </c>
      <c r="M558">
        <f>MONTH(Table1[[#This Row],[Date Created Conversion]])</f>
        <v>12</v>
      </c>
      <c r="N558">
        <f>YEAR(Table1[[#This Row],[Date Created Conversion]])</f>
        <v>2015</v>
      </c>
      <c r="O558" t="b">
        <v>0</v>
      </c>
      <c r="P558">
        <v>1</v>
      </c>
      <c r="Q558" t="b">
        <v>0</v>
      </c>
      <c r="R558" t="s">
        <v>8272</v>
      </c>
      <c r="S558" s="6">
        <f>Table1[[#This Row],[pledged]]/Table1[[#This Row],[goal]]</f>
        <v>2.5000000000000001E-2</v>
      </c>
      <c r="T558" s="8">
        <f>IF(Table1[[#This Row],[pledged]]=0,"no backers",Table1[[#This Row],[pledged]]/Table1[[#This Row],[backers_count]])</f>
        <v>200</v>
      </c>
      <c r="U558" t="str">
        <f>LEFT(Table1[[#This Row],[Category and Sub-Category]],FIND("/",Table1[[#This Row],[Category and Sub-Category]])-1)</f>
        <v>technology</v>
      </c>
      <c r="V558" t="str">
        <f>RIGHT(Table1[[#This Row],[Category and Sub-Category]],LEN(Table1[[#This Row],[Category and Sub-Category]])-FIND("/",Table1[[#This Row],[Category and Sub-Category]]))</f>
        <v>web</v>
      </c>
    </row>
    <row r="559" spans="1:22" ht="43.2" x14ac:dyDescent="0.3">
      <c r="A559">
        <v>557</v>
      </c>
      <c r="B559" s="3" t="s">
        <v>558</v>
      </c>
      <c r="C559" s="3" t="s">
        <v>4667</v>
      </c>
      <c r="D559" s="12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>((Table1[[#This Row],[deadline]]/60)/60/24)+DATE(1970,1,1)</f>
        <v>42706.983831018515</v>
      </c>
      <c r="K559">
        <v>1478126203</v>
      </c>
      <c r="L559" s="11">
        <f>((Table1[[#This Row],[launched_at]]/60)/60/24)+DATE(1970,1,1)</f>
        <v>42676.942164351851</v>
      </c>
      <c r="M559">
        <f>MONTH(Table1[[#This Row],[Date Created Conversion]])</f>
        <v>11</v>
      </c>
      <c r="N559">
        <f>YEAR(Table1[[#This Row],[Date Created Conversion]])</f>
        <v>2016</v>
      </c>
      <c r="O559" t="b">
        <v>0</v>
      </c>
      <c r="P559">
        <v>20</v>
      </c>
      <c r="Q559" t="b">
        <v>0</v>
      </c>
      <c r="R559" t="s">
        <v>8272</v>
      </c>
      <c r="S559" s="6">
        <f>Table1[[#This Row],[pledged]]/Table1[[#This Row],[goal]]</f>
        <v>9.1066666666666674E-3</v>
      </c>
      <c r="T559" s="8">
        <f>IF(Table1[[#This Row],[pledged]]=0,"no backers",Table1[[#This Row],[pledged]]/Table1[[#This Row],[backers_count]])</f>
        <v>68.3</v>
      </c>
      <c r="U559" t="str">
        <f>LEFT(Table1[[#This Row],[Category and Sub-Category]],FIND("/",Table1[[#This Row],[Category and Sub-Category]])-1)</f>
        <v>technology</v>
      </c>
      <c r="V559" t="str">
        <f>RIGHT(Table1[[#This Row],[Category and Sub-Category]],LEN(Table1[[#This Row],[Category and Sub-Category]])-FIND("/",Table1[[#This Row],[Category and Sub-Category]]))</f>
        <v>web</v>
      </c>
    </row>
    <row r="560" spans="1:22" ht="43.2" x14ac:dyDescent="0.3">
      <c r="A560">
        <v>558</v>
      </c>
      <c r="B560" s="3" t="s">
        <v>559</v>
      </c>
      <c r="C560" s="3" t="s">
        <v>4668</v>
      </c>
      <c r="D560" s="12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>((Table1[[#This Row],[deadline]]/60)/60/24)+DATE(1970,1,1)</f>
        <v>42087.841493055559</v>
      </c>
      <c r="K560">
        <v>1424639505</v>
      </c>
      <c r="L560" s="11">
        <f>((Table1[[#This Row],[launched_at]]/60)/60/24)+DATE(1970,1,1)</f>
        <v>42057.883159722223</v>
      </c>
      <c r="M560">
        <f>MONTH(Table1[[#This Row],[Date Created Conversion]])</f>
        <v>2</v>
      </c>
      <c r="N560">
        <f>YEAR(Table1[[#This Row],[Date Created Conversion]])</f>
        <v>2015</v>
      </c>
      <c r="O560" t="b">
        <v>0</v>
      </c>
      <c r="P560">
        <v>0</v>
      </c>
      <c r="Q560" t="b">
        <v>0</v>
      </c>
      <c r="R560" t="s">
        <v>8272</v>
      </c>
      <c r="S560" s="6">
        <f>Table1[[#This Row],[pledged]]/Table1[[#This Row],[goal]]</f>
        <v>0</v>
      </c>
      <c r="T560" s="8" t="str">
        <f>IF(Table1[[#This Row],[pledged]]=0,"no backers",Table1[[#This Row],[pledged]]/Table1[[#This Row],[backers_count]])</f>
        <v>no backers</v>
      </c>
      <c r="U560" t="str">
        <f>LEFT(Table1[[#This Row],[Category and Sub-Category]],FIND("/",Table1[[#This Row],[Category and Sub-Category]])-1)</f>
        <v>technology</v>
      </c>
      <c r="V560" t="str">
        <f>RIGHT(Table1[[#This Row],[Category and Sub-Category]],LEN(Table1[[#This Row],[Category and Sub-Category]])-FIND("/",Table1[[#This Row],[Category and Sub-Category]]))</f>
        <v>web</v>
      </c>
    </row>
    <row r="561" spans="1:22" ht="43.2" x14ac:dyDescent="0.3">
      <c r="A561">
        <v>559</v>
      </c>
      <c r="B561" s="3" t="s">
        <v>560</v>
      </c>
      <c r="C561" s="3" t="s">
        <v>4669</v>
      </c>
      <c r="D561" s="12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>((Table1[[#This Row],[deadline]]/60)/60/24)+DATE(1970,1,1)</f>
        <v>42351.283101851848</v>
      </c>
      <c r="K561">
        <v>1447397260</v>
      </c>
      <c r="L561" s="11">
        <f>((Table1[[#This Row],[launched_at]]/60)/60/24)+DATE(1970,1,1)</f>
        <v>42321.283101851848</v>
      </c>
      <c r="M561">
        <f>MONTH(Table1[[#This Row],[Date Created Conversion]])</f>
        <v>11</v>
      </c>
      <c r="N561">
        <f>YEAR(Table1[[#This Row],[Date Created Conversion]])</f>
        <v>2015</v>
      </c>
      <c r="O561" t="b">
        <v>0</v>
      </c>
      <c r="P561">
        <v>1</v>
      </c>
      <c r="Q561" t="b">
        <v>0</v>
      </c>
      <c r="R561" t="s">
        <v>8272</v>
      </c>
      <c r="S561" s="6">
        <f>Table1[[#This Row],[pledged]]/Table1[[#This Row],[goal]]</f>
        <v>2.0833333333333335E-4</v>
      </c>
      <c r="T561" s="8">
        <f>IF(Table1[[#This Row],[pledged]]=0,"no backers",Table1[[#This Row],[pledged]]/Table1[[#This Row],[backers_count]])</f>
        <v>50</v>
      </c>
      <c r="U561" t="str">
        <f>LEFT(Table1[[#This Row],[Category and Sub-Category]],FIND("/",Table1[[#This Row],[Category and Sub-Category]])-1)</f>
        <v>technology</v>
      </c>
      <c r="V561" t="str">
        <f>RIGHT(Table1[[#This Row],[Category and Sub-Category]],LEN(Table1[[#This Row],[Category and Sub-Category]])-FIND("/",Table1[[#This Row],[Category and Sub-Category]]))</f>
        <v>web</v>
      </c>
    </row>
    <row r="562" spans="1:22" ht="43.2" x14ac:dyDescent="0.3">
      <c r="A562">
        <v>560</v>
      </c>
      <c r="B562" s="3" t="s">
        <v>561</v>
      </c>
      <c r="C562" s="3" t="s">
        <v>4670</v>
      </c>
      <c r="D562" s="1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>((Table1[[#This Row],[deadline]]/60)/60/24)+DATE(1970,1,1)</f>
        <v>41990.771354166667</v>
      </c>
      <c r="K562">
        <v>1416249045</v>
      </c>
      <c r="L562" s="11">
        <f>((Table1[[#This Row],[launched_at]]/60)/60/24)+DATE(1970,1,1)</f>
        <v>41960.771354166667</v>
      </c>
      <c r="M562">
        <f>MONTH(Table1[[#This Row],[Date Created Conversion]])</f>
        <v>11</v>
      </c>
      <c r="N562">
        <f>YEAR(Table1[[#This Row],[Date Created Conversion]])</f>
        <v>2014</v>
      </c>
      <c r="O562" t="b">
        <v>0</v>
      </c>
      <c r="P562">
        <v>3</v>
      </c>
      <c r="Q562" t="b">
        <v>0</v>
      </c>
      <c r="R562" t="s">
        <v>8272</v>
      </c>
      <c r="S562" s="6">
        <f>Table1[[#This Row],[pledged]]/Table1[[#This Row],[goal]]</f>
        <v>1.2E-4</v>
      </c>
      <c r="T562" s="8">
        <f>IF(Table1[[#This Row],[pledged]]=0,"no backers",Table1[[#This Row],[pledged]]/Table1[[#This Row],[backers_count]])</f>
        <v>4</v>
      </c>
      <c r="U562" t="str">
        <f>LEFT(Table1[[#This Row],[Category and Sub-Category]],FIND("/",Table1[[#This Row],[Category and Sub-Category]])-1)</f>
        <v>technology</v>
      </c>
      <c r="V562" t="str">
        <f>RIGHT(Table1[[#This Row],[Category and Sub-Category]],LEN(Table1[[#This Row],[Category and Sub-Category]])-FIND("/",Table1[[#This Row],[Category and Sub-Category]]))</f>
        <v>web</v>
      </c>
    </row>
    <row r="563" spans="1:22" ht="43.2" x14ac:dyDescent="0.3">
      <c r="A563">
        <v>561</v>
      </c>
      <c r="B563" s="3" t="s">
        <v>562</v>
      </c>
      <c r="C563" s="3" t="s">
        <v>4671</v>
      </c>
      <c r="D563" s="12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>((Table1[[#This Row],[deadline]]/60)/60/24)+DATE(1970,1,1)</f>
        <v>42303.658715277779</v>
      </c>
      <c r="K563">
        <v>1442850513</v>
      </c>
      <c r="L563" s="11">
        <f>((Table1[[#This Row],[launched_at]]/60)/60/24)+DATE(1970,1,1)</f>
        <v>42268.658715277779</v>
      </c>
      <c r="M563">
        <f>MONTH(Table1[[#This Row],[Date Created Conversion]])</f>
        <v>9</v>
      </c>
      <c r="N563">
        <f>YEAR(Table1[[#This Row],[Date Created Conversion]])</f>
        <v>2015</v>
      </c>
      <c r="O563" t="b">
        <v>0</v>
      </c>
      <c r="P563">
        <v>2</v>
      </c>
      <c r="Q563" t="b">
        <v>0</v>
      </c>
      <c r="R563" t="s">
        <v>8272</v>
      </c>
      <c r="S563" s="6">
        <f>Table1[[#This Row],[pledged]]/Table1[[#This Row],[goal]]</f>
        <v>3.6666666666666666E-3</v>
      </c>
      <c r="T563" s="8">
        <f>IF(Table1[[#This Row],[pledged]]=0,"no backers",Table1[[#This Row],[pledged]]/Table1[[#This Row],[backers_count]])</f>
        <v>27.5</v>
      </c>
      <c r="U563" t="str">
        <f>LEFT(Table1[[#This Row],[Category and Sub-Category]],FIND("/",Table1[[#This Row],[Category and Sub-Category]])-1)</f>
        <v>technology</v>
      </c>
      <c r="V563" t="str">
        <f>RIGHT(Table1[[#This Row],[Category and Sub-Category]],LEN(Table1[[#This Row],[Category and Sub-Category]])-FIND("/",Table1[[#This Row],[Category and Sub-Category]]))</f>
        <v>web</v>
      </c>
    </row>
    <row r="564" spans="1:22" ht="43.2" x14ac:dyDescent="0.3">
      <c r="A564">
        <v>562</v>
      </c>
      <c r="B564" s="3" t="s">
        <v>563</v>
      </c>
      <c r="C564" s="3" t="s">
        <v>4672</v>
      </c>
      <c r="D564" s="12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>((Table1[[#This Row],[deadline]]/60)/60/24)+DATE(1970,1,1)</f>
        <v>42722.389062500006</v>
      </c>
      <c r="K564">
        <v>1479460815</v>
      </c>
      <c r="L564" s="11">
        <f>((Table1[[#This Row],[launched_at]]/60)/60/24)+DATE(1970,1,1)</f>
        <v>42692.389062500006</v>
      </c>
      <c r="M564">
        <f>MONTH(Table1[[#This Row],[Date Created Conversion]])</f>
        <v>11</v>
      </c>
      <c r="N564">
        <f>YEAR(Table1[[#This Row],[Date Created Conversion]])</f>
        <v>2016</v>
      </c>
      <c r="O564" t="b">
        <v>0</v>
      </c>
      <c r="P564">
        <v>0</v>
      </c>
      <c r="Q564" t="b">
        <v>0</v>
      </c>
      <c r="R564" t="s">
        <v>8272</v>
      </c>
      <c r="S564" s="6">
        <f>Table1[[#This Row],[pledged]]/Table1[[#This Row],[goal]]</f>
        <v>0</v>
      </c>
      <c r="T564" s="8" t="str">
        <f>IF(Table1[[#This Row],[pledged]]=0,"no backers",Table1[[#This Row],[pledged]]/Table1[[#This Row],[backers_count]])</f>
        <v>no backers</v>
      </c>
      <c r="U564" t="str">
        <f>LEFT(Table1[[#This Row],[Category and Sub-Category]],FIND("/",Table1[[#This Row],[Category and Sub-Category]])-1)</f>
        <v>technology</v>
      </c>
      <c r="V564" t="str">
        <f>RIGHT(Table1[[#This Row],[Category and Sub-Category]],LEN(Table1[[#This Row],[Category and Sub-Category]])-FIND("/",Table1[[#This Row],[Category and Sub-Category]]))</f>
        <v>web</v>
      </c>
    </row>
    <row r="565" spans="1:22" ht="43.2" x14ac:dyDescent="0.3">
      <c r="A565">
        <v>563</v>
      </c>
      <c r="B565" s="3" t="s">
        <v>564</v>
      </c>
      <c r="C565" s="3" t="s">
        <v>4673</v>
      </c>
      <c r="D565" s="12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>((Table1[[#This Row],[deadline]]/60)/60/24)+DATE(1970,1,1)</f>
        <v>42052.069988425923</v>
      </c>
      <c r="K565">
        <v>1421545247</v>
      </c>
      <c r="L565" s="11">
        <f>((Table1[[#This Row],[launched_at]]/60)/60/24)+DATE(1970,1,1)</f>
        <v>42022.069988425923</v>
      </c>
      <c r="M565">
        <f>MONTH(Table1[[#This Row],[Date Created Conversion]])</f>
        <v>1</v>
      </c>
      <c r="N565">
        <f>YEAR(Table1[[#This Row],[Date Created Conversion]])</f>
        <v>2015</v>
      </c>
      <c r="O565" t="b">
        <v>0</v>
      </c>
      <c r="P565">
        <v>2</v>
      </c>
      <c r="Q565" t="b">
        <v>0</v>
      </c>
      <c r="R565" t="s">
        <v>8272</v>
      </c>
      <c r="S565" s="6">
        <f>Table1[[#This Row],[pledged]]/Table1[[#This Row],[goal]]</f>
        <v>9.0666666666666662E-4</v>
      </c>
      <c r="T565" s="8">
        <f>IF(Table1[[#This Row],[pledged]]=0,"no backers",Table1[[#This Row],[pledged]]/Table1[[#This Row],[backers_count]])</f>
        <v>34</v>
      </c>
      <c r="U565" t="str">
        <f>LEFT(Table1[[#This Row],[Category and Sub-Category]],FIND("/",Table1[[#This Row],[Category and Sub-Category]])-1)</f>
        <v>technology</v>
      </c>
      <c r="V565" t="str">
        <f>RIGHT(Table1[[#This Row],[Category and Sub-Category]],LEN(Table1[[#This Row],[Category and Sub-Category]])-FIND("/",Table1[[#This Row],[Category and Sub-Category]]))</f>
        <v>web</v>
      </c>
    </row>
    <row r="566" spans="1:22" ht="57.6" x14ac:dyDescent="0.3">
      <c r="A566">
        <v>564</v>
      </c>
      <c r="B566" s="3" t="s">
        <v>565</v>
      </c>
      <c r="C566" s="3" t="s">
        <v>4674</v>
      </c>
      <c r="D566" s="12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>((Table1[[#This Row],[deadline]]/60)/60/24)+DATE(1970,1,1)</f>
        <v>42441.942997685182</v>
      </c>
      <c r="K566">
        <v>1455230275</v>
      </c>
      <c r="L566" s="11">
        <f>((Table1[[#This Row],[launched_at]]/60)/60/24)+DATE(1970,1,1)</f>
        <v>42411.942997685182</v>
      </c>
      <c r="M566">
        <f>MONTH(Table1[[#This Row],[Date Created Conversion]])</f>
        <v>2</v>
      </c>
      <c r="N566">
        <f>YEAR(Table1[[#This Row],[Date Created Conversion]])</f>
        <v>2016</v>
      </c>
      <c r="O566" t="b">
        <v>0</v>
      </c>
      <c r="P566">
        <v>1</v>
      </c>
      <c r="Q566" t="b">
        <v>0</v>
      </c>
      <c r="R566" t="s">
        <v>8272</v>
      </c>
      <c r="S566" s="6">
        <f>Table1[[#This Row],[pledged]]/Table1[[#This Row],[goal]]</f>
        <v>5.5555555555555558E-5</v>
      </c>
      <c r="T566" s="8">
        <f>IF(Table1[[#This Row],[pledged]]=0,"no backers",Table1[[#This Row],[pledged]]/Table1[[#This Row],[backers_count]])</f>
        <v>1</v>
      </c>
      <c r="U566" t="str">
        <f>LEFT(Table1[[#This Row],[Category and Sub-Category]],FIND("/",Table1[[#This Row],[Category and Sub-Category]])-1)</f>
        <v>technology</v>
      </c>
      <c r="V566" t="str">
        <f>RIGHT(Table1[[#This Row],[Category and Sub-Category]],LEN(Table1[[#This Row],[Category and Sub-Category]])-FIND("/",Table1[[#This Row],[Category and Sub-Category]]))</f>
        <v>web</v>
      </c>
    </row>
    <row r="567" spans="1:22" ht="43.2" x14ac:dyDescent="0.3">
      <c r="A567">
        <v>565</v>
      </c>
      <c r="B567" s="3" t="s">
        <v>566</v>
      </c>
      <c r="C567" s="3" t="s">
        <v>4675</v>
      </c>
      <c r="D567" s="12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>((Table1[[#This Row],[deadline]]/60)/60/24)+DATE(1970,1,1)</f>
        <v>42195.785289351858</v>
      </c>
      <c r="K567">
        <v>1433962249</v>
      </c>
      <c r="L567" s="11">
        <f>((Table1[[#This Row],[launched_at]]/60)/60/24)+DATE(1970,1,1)</f>
        <v>42165.785289351858</v>
      </c>
      <c r="M567">
        <f>MONTH(Table1[[#This Row],[Date Created Conversion]])</f>
        <v>6</v>
      </c>
      <c r="N567">
        <f>YEAR(Table1[[#This Row],[Date Created Conversion]])</f>
        <v>2015</v>
      </c>
      <c r="O567" t="b">
        <v>0</v>
      </c>
      <c r="P567">
        <v>0</v>
      </c>
      <c r="Q567" t="b">
        <v>0</v>
      </c>
      <c r="R567" t="s">
        <v>8272</v>
      </c>
      <c r="S567" s="6">
        <f>Table1[[#This Row],[pledged]]/Table1[[#This Row],[goal]]</f>
        <v>0</v>
      </c>
      <c r="T567" s="8" t="str">
        <f>IF(Table1[[#This Row],[pledged]]=0,"no backers",Table1[[#This Row],[pledged]]/Table1[[#This Row],[backers_count]])</f>
        <v>no backers</v>
      </c>
      <c r="U567" t="str">
        <f>LEFT(Table1[[#This Row],[Category and Sub-Category]],FIND("/",Table1[[#This Row],[Category and Sub-Category]])-1)</f>
        <v>technology</v>
      </c>
      <c r="V567" t="str">
        <f>RIGHT(Table1[[#This Row],[Category and Sub-Category]],LEN(Table1[[#This Row],[Category and Sub-Category]])-FIND("/",Table1[[#This Row],[Category and Sub-Category]]))</f>
        <v>web</v>
      </c>
    </row>
    <row r="568" spans="1:22" ht="43.2" x14ac:dyDescent="0.3">
      <c r="A568">
        <v>566</v>
      </c>
      <c r="B568" s="3" t="s">
        <v>567</v>
      </c>
      <c r="C568" s="3" t="s">
        <v>4676</v>
      </c>
      <c r="D568" s="12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>((Table1[[#This Row],[deadline]]/60)/60/24)+DATE(1970,1,1)</f>
        <v>42565.68440972222</v>
      </c>
      <c r="K568">
        <v>1465921533</v>
      </c>
      <c r="L568" s="11">
        <f>((Table1[[#This Row],[launched_at]]/60)/60/24)+DATE(1970,1,1)</f>
        <v>42535.68440972222</v>
      </c>
      <c r="M568">
        <f>MONTH(Table1[[#This Row],[Date Created Conversion]])</f>
        <v>6</v>
      </c>
      <c r="N568">
        <f>YEAR(Table1[[#This Row],[Date Created Conversion]])</f>
        <v>2016</v>
      </c>
      <c r="O568" t="b">
        <v>0</v>
      </c>
      <c r="P568">
        <v>1</v>
      </c>
      <c r="Q568" t="b">
        <v>0</v>
      </c>
      <c r="R568" t="s">
        <v>8272</v>
      </c>
      <c r="S568" s="6">
        <f>Table1[[#This Row],[pledged]]/Table1[[#This Row],[goal]]</f>
        <v>2.0000000000000001E-4</v>
      </c>
      <c r="T568" s="8">
        <f>IF(Table1[[#This Row],[pledged]]=0,"no backers",Table1[[#This Row],[pledged]]/Table1[[#This Row],[backers_count]])</f>
        <v>1</v>
      </c>
      <c r="U568" t="str">
        <f>LEFT(Table1[[#This Row],[Category and Sub-Category]],FIND("/",Table1[[#This Row],[Category and Sub-Category]])-1)</f>
        <v>technology</v>
      </c>
      <c r="V568" t="str">
        <f>RIGHT(Table1[[#This Row],[Category and Sub-Category]],LEN(Table1[[#This Row],[Category and Sub-Category]])-FIND("/",Table1[[#This Row],[Category and Sub-Category]]))</f>
        <v>web</v>
      </c>
    </row>
    <row r="569" spans="1:22" ht="43.2" x14ac:dyDescent="0.3">
      <c r="A569">
        <v>567</v>
      </c>
      <c r="B569" s="3" t="s">
        <v>568</v>
      </c>
      <c r="C569" s="3" t="s">
        <v>4677</v>
      </c>
      <c r="D569" s="12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>((Table1[[#This Row],[deadline]]/60)/60/24)+DATE(1970,1,1)</f>
        <v>42005.842523148152</v>
      </c>
      <c r="K569">
        <v>1417551194</v>
      </c>
      <c r="L569" s="11">
        <f>((Table1[[#This Row],[launched_at]]/60)/60/24)+DATE(1970,1,1)</f>
        <v>41975.842523148152</v>
      </c>
      <c r="M569">
        <f>MONTH(Table1[[#This Row],[Date Created Conversion]])</f>
        <v>12</v>
      </c>
      <c r="N569">
        <f>YEAR(Table1[[#This Row],[Date Created Conversion]])</f>
        <v>2014</v>
      </c>
      <c r="O569" t="b">
        <v>0</v>
      </c>
      <c r="P569">
        <v>0</v>
      </c>
      <c r="Q569" t="b">
        <v>0</v>
      </c>
      <c r="R569" t="s">
        <v>8272</v>
      </c>
      <c r="S569" s="6">
        <f>Table1[[#This Row],[pledged]]/Table1[[#This Row],[goal]]</f>
        <v>0</v>
      </c>
      <c r="T569" s="8" t="str">
        <f>IF(Table1[[#This Row],[pledged]]=0,"no backers",Table1[[#This Row],[pledged]]/Table1[[#This Row],[backers_count]])</f>
        <v>no backers</v>
      </c>
      <c r="U569" t="str">
        <f>LEFT(Table1[[#This Row],[Category and Sub-Category]],FIND("/",Table1[[#This Row],[Category and Sub-Category]])-1)</f>
        <v>technology</v>
      </c>
      <c r="V569" t="str">
        <f>RIGHT(Table1[[#This Row],[Category and Sub-Category]],LEN(Table1[[#This Row],[Category and Sub-Category]])-FIND("/",Table1[[#This Row],[Category and Sub-Category]]))</f>
        <v>web</v>
      </c>
    </row>
    <row r="570" spans="1:22" ht="57.6" x14ac:dyDescent="0.3">
      <c r="A570">
        <v>568</v>
      </c>
      <c r="B570" s="3" t="s">
        <v>569</v>
      </c>
      <c r="C570" s="3" t="s">
        <v>4678</v>
      </c>
      <c r="D570" s="12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>((Table1[[#This Row],[deadline]]/60)/60/24)+DATE(1970,1,1)</f>
        <v>42385.458333333328</v>
      </c>
      <c r="K570">
        <v>1449785223</v>
      </c>
      <c r="L570" s="11">
        <f>((Table1[[#This Row],[launched_at]]/60)/60/24)+DATE(1970,1,1)</f>
        <v>42348.9215625</v>
      </c>
      <c r="M570">
        <f>MONTH(Table1[[#This Row],[Date Created Conversion]])</f>
        <v>12</v>
      </c>
      <c r="N570">
        <f>YEAR(Table1[[#This Row],[Date Created Conversion]])</f>
        <v>2015</v>
      </c>
      <c r="O570" t="b">
        <v>0</v>
      </c>
      <c r="P570">
        <v>5</v>
      </c>
      <c r="Q570" t="b">
        <v>0</v>
      </c>
      <c r="R570" t="s">
        <v>8272</v>
      </c>
      <c r="S570" s="6">
        <f>Table1[[#This Row],[pledged]]/Table1[[#This Row],[goal]]</f>
        <v>0.01</v>
      </c>
      <c r="T570" s="8">
        <f>IF(Table1[[#This Row],[pledged]]=0,"no backers",Table1[[#This Row],[pledged]]/Table1[[#This Row],[backers_count]])</f>
        <v>49</v>
      </c>
      <c r="U570" t="str">
        <f>LEFT(Table1[[#This Row],[Category and Sub-Category]],FIND("/",Table1[[#This Row],[Category and Sub-Category]])-1)</f>
        <v>technology</v>
      </c>
      <c r="V570" t="str">
        <f>RIGHT(Table1[[#This Row],[Category and Sub-Category]],LEN(Table1[[#This Row],[Category and Sub-Category]])-FIND("/",Table1[[#This Row],[Category and Sub-Category]]))</f>
        <v>web</v>
      </c>
    </row>
    <row r="571" spans="1:22" ht="43.2" x14ac:dyDescent="0.3">
      <c r="A571">
        <v>569</v>
      </c>
      <c r="B571" s="3" t="s">
        <v>570</v>
      </c>
      <c r="C571" s="3" t="s">
        <v>4679</v>
      </c>
      <c r="D571" s="12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>((Table1[[#This Row],[deadline]]/60)/60/24)+DATE(1970,1,1)</f>
        <v>42370.847361111111</v>
      </c>
      <c r="K571">
        <v>1449087612</v>
      </c>
      <c r="L571" s="11">
        <f>((Table1[[#This Row],[launched_at]]/60)/60/24)+DATE(1970,1,1)</f>
        <v>42340.847361111111</v>
      </c>
      <c r="M571">
        <f>MONTH(Table1[[#This Row],[Date Created Conversion]])</f>
        <v>12</v>
      </c>
      <c r="N571">
        <f>YEAR(Table1[[#This Row],[Date Created Conversion]])</f>
        <v>2015</v>
      </c>
      <c r="O571" t="b">
        <v>0</v>
      </c>
      <c r="P571">
        <v>1</v>
      </c>
      <c r="Q571" t="b">
        <v>0</v>
      </c>
      <c r="R571" t="s">
        <v>8272</v>
      </c>
      <c r="S571" s="6">
        <f>Table1[[#This Row],[pledged]]/Table1[[#This Row],[goal]]</f>
        <v>8.0000000000000002E-3</v>
      </c>
      <c r="T571" s="8">
        <f>IF(Table1[[#This Row],[pledged]]=0,"no backers",Table1[[#This Row],[pledged]]/Table1[[#This Row],[backers_count]])</f>
        <v>20</v>
      </c>
      <c r="U571" t="str">
        <f>LEFT(Table1[[#This Row],[Category and Sub-Category]],FIND("/",Table1[[#This Row],[Category and Sub-Category]])-1)</f>
        <v>technology</v>
      </c>
      <c r="V571" t="str">
        <f>RIGHT(Table1[[#This Row],[Category and Sub-Category]],LEN(Table1[[#This Row],[Category and Sub-Category]])-FIND("/",Table1[[#This Row],[Category and Sub-Category]]))</f>
        <v>web</v>
      </c>
    </row>
    <row r="572" spans="1:22" ht="28.8" x14ac:dyDescent="0.3">
      <c r="A572">
        <v>570</v>
      </c>
      <c r="B572" s="3" t="s">
        <v>571</v>
      </c>
      <c r="C572" s="3" t="s">
        <v>4680</v>
      </c>
      <c r="D572" s="1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>((Table1[[#This Row],[deadline]]/60)/60/24)+DATE(1970,1,1)</f>
        <v>42418.798252314817</v>
      </c>
      <c r="K572">
        <v>1453230569</v>
      </c>
      <c r="L572" s="11">
        <f>((Table1[[#This Row],[launched_at]]/60)/60/24)+DATE(1970,1,1)</f>
        <v>42388.798252314817</v>
      </c>
      <c r="M572">
        <f>MONTH(Table1[[#This Row],[Date Created Conversion]])</f>
        <v>1</v>
      </c>
      <c r="N572">
        <f>YEAR(Table1[[#This Row],[Date Created Conversion]])</f>
        <v>2016</v>
      </c>
      <c r="O572" t="b">
        <v>0</v>
      </c>
      <c r="P572">
        <v>1</v>
      </c>
      <c r="Q572" t="b">
        <v>0</v>
      </c>
      <c r="R572" t="s">
        <v>8272</v>
      </c>
      <c r="S572" s="6">
        <f>Table1[[#This Row],[pledged]]/Table1[[#This Row],[goal]]</f>
        <v>1.6705882352941177E-3</v>
      </c>
      <c r="T572" s="8">
        <f>IF(Table1[[#This Row],[pledged]]=0,"no backers",Table1[[#This Row],[pledged]]/Table1[[#This Row],[backers_count]])</f>
        <v>142</v>
      </c>
      <c r="U572" t="str">
        <f>LEFT(Table1[[#This Row],[Category and Sub-Category]],FIND("/",Table1[[#This Row],[Category and Sub-Category]])-1)</f>
        <v>technology</v>
      </c>
      <c r="V572" t="str">
        <f>RIGHT(Table1[[#This Row],[Category and Sub-Category]],LEN(Table1[[#This Row],[Category and Sub-Category]])-FIND("/",Table1[[#This Row],[Category and Sub-Category]]))</f>
        <v>web</v>
      </c>
    </row>
    <row r="573" spans="1:22" ht="43.2" x14ac:dyDescent="0.3">
      <c r="A573">
        <v>571</v>
      </c>
      <c r="B573" s="3" t="s">
        <v>572</v>
      </c>
      <c r="C573" s="3" t="s">
        <v>4681</v>
      </c>
      <c r="D573" s="12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>((Table1[[#This Row],[deadline]]/60)/60/24)+DATE(1970,1,1)</f>
        <v>42212.165972222225</v>
      </c>
      <c r="K573">
        <v>1436297723</v>
      </c>
      <c r="L573" s="11">
        <f>((Table1[[#This Row],[launched_at]]/60)/60/24)+DATE(1970,1,1)</f>
        <v>42192.816238425927</v>
      </c>
      <c r="M573">
        <f>MONTH(Table1[[#This Row],[Date Created Conversion]])</f>
        <v>7</v>
      </c>
      <c r="N573">
        <f>YEAR(Table1[[#This Row],[Date Created Conversion]])</f>
        <v>2015</v>
      </c>
      <c r="O573" t="b">
        <v>0</v>
      </c>
      <c r="P573">
        <v>2</v>
      </c>
      <c r="Q573" t="b">
        <v>0</v>
      </c>
      <c r="R573" t="s">
        <v>8272</v>
      </c>
      <c r="S573" s="6">
        <f>Table1[[#This Row],[pledged]]/Table1[[#This Row],[goal]]</f>
        <v>4.2399999999999998E-3</v>
      </c>
      <c r="T573" s="8">
        <f>IF(Table1[[#This Row],[pledged]]=0,"no backers",Table1[[#This Row],[pledged]]/Table1[[#This Row],[backers_count]])</f>
        <v>53</v>
      </c>
      <c r="U573" t="str">
        <f>LEFT(Table1[[#This Row],[Category and Sub-Category]],FIND("/",Table1[[#This Row],[Category and Sub-Category]])-1)</f>
        <v>technology</v>
      </c>
      <c r="V573" t="str">
        <f>RIGHT(Table1[[#This Row],[Category and Sub-Category]],LEN(Table1[[#This Row],[Category and Sub-Category]])-FIND("/",Table1[[#This Row],[Category and Sub-Category]]))</f>
        <v>web</v>
      </c>
    </row>
    <row r="574" spans="1:22" ht="43.2" x14ac:dyDescent="0.3">
      <c r="A574">
        <v>572</v>
      </c>
      <c r="B574" s="3" t="s">
        <v>573</v>
      </c>
      <c r="C574" s="3" t="s">
        <v>4682</v>
      </c>
      <c r="D574" s="12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>((Table1[[#This Row],[deadline]]/60)/60/24)+DATE(1970,1,1)</f>
        <v>42312.757962962962</v>
      </c>
      <c r="K574">
        <v>1444065088</v>
      </c>
      <c r="L574" s="11">
        <f>((Table1[[#This Row],[launched_at]]/60)/60/24)+DATE(1970,1,1)</f>
        <v>42282.71629629629</v>
      </c>
      <c r="M574">
        <f>MONTH(Table1[[#This Row],[Date Created Conversion]])</f>
        <v>10</v>
      </c>
      <c r="N574">
        <f>YEAR(Table1[[#This Row],[Date Created Conversion]])</f>
        <v>2015</v>
      </c>
      <c r="O574" t="b">
        <v>0</v>
      </c>
      <c r="P574">
        <v>0</v>
      </c>
      <c r="Q574" t="b">
        <v>0</v>
      </c>
      <c r="R574" t="s">
        <v>8272</v>
      </c>
      <c r="S574" s="6">
        <f>Table1[[#This Row],[pledged]]/Table1[[#This Row],[goal]]</f>
        <v>0</v>
      </c>
      <c r="T574" s="8" t="str">
        <f>IF(Table1[[#This Row],[pledged]]=0,"no backers",Table1[[#This Row],[pledged]]/Table1[[#This Row],[backers_count]])</f>
        <v>no backers</v>
      </c>
      <c r="U574" t="str">
        <f>LEFT(Table1[[#This Row],[Category and Sub-Category]],FIND("/",Table1[[#This Row],[Category and Sub-Category]])-1)</f>
        <v>technology</v>
      </c>
      <c r="V574" t="str">
        <f>RIGHT(Table1[[#This Row],[Category and Sub-Category]],LEN(Table1[[#This Row],[Category and Sub-Category]])-FIND("/",Table1[[#This Row],[Category and Sub-Category]]))</f>
        <v>web</v>
      </c>
    </row>
    <row r="575" spans="1:22" ht="57.6" x14ac:dyDescent="0.3">
      <c r="A575">
        <v>573</v>
      </c>
      <c r="B575" s="3" t="s">
        <v>574</v>
      </c>
      <c r="C575" s="3" t="s">
        <v>4683</v>
      </c>
      <c r="D575" s="12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>((Table1[[#This Row],[deadline]]/60)/60/24)+DATE(1970,1,1)</f>
        <v>42022.05</v>
      </c>
      <c r="K575">
        <v>1416445931</v>
      </c>
      <c r="L575" s="11">
        <f>((Table1[[#This Row],[launched_at]]/60)/60/24)+DATE(1970,1,1)</f>
        <v>41963.050127314811</v>
      </c>
      <c r="M575">
        <f>MONTH(Table1[[#This Row],[Date Created Conversion]])</f>
        <v>11</v>
      </c>
      <c r="N575">
        <f>YEAR(Table1[[#This Row],[Date Created Conversion]])</f>
        <v>2014</v>
      </c>
      <c r="O575" t="b">
        <v>0</v>
      </c>
      <c r="P575">
        <v>9</v>
      </c>
      <c r="Q575" t="b">
        <v>0</v>
      </c>
      <c r="R575" t="s">
        <v>8272</v>
      </c>
      <c r="S575" s="6">
        <f>Table1[[#This Row],[pledged]]/Table1[[#This Row],[goal]]</f>
        <v>3.892538925389254E-3</v>
      </c>
      <c r="T575" s="8">
        <f>IF(Table1[[#This Row],[pledged]]=0,"no backers",Table1[[#This Row],[pledged]]/Table1[[#This Row],[backers_count]])</f>
        <v>38.444444444444443</v>
      </c>
      <c r="U575" t="str">
        <f>LEFT(Table1[[#This Row],[Category and Sub-Category]],FIND("/",Table1[[#This Row],[Category and Sub-Category]])-1)</f>
        <v>technology</v>
      </c>
      <c r="V575" t="str">
        <f>RIGHT(Table1[[#This Row],[Category and Sub-Category]],LEN(Table1[[#This Row],[Category and Sub-Category]])-FIND("/",Table1[[#This Row],[Category and Sub-Category]]))</f>
        <v>web</v>
      </c>
    </row>
    <row r="576" spans="1:22" ht="43.2" x14ac:dyDescent="0.3">
      <c r="A576">
        <v>574</v>
      </c>
      <c r="B576" s="3" t="s">
        <v>575</v>
      </c>
      <c r="C576" s="3" t="s">
        <v>4684</v>
      </c>
      <c r="D576" s="12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>((Table1[[#This Row],[deadline]]/60)/60/24)+DATE(1970,1,1)</f>
        <v>42662.443368055552</v>
      </c>
      <c r="K576">
        <v>1474281507</v>
      </c>
      <c r="L576" s="11">
        <f>((Table1[[#This Row],[launched_at]]/60)/60/24)+DATE(1970,1,1)</f>
        <v>42632.443368055552</v>
      </c>
      <c r="M576">
        <f>MONTH(Table1[[#This Row],[Date Created Conversion]])</f>
        <v>9</v>
      </c>
      <c r="N576">
        <f>YEAR(Table1[[#This Row],[Date Created Conversion]])</f>
        <v>2016</v>
      </c>
      <c r="O576" t="b">
        <v>0</v>
      </c>
      <c r="P576">
        <v>4</v>
      </c>
      <c r="Q576" t="b">
        <v>0</v>
      </c>
      <c r="R576" t="s">
        <v>8272</v>
      </c>
      <c r="S576" s="6">
        <f>Table1[[#This Row],[pledged]]/Table1[[#This Row],[goal]]</f>
        <v>7.1556350626118068E-3</v>
      </c>
      <c r="T576" s="8">
        <f>IF(Table1[[#This Row],[pledged]]=0,"no backers",Table1[[#This Row],[pledged]]/Table1[[#This Row],[backers_count]])</f>
        <v>20</v>
      </c>
      <c r="U576" t="str">
        <f>LEFT(Table1[[#This Row],[Category and Sub-Category]],FIND("/",Table1[[#This Row],[Category and Sub-Category]])-1)</f>
        <v>technology</v>
      </c>
      <c r="V576" t="str">
        <f>RIGHT(Table1[[#This Row],[Category and Sub-Category]],LEN(Table1[[#This Row],[Category and Sub-Category]])-FIND("/",Table1[[#This Row],[Category and Sub-Category]]))</f>
        <v>web</v>
      </c>
    </row>
    <row r="577" spans="1:22" ht="57.6" x14ac:dyDescent="0.3">
      <c r="A577">
        <v>575</v>
      </c>
      <c r="B577" s="3" t="s">
        <v>576</v>
      </c>
      <c r="C577" s="3" t="s">
        <v>4685</v>
      </c>
      <c r="D577" s="12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>((Table1[[#This Row],[deadline]]/60)/60/24)+DATE(1970,1,1)</f>
        <v>42168.692627314813</v>
      </c>
      <c r="K577">
        <v>1431621443</v>
      </c>
      <c r="L577" s="11">
        <f>((Table1[[#This Row],[launched_at]]/60)/60/24)+DATE(1970,1,1)</f>
        <v>42138.692627314813</v>
      </c>
      <c r="M577">
        <f>MONTH(Table1[[#This Row],[Date Created Conversion]])</f>
        <v>5</v>
      </c>
      <c r="N577">
        <f>YEAR(Table1[[#This Row],[Date Created Conversion]])</f>
        <v>2015</v>
      </c>
      <c r="O577" t="b">
        <v>0</v>
      </c>
      <c r="P577">
        <v>4</v>
      </c>
      <c r="Q577" t="b">
        <v>0</v>
      </c>
      <c r="R577" t="s">
        <v>8272</v>
      </c>
      <c r="S577" s="6">
        <f>Table1[[#This Row],[pledged]]/Table1[[#This Row],[goal]]</f>
        <v>4.3166666666666666E-3</v>
      </c>
      <c r="T577" s="8">
        <f>IF(Table1[[#This Row],[pledged]]=0,"no backers",Table1[[#This Row],[pledged]]/Table1[[#This Row],[backers_count]])</f>
        <v>64.75</v>
      </c>
      <c r="U577" t="str">
        <f>LEFT(Table1[[#This Row],[Category and Sub-Category]],FIND("/",Table1[[#This Row],[Category and Sub-Category]])-1)</f>
        <v>technology</v>
      </c>
      <c r="V577" t="str">
        <f>RIGHT(Table1[[#This Row],[Category and Sub-Category]],LEN(Table1[[#This Row],[Category and Sub-Category]])-FIND("/",Table1[[#This Row],[Category and Sub-Category]]))</f>
        <v>web</v>
      </c>
    </row>
    <row r="578" spans="1:22" ht="43.2" x14ac:dyDescent="0.3">
      <c r="A578">
        <v>576</v>
      </c>
      <c r="B578" s="3" t="s">
        <v>577</v>
      </c>
      <c r="C578" s="3" t="s">
        <v>4686</v>
      </c>
      <c r="D578" s="12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>((Table1[[#This Row],[deadline]]/60)/60/24)+DATE(1970,1,1)</f>
        <v>42091.43</v>
      </c>
      <c r="K578">
        <v>1422357552</v>
      </c>
      <c r="L578" s="11">
        <f>((Table1[[#This Row],[launched_at]]/60)/60/24)+DATE(1970,1,1)</f>
        <v>42031.471666666665</v>
      </c>
      <c r="M578">
        <f>MONTH(Table1[[#This Row],[Date Created Conversion]])</f>
        <v>1</v>
      </c>
      <c r="N578">
        <f>YEAR(Table1[[#This Row],[Date Created Conversion]])</f>
        <v>2015</v>
      </c>
      <c r="O578" t="b">
        <v>0</v>
      </c>
      <c r="P578">
        <v>1</v>
      </c>
      <c r="Q578" t="b">
        <v>0</v>
      </c>
      <c r="R578" t="s">
        <v>8272</v>
      </c>
      <c r="S578" s="6">
        <f>Table1[[#This Row],[pledged]]/Table1[[#This Row],[goal]]</f>
        <v>1.2500000000000001E-5</v>
      </c>
      <c r="T578" s="8">
        <f>IF(Table1[[#This Row],[pledged]]=0,"no backers",Table1[[#This Row],[pledged]]/Table1[[#This Row],[backers_count]])</f>
        <v>1</v>
      </c>
      <c r="U578" t="str">
        <f>LEFT(Table1[[#This Row],[Category and Sub-Category]],FIND("/",Table1[[#This Row],[Category and Sub-Category]])-1)</f>
        <v>technology</v>
      </c>
      <c r="V578" t="str">
        <f>RIGHT(Table1[[#This Row],[Category and Sub-Category]],LEN(Table1[[#This Row],[Category and Sub-Category]])-FIND("/",Table1[[#This Row],[Category and Sub-Category]]))</f>
        <v>web</v>
      </c>
    </row>
    <row r="579" spans="1:22" ht="43.2" x14ac:dyDescent="0.3">
      <c r="A579">
        <v>577</v>
      </c>
      <c r="B579" s="3" t="s">
        <v>578</v>
      </c>
      <c r="C579" s="3" t="s">
        <v>4687</v>
      </c>
      <c r="D579" s="12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>((Table1[[#This Row],[deadline]]/60)/60/24)+DATE(1970,1,1)</f>
        <v>42510.589143518519</v>
      </c>
      <c r="K579">
        <v>1458569302</v>
      </c>
      <c r="L579" s="11">
        <f>((Table1[[#This Row],[launched_at]]/60)/60/24)+DATE(1970,1,1)</f>
        <v>42450.589143518519</v>
      </c>
      <c r="M579">
        <f>MONTH(Table1[[#This Row],[Date Created Conversion]])</f>
        <v>3</v>
      </c>
      <c r="N579">
        <f>YEAR(Table1[[#This Row],[Date Created Conversion]])</f>
        <v>2016</v>
      </c>
      <c r="O579" t="b">
        <v>0</v>
      </c>
      <c r="P579">
        <v>1</v>
      </c>
      <c r="Q579" t="b">
        <v>0</v>
      </c>
      <c r="R579" t="s">
        <v>8272</v>
      </c>
      <c r="S579" s="6">
        <f>Table1[[#This Row],[pledged]]/Table1[[#This Row],[goal]]</f>
        <v>2E-3</v>
      </c>
      <c r="T579" s="8">
        <f>IF(Table1[[#This Row],[pledged]]=0,"no backers",Table1[[#This Row],[pledged]]/Table1[[#This Row],[backers_count]])</f>
        <v>10</v>
      </c>
      <c r="U579" t="str">
        <f>LEFT(Table1[[#This Row],[Category and Sub-Category]],FIND("/",Table1[[#This Row],[Category and Sub-Category]])-1)</f>
        <v>technology</v>
      </c>
      <c r="V579" t="str">
        <f>RIGHT(Table1[[#This Row],[Category and Sub-Category]],LEN(Table1[[#This Row],[Category and Sub-Category]])-FIND("/",Table1[[#This Row],[Category and Sub-Category]]))</f>
        <v>web</v>
      </c>
    </row>
    <row r="580" spans="1:22" ht="28.8" x14ac:dyDescent="0.3">
      <c r="A580">
        <v>578</v>
      </c>
      <c r="B580" s="3" t="s">
        <v>579</v>
      </c>
      <c r="C580" s="3" t="s">
        <v>4688</v>
      </c>
      <c r="D580" s="12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>((Table1[[#This Row],[deadline]]/60)/60/24)+DATE(1970,1,1)</f>
        <v>42254.578622685185</v>
      </c>
      <c r="K580">
        <v>1439560393</v>
      </c>
      <c r="L580" s="11">
        <f>((Table1[[#This Row],[launched_at]]/60)/60/24)+DATE(1970,1,1)</f>
        <v>42230.578622685185</v>
      </c>
      <c r="M580">
        <f>MONTH(Table1[[#This Row],[Date Created Conversion]])</f>
        <v>8</v>
      </c>
      <c r="N580">
        <f>YEAR(Table1[[#This Row],[Date Created Conversion]])</f>
        <v>2015</v>
      </c>
      <c r="O580" t="b">
        <v>0</v>
      </c>
      <c r="P580">
        <v>7</v>
      </c>
      <c r="Q580" t="b">
        <v>0</v>
      </c>
      <c r="R580" t="s">
        <v>8272</v>
      </c>
      <c r="S580" s="6">
        <f>Table1[[#This Row],[pledged]]/Table1[[#This Row],[goal]]</f>
        <v>1.12E-4</v>
      </c>
      <c r="T580" s="8">
        <f>IF(Table1[[#This Row],[pledged]]=0,"no backers",Table1[[#This Row],[pledged]]/Table1[[#This Row],[backers_count]])</f>
        <v>2</v>
      </c>
      <c r="U580" t="str">
        <f>LEFT(Table1[[#This Row],[Category and Sub-Category]],FIND("/",Table1[[#This Row],[Category and Sub-Category]])-1)</f>
        <v>technology</v>
      </c>
      <c r="V580" t="str">
        <f>RIGHT(Table1[[#This Row],[Category and Sub-Category]],LEN(Table1[[#This Row],[Category and Sub-Category]])-FIND("/",Table1[[#This Row],[Category and Sub-Category]]))</f>
        <v>web</v>
      </c>
    </row>
    <row r="581" spans="1:22" ht="28.8" x14ac:dyDescent="0.3">
      <c r="A581">
        <v>579</v>
      </c>
      <c r="B581" s="3" t="s">
        <v>580</v>
      </c>
      <c r="C581" s="3" t="s">
        <v>4689</v>
      </c>
      <c r="D581" s="12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>((Table1[[#This Row],[deadline]]/60)/60/24)+DATE(1970,1,1)</f>
        <v>41998.852118055554</v>
      </c>
      <c r="K581">
        <v>1416947223</v>
      </c>
      <c r="L581" s="11">
        <f>((Table1[[#This Row],[launched_at]]/60)/60/24)+DATE(1970,1,1)</f>
        <v>41968.852118055554</v>
      </c>
      <c r="M581">
        <f>MONTH(Table1[[#This Row],[Date Created Conversion]])</f>
        <v>11</v>
      </c>
      <c r="N581">
        <f>YEAR(Table1[[#This Row],[Date Created Conversion]])</f>
        <v>2014</v>
      </c>
      <c r="O581" t="b">
        <v>0</v>
      </c>
      <c r="P581">
        <v>5</v>
      </c>
      <c r="Q581" t="b">
        <v>0</v>
      </c>
      <c r="R581" t="s">
        <v>8272</v>
      </c>
      <c r="S581" s="6">
        <f>Table1[[#This Row],[pledged]]/Table1[[#This Row],[goal]]</f>
        <v>1.4583333333333334E-2</v>
      </c>
      <c r="T581" s="8">
        <f>IF(Table1[[#This Row],[pledged]]=0,"no backers",Table1[[#This Row],[pledged]]/Table1[[#This Row],[backers_count]])</f>
        <v>35</v>
      </c>
      <c r="U581" t="str">
        <f>LEFT(Table1[[#This Row],[Category and Sub-Category]],FIND("/",Table1[[#This Row],[Category and Sub-Category]])-1)</f>
        <v>technology</v>
      </c>
      <c r="V581" t="str">
        <f>RIGHT(Table1[[#This Row],[Category and Sub-Category]],LEN(Table1[[#This Row],[Category and Sub-Category]])-FIND("/",Table1[[#This Row],[Category and Sub-Category]]))</f>
        <v>web</v>
      </c>
    </row>
    <row r="582" spans="1:22" ht="43.2" x14ac:dyDescent="0.3">
      <c r="A582">
        <v>580</v>
      </c>
      <c r="B582" s="3" t="s">
        <v>581</v>
      </c>
      <c r="C582" s="3" t="s">
        <v>4690</v>
      </c>
      <c r="D582" s="1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>((Table1[[#This Row],[deadline]]/60)/60/24)+DATE(1970,1,1)</f>
        <v>42635.908182870371</v>
      </c>
      <c r="K582">
        <v>1471988867</v>
      </c>
      <c r="L582" s="11">
        <f>((Table1[[#This Row],[launched_at]]/60)/60/24)+DATE(1970,1,1)</f>
        <v>42605.908182870371</v>
      </c>
      <c r="M582">
        <f>MONTH(Table1[[#This Row],[Date Created Conversion]])</f>
        <v>8</v>
      </c>
      <c r="N582">
        <f>YEAR(Table1[[#This Row],[Date Created Conversion]])</f>
        <v>2016</v>
      </c>
      <c r="O582" t="b">
        <v>0</v>
      </c>
      <c r="P582">
        <v>1</v>
      </c>
      <c r="Q582" t="b">
        <v>0</v>
      </c>
      <c r="R582" t="s">
        <v>8272</v>
      </c>
      <c r="S582" s="6">
        <f>Table1[[#This Row],[pledged]]/Table1[[#This Row],[goal]]</f>
        <v>3.3333333333333332E-4</v>
      </c>
      <c r="T582" s="8">
        <f>IF(Table1[[#This Row],[pledged]]=0,"no backers",Table1[[#This Row],[pledged]]/Table1[[#This Row],[backers_count]])</f>
        <v>1</v>
      </c>
      <c r="U582" t="str">
        <f>LEFT(Table1[[#This Row],[Category and Sub-Category]],FIND("/",Table1[[#This Row],[Category and Sub-Category]])-1)</f>
        <v>technology</v>
      </c>
      <c r="V582" t="str">
        <f>RIGHT(Table1[[#This Row],[Category and Sub-Category]],LEN(Table1[[#This Row],[Category and Sub-Category]])-FIND("/",Table1[[#This Row],[Category and Sub-Category]]))</f>
        <v>web</v>
      </c>
    </row>
    <row r="583" spans="1:22" ht="43.2" x14ac:dyDescent="0.3">
      <c r="A583">
        <v>581</v>
      </c>
      <c r="B583" s="3" t="s">
        <v>582</v>
      </c>
      <c r="C583" s="3" t="s">
        <v>4691</v>
      </c>
      <c r="D583" s="12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>((Table1[[#This Row],[deadline]]/60)/60/24)+DATE(1970,1,1)</f>
        <v>42218.012777777782</v>
      </c>
      <c r="K583">
        <v>1435882704</v>
      </c>
      <c r="L583" s="11">
        <f>((Table1[[#This Row],[launched_at]]/60)/60/24)+DATE(1970,1,1)</f>
        <v>42188.012777777782</v>
      </c>
      <c r="M583">
        <f>MONTH(Table1[[#This Row],[Date Created Conversion]])</f>
        <v>7</v>
      </c>
      <c r="N583">
        <f>YEAR(Table1[[#This Row],[Date Created Conversion]])</f>
        <v>2015</v>
      </c>
      <c r="O583" t="b">
        <v>0</v>
      </c>
      <c r="P583">
        <v>0</v>
      </c>
      <c r="Q583" t="b">
        <v>0</v>
      </c>
      <c r="R583" t="s">
        <v>8272</v>
      </c>
      <c r="S583" s="6">
        <f>Table1[[#This Row],[pledged]]/Table1[[#This Row],[goal]]</f>
        <v>0</v>
      </c>
      <c r="T583" s="8" t="str">
        <f>IF(Table1[[#This Row],[pledged]]=0,"no backers",Table1[[#This Row],[pledged]]/Table1[[#This Row],[backers_count]])</f>
        <v>no backers</v>
      </c>
      <c r="U583" t="str">
        <f>LEFT(Table1[[#This Row],[Category and Sub-Category]],FIND("/",Table1[[#This Row],[Category and Sub-Category]])-1)</f>
        <v>technology</v>
      </c>
      <c r="V583" t="str">
        <f>RIGHT(Table1[[#This Row],[Category and Sub-Category]],LEN(Table1[[#This Row],[Category and Sub-Category]])-FIND("/",Table1[[#This Row],[Category and Sub-Category]]))</f>
        <v>web</v>
      </c>
    </row>
    <row r="584" spans="1:22" ht="43.2" x14ac:dyDescent="0.3">
      <c r="A584">
        <v>582</v>
      </c>
      <c r="B584" s="3" t="s">
        <v>583</v>
      </c>
      <c r="C584" s="3" t="s">
        <v>4692</v>
      </c>
      <c r="D584" s="12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>((Table1[[#This Row],[deadline]]/60)/60/24)+DATE(1970,1,1)</f>
        <v>42078.75</v>
      </c>
      <c r="K584">
        <v>1424454319</v>
      </c>
      <c r="L584" s="11">
        <f>((Table1[[#This Row],[launched_at]]/60)/60/24)+DATE(1970,1,1)</f>
        <v>42055.739803240736</v>
      </c>
      <c r="M584">
        <f>MONTH(Table1[[#This Row],[Date Created Conversion]])</f>
        <v>2</v>
      </c>
      <c r="N584">
        <f>YEAR(Table1[[#This Row],[Date Created Conversion]])</f>
        <v>2015</v>
      </c>
      <c r="O584" t="b">
        <v>0</v>
      </c>
      <c r="P584">
        <v>0</v>
      </c>
      <c r="Q584" t="b">
        <v>0</v>
      </c>
      <c r="R584" t="s">
        <v>8272</v>
      </c>
      <c r="S584" s="6">
        <f>Table1[[#This Row],[pledged]]/Table1[[#This Row],[goal]]</f>
        <v>0</v>
      </c>
      <c r="T584" s="8" t="str">
        <f>IF(Table1[[#This Row],[pledged]]=0,"no backers",Table1[[#This Row],[pledged]]/Table1[[#This Row],[backers_count]])</f>
        <v>no backers</v>
      </c>
      <c r="U584" t="str">
        <f>LEFT(Table1[[#This Row],[Category and Sub-Category]],FIND("/",Table1[[#This Row],[Category and Sub-Category]])-1)</f>
        <v>technology</v>
      </c>
      <c r="V584" t="str">
        <f>RIGHT(Table1[[#This Row],[Category and Sub-Category]],LEN(Table1[[#This Row],[Category and Sub-Category]])-FIND("/",Table1[[#This Row],[Category and Sub-Category]]))</f>
        <v>web</v>
      </c>
    </row>
    <row r="585" spans="1:22" ht="43.2" x14ac:dyDescent="0.3">
      <c r="A585">
        <v>583</v>
      </c>
      <c r="B585" s="3" t="s">
        <v>584</v>
      </c>
      <c r="C585" s="3" t="s">
        <v>4693</v>
      </c>
      <c r="D585" s="12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>((Table1[[#This Row],[deadline]]/60)/60/24)+DATE(1970,1,1)</f>
        <v>42082.896840277783</v>
      </c>
      <c r="K585">
        <v>1424212287</v>
      </c>
      <c r="L585" s="11">
        <f>((Table1[[#This Row],[launched_at]]/60)/60/24)+DATE(1970,1,1)</f>
        <v>42052.93850694444</v>
      </c>
      <c r="M585">
        <f>MONTH(Table1[[#This Row],[Date Created Conversion]])</f>
        <v>2</v>
      </c>
      <c r="N585">
        <f>YEAR(Table1[[#This Row],[Date Created Conversion]])</f>
        <v>2015</v>
      </c>
      <c r="O585" t="b">
        <v>0</v>
      </c>
      <c r="P585">
        <v>1</v>
      </c>
      <c r="Q585" t="b">
        <v>0</v>
      </c>
      <c r="R585" t="s">
        <v>8272</v>
      </c>
      <c r="S585" s="6">
        <f>Table1[[#This Row],[pledged]]/Table1[[#This Row],[goal]]</f>
        <v>1.1111111111111112E-4</v>
      </c>
      <c r="T585" s="8">
        <f>IF(Table1[[#This Row],[pledged]]=0,"no backers",Table1[[#This Row],[pledged]]/Table1[[#This Row],[backers_count]])</f>
        <v>1</v>
      </c>
      <c r="U585" t="str">
        <f>LEFT(Table1[[#This Row],[Category and Sub-Category]],FIND("/",Table1[[#This Row],[Category and Sub-Category]])-1)</f>
        <v>technology</v>
      </c>
      <c r="V585" t="str">
        <f>RIGHT(Table1[[#This Row],[Category and Sub-Category]],LEN(Table1[[#This Row],[Category and Sub-Category]])-FIND("/",Table1[[#This Row],[Category and Sub-Category]]))</f>
        <v>web</v>
      </c>
    </row>
    <row r="586" spans="1:22" ht="43.2" x14ac:dyDescent="0.3">
      <c r="A586">
        <v>584</v>
      </c>
      <c r="B586" s="3" t="s">
        <v>585</v>
      </c>
      <c r="C586" s="3" t="s">
        <v>4694</v>
      </c>
      <c r="D586" s="12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>((Table1[[#This Row],[deadline]]/60)/60/24)+DATE(1970,1,1)</f>
        <v>42079.674953703703</v>
      </c>
      <c r="K586">
        <v>1423933916</v>
      </c>
      <c r="L586" s="11">
        <f>((Table1[[#This Row],[launched_at]]/60)/60/24)+DATE(1970,1,1)</f>
        <v>42049.716620370367</v>
      </c>
      <c r="M586">
        <f>MONTH(Table1[[#This Row],[Date Created Conversion]])</f>
        <v>2</v>
      </c>
      <c r="N586">
        <f>YEAR(Table1[[#This Row],[Date Created Conversion]])</f>
        <v>2015</v>
      </c>
      <c r="O586" t="b">
        <v>0</v>
      </c>
      <c r="P586">
        <v>2</v>
      </c>
      <c r="Q586" t="b">
        <v>0</v>
      </c>
      <c r="R586" t="s">
        <v>8272</v>
      </c>
      <c r="S586" s="6">
        <f>Table1[[#This Row],[pledged]]/Table1[[#This Row],[goal]]</f>
        <v>0.01</v>
      </c>
      <c r="T586" s="8">
        <f>IF(Table1[[#This Row],[pledged]]=0,"no backers",Table1[[#This Row],[pledged]]/Table1[[#This Row],[backers_count]])</f>
        <v>5</v>
      </c>
      <c r="U586" t="str">
        <f>LEFT(Table1[[#This Row],[Category and Sub-Category]],FIND("/",Table1[[#This Row],[Category and Sub-Category]])-1)</f>
        <v>technology</v>
      </c>
      <c r="V586" t="str">
        <f>RIGHT(Table1[[#This Row],[Category and Sub-Category]],LEN(Table1[[#This Row],[Category and Sub-Category]])-FIND("/",Table1[[#This Row],[Category and Sub-Category]]))</f>
        <v>web</v>
      </c>
    </row>
    <row r="587" spans="1:22" ht="43.2" x14ac:dyDescent="0.3">
      <c r="A587">
        <v>585</v>
      </c>
      <c r="B587" s="3" t="s">
        <v>586</v>
      </c>
      <c r="C587" s="3" t="s">
        <v>4695</v>
      </c>
      <c r="D587" s="12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>((Table1[[#This Row],[deadline]]/60)/60/24)+DATE(1970,1,1)</f>
        <v>42339</v>
      </c>
      <c r="K587">
        <v>1444123377</v>
      </c>
      <c r="L587" s="11">
        <f>((Table1[[#This Row],[launched_at]]/60)/60/24)+DATE(1970,1,1)</f>
        <v>42283.3909375</v>
      </c>
      <c r="M587">
        <f>MONTH(Table1[[#This Row],[Date Created Conversion]])</f>
        <v>10</v>
      </c>
      <c r="N587">
        <f>YEAR(Table1[[#This Row],[Date Created Conversion]])</f>
        <v>2015</v>
      </c>
      <c r="O587" t="b">
        <v>0</v>
      </c>
      <c r="P587">
        <v>0</v>
      </c>
      <c r="Q587" t="b">
        <v>0</v>
      </c>
      <c r="R587" t="s">
        <v>8272</v>
      </c>
      <c r="S587" s="6">
        <f>Table1[[#This Row],[pledged]]/Table1[[#This Row],[goal]]</f>
        <v>0</v>
      </c>
      <c r="T587" s="8" t="str">
        <f>IF(Table1[[#This Row],[pledged]]=0,"no backers",Table1[[#This Row],[pledged]]/Table1[[#This Row],[backers_count]])</f>
        <v>no backers</v>
      </c>
      <c r="U587" t="str">
        <f>LEFT(Table1[[#This Row],[Category and Sub-Category]],FIND("/",Table1[[#This Row],[Category and Sub-Category]])-1)</f>
        <v>technology</v>
      </c>
      <c r="V587" t="str">
        <f>RIGHT(Table1[[#This Row],[Category and Sub-Category]],LEN(Table1[[#This Row],[Category and Sub-Category]])-FIND("/",Table1[[#This Row],[Category and Sub-Category]]))</f>
        <v>web</v>
      </c>
    </row>
    <row r="588" spans="1:22" ht="43.2" x14ac:dyDescent="0.3">
      <c r="A588">
        <v>586</v>
      </c>
      <c r="B588" s="3" t="s">
        <v>587</v>
      </c>
      <c r="C588" s="3" t="s">
        <v>4696</v>
      </c>
      <c r="D588" s="12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>((Table1[[#This Row],[deadline]]/60)/60/24)+DATE(1970,1,1)</f>
        <v>42050.854247685187</v>
      </c>
      <c r="K588">
        <v>1421440207</v>
      </c>
      <c r="L588" s="11">
        <f>((Table1[[#This Row],[launched_at]]/60)/60/24)+DATE(1970,1,1)</f>
        <v>42020.854247685187</v>
      </c>
      <c r="M588">
        <f>MONTH(Table1[[#This Row],[Date Created Conversion]])</f>
        <v>1</v>
      </c>
      <c r="N588">
        <f>YEAR(Table1[[#This Row],[Date Created Conversion]])</f>
        <v>2015</v>
      </c>
      <c r="O588" t="b">
        <v>0</v>
      </c>
      <c r="P588">
        <v>4</v>
      </c>
      <c r="Q588" t="b">
        <v>0</v>
      </c>
      <c r="R588" t="s">
        <v>8272</v>
      </c>
      <c r="S588" s="6">
        <f>Table1[[#This Row],[pledged]]/Table1[[#This Row],[goal]]</f>
        <v>5.5999999999999999E-3</v>
      </c>
      <c r="T588" s="8">
        <f>IF(Table1[[#This Row],[pledged]]=0,"no backers",Table1[[#This Row],[pledged]]/Table1[[#This Row],[backers_count]])</f>
        <v>14</v>
      </c>
      <c r="U588" t="str">
        <f>LEFT(Table1[[#This Row],[Category and Sub-Category]],FIND("/",Table1[[#This Row],[Category and Sub-Category]])-1)</f>
        <v>technology</v>
      </c>
      <c r="V588" t="str">
        <f>RIGHT(Table1[[#This Row],[Category and Sub-Category]],LEN(Table1[[#This Row],[Category and Sub-Category]])-FIND("/",Table1[[#This Row],[Category and Sub-Category]]))</f>
        <v>web</v>
      </c>
    </row>
    <row r="589" spans="1:22" ht="72" x14ac:dyDescent="0.3">
      <c r="A589">
        <v>587</v>
      </c>
      <c r="B589" s="3" t="s">
        <v>588</v>
      </c>
      <c r="C589" s="3" t="s">
        <v>4697</v>
      </c>
      <c r="D589" s="12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>((Table1[[#This Row],[deadline]]/60)/60/24)+DATE(1970,1,1)</f>
        <v>42110.757326388892</v>
      </c>
      <c r="K589">
        <v>1426615833</v>
      </c>
      <c r="L589" s="11">
        <f>((Table1[[#This Row],[launched_at]]/60)/60/24)+DATE(1970,1,1)</f>
        <v>42080.757326388892</v>
      </c>
      <c r="M589">
        <f>MONTH(Table1[[#This Row],[Date Created Conversion]])</f>
        <v>3</v>
      </c>
      <c r="N589">
        <f>YEAR(Table1[[#This Row],[Date Created Conversion]])</f>
        <v>2015</v>
      </c>
      <c r="O589" t="b">
        <v>0</v>
      </c>
      <c r="P589">
        <v>7</v>
      </c>
      <c r="Q589" t="b">
        <v>0</v>
      </c>
      <c r="R589" t="s">
        <v>8272</v>
      </c>
      <c r="S589" s="6">
        <f>Table1[[#This Row],[pledged]]/Table1[[#This Row],[goal]]</f>
        <v>9.0833333333333335E-2</v>
      </c>
      <c r="T589" s="8">
        <f>IF(Table1[[#This Row],[pledged]]=0,"no backers",Table1[[#This Row],[pledged]]/Table1[[#This Row],[backers_count]])</f>
        <v>389.28571428571428</v>
      </c>
      <c r="U589" t="str">
        <f>LEFT(Table1[[#This Row],[Category and Sub-Category]],FIND("/",Table1[[#This Row],[Category and Sub-Category]])-1)</f>
        <v>technology</v>
      </c>
      <c r="V589" t="str">
        <f>RIGHT(Table1[[#This Row],[Category and Sub-Category]],LEN(Table1[[#This Row],[Category and Sub-Category]])-FIND("/",Table1[[#This Row],[Category and Sub-Category]]))</f>
        <v>web</v>
      </c>
    </row>
    <row r="590" spans="1:22" ht="43.2" x14ac:dyDescent="0.3">
      <c r="A590">
        <v>588</v>
      </c>
      <c r="B590" s="3" t="s">
        <v>589</v>
      </c>
      <c r="C590" s="3" t="s">
        <v>4698</v>
      </c>
      <c r="D590" s="12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>((Table1[[#This Row],[deadline]]/60)/60/24)+DATE(1970,1,1)</f>
        <v>42691.811180555553</v>
      </c>
      <c r="K590">
        <v>1474223286</v>
      </c>
      <c r="L590" s="11">
        <f>((Table1[[#This Row],[launched_at]]/60)/60/24)+DATE(1970,1,1)</f>
        <v>42631.769513888896</v>
      </c>
      <c r="M590">
        <f>MONTH(Table1[[#This Row],[Date Created Conversion]])</f>
        <v>9</v>
      </c>
      <c r="N590">
        <f>YEAR(Table1[[#This Row],[Date Created Conversion]])</f>
        <v>2016</v>
      </c>
      <c r="O590" t="b">
        <v>0</v>
      </c>
      <c r="P590">
        <v>2</v>
      </c>
      <c r="Q590" t="b">
        <v>0</v>
      </c>
      <c r="R590" t="s">
        <v>8272</v>
      </c>
      <c r="S590" s="6">
        <f>Table1[[#This Row],[pledged]]/Table1[[#This Row],[goal]]</f>
        <v>3.3444444444444443E-2</v>
      </c>
      <c r="T590" s="8">
        <f>IF(Table1[[#This Row],[pledged]]=0,"no backers",Table1[[#This Row],[pledged]]/Table1[[#This Row],[backers_count]])</f>
        <v>150.5</v>
      </c>
      <c r="U590" t="str">
        <f>LEFT(Table1[[#This Row],[Category and Sub-Category]],FIND("/",Table1[[#This Row],[Category and Sub-Category]])-1)</f>
        <v>technology</v>
      </c>
      <c r="V590" t="str">
        <f>RIGHT(Table1[[#This Row],[Category and Sub-Category]],LEN(Table1[[#This Row],[Category and Sub-Category]])-FIND("/",Table1[[#This Row],[Category and Sub-Category]]))</f>
        <v>web</v>
      </c>
    </row>
    <row r="591" spans="1:22" x14ac:dyDescent="0.3">
      <c r="A591">
        <v>589</v>
      </c>
      <c r="B591" s="3" t="s">
        <v>590</v>
      </c>
      <c r="C591" s="3" t="s">
        <v>4699</v>
      </c>
      <c r="D591" s="12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>((Table1[[#This Row],[deadline]]/60)/60/24)+DATE(1970,1,1)</f>
        <v>42193.614571759259</v>
      </c>
      <c r="K591">
        <v>1435070699</v>
      </c>
      <c r="L591" s="11">
        <f>((Table1[[#This Row],[launched_at]]/60)/60/24)+DATE(1970,1,1)</f>
        <v>42178.614571759259</v>
      </c>
      <c r="M591">
        <f>MONTH(Table1[[#This Row],[Date Created Conversion]])</f>
        <v>6</v>
      </c>
      <c r="N591">
        <f>YEAR(Table1[[#This Row],[Date Created Conversion]])</f>
        <v>2015</v>
      </c>
      <c r="O591" t="b">
        <v>0</v>
      </c>
      <c r="P591">
        <v>1</v>
      </c>
      <c r="Q591" t="b">
        <v>0</v>
      </c>
      <c r="R591" t="s">
        <v>8272</v>
      </c>
      <c r="S591" s="6">
        <f>Table1[[#This Row],[pledged]]/Table1[[#This Row],[goal]]</f>
        <v>1.3333333333333334E-4</v>
      </c>
      <c r="T591" s="8">
        <f>IF(Table1[[#This Row],[pledged]]=0,"no backers",Table1[[#This Row],[pledged]]/Table1[[#This Row],[backers_count]])</f>
        <v>1</v>
      </c>
      <c r="U591" t="str">
        <f>LEFT(Table1[[#This Row],[Category and Sub-Category]],FIND("/",Table1[[#This Row],[Category and Sub-Category]])-1)</f>
        <v>technology</v>
      </c>
      <c r="V591" t="str">
        <f>RIGHT(Table1[[#This Row],[Category and Sub-Category]],LEN(Table1[[#This Row],[Category and Sub-Category]])-FIND("/",Table1[[#This Row],[Category and Sub-Category]]))</f>
        <v>web</v>
      </c>
    </row>
    <row r="592" spans="1:22" ht="57.6" x14ac:dyDescent="0.3">
      <c r="A592">
        <v>590</v>
      </c>
      <c r="B592" s="3" t="s">
        <v>591</v>
      </c>
      <c r="C592" s="3" t="s">
        <v>4700</v>
      </c>
      <c r="D592" s="1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>((Table1[[#This Row],[deadline]]/60)/60/24)+DATE(1970,1,1)</f>
        <v>42408.542361111111</v>
      </c>
      <c r="K592">
        <v>1452259131</v>
      </c>
      <c r="L592" s="11">
        <f>((Table1[[#This Row],[launched_at]]/60)/60/24)+DATE(1970,1,1)</f>
        <v>42377.554756944446</v>
      </c>
      <c r="M592">
        <f>MONTH(Table1[[#This Row],[Date Created Conversion]])</f>
        <v>1</v>
      </c>
      <c r="N592">
        <f>YEAR(Table1[[#This Row],[Date Created Conversion]])</f>
        <v>2016</v>
      </c>
      <c r="O592" t="b">
        <v>0</v>
      </c>
      <c r="P592">
        <v>9</v>
      </c>
      <c r="Q592" t="b">
        <v>0</v>
      </c>
      <c r="R592" t="s">
        <v>8272</v>
      </c>
      <c r="S592" s="6">
        <f>Table1[[#This Row],[pledged]]/Table1[[#This Row],[goal]]</f>
        <v>4.4600000000000001E-2</v>
      </c>
      <c r="T592" s="8">
        <f>IF(Table1[[#This Row],[pledged]]=0,"no backers",Table1[[#This Row],[pledged]]/Table1[[#This Row],[backers_count]])</f>
        <v>24.777777777777779</v>
      </c>
      <c r="U592" t="str">
        <f>LEFT(Table1[[#This Row],[Category and Sub-Category]],FIND("/",Table1[[#This Row],[Category and Sub-Category]])-1)</f>
        <v>technology</v>
      </c>
      <c r="V592" t="str">
        <f>RIGHT(Table1[[#This Row],[Category and Sub-Category]],LEN(Table1[[#This Row],[Category and Sub-Category]])-FIND("/",Table1[[#This Row],[Category and Sub-Category]]))</f>
        <v>web</v>
      </c>
    </row>
    <row r="593" spans="1:22" ht="43.2" x14ac:dyDescent="0.3">
      <c r="A593">
        <v>591</v>
      </c>
      <c r="B593" s="3" t="s">
        <v>592</v>
      </c>
      <c r="C593" s="3" t="s">
        <v>4701</v>
      </c>
      <c r="D593" s="12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>((Table1[[#This Row],[deadline]]/60)/60/24)+DATE(1970,1,1)</f>
        <v>42207.543171296296</v>
      </c>
      <c r="K593">
        <v>1434978130</v>
      </c>
      <c r="L593" s="11">
        <f>((Table1[[#This Row],[launched_at]]/60)/60/24)+DATE(1970,1,1)</f>
        <v>42177.543171296296</v>
      </c>
      <c r="M593">
        <f>MONTH(Table1[[#This Row],[Date Created Conversion]])</f>
        <v>6</v>
      </c>
      <c r="N593">
        <f>YEAR(Table1[[#This Row],[Date Created Conversion]])</f>
        <v>2015</v>
      </c>
      <c r="O593" t="b">
        <v>0</v>
      </c>
      <c r="P593">
        <v>2</v>
      </c>
      <c r="Q593" t="b">
        <v>0</v>
      </c>
      <c r="R593" t="s">
        <v>8272</v>
      </c>
      <c r="S593" s="6">
        <f>Table1[[#This Row],[pledged]]/Table1[[#This Row],[goal]]</f>
        <v>6.0999999999999997E-4</v>
      </c>
      <c r="T593" s="8">
        <f>IF(Table1[[#This Row],[pledged]]=0,"no backers",Table1[[#This Row],[pledged]]/Table1[[#This Row],[backers_count]])</f>
        <v>30.5</v>
      </c>
      <c r="U593" t="str">
        <f>LEFT(Table1[[#This Row],[Category and Sub-Category]],FIND("/",Table1[[#This Row],[Category and Sub-Category]])-1)</f>
        <v>technology</v>
      </c>
      <c r="V593" t="str">
        <f>RIGHT(Table1[[#This Row],[Category and Sub-Category]],LEN(Table1[[#This Row],[Category and Sub-Category]])-FIND("/",Table1[[#This Row],[Category and Sub-Category]]))</f>
        <v>web</v>
      </c>
    </row>
    <row r="594" spans="1:22" ht="43.2" x14ac:dyDescent="0.3">
      <c r="A594">
        <v>592</v>
      </c>
      <c r="B594" s="3" t="s">
        <v>593</v>
      </c>
      <c r="C594" s="3" t="s">
        <v>4702</v>
      </c>
      <c r="D594" s="12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>((Table1[[#This Row],[deadline]]/60)/60/24)+DATE(1970,1,1)</f>
        <v>41976.232175925921</v>
      </c>
      <c r="K594">
        <v>1414992860</v>
      </c>
      <c r="L594" s="11">
        <f>((Table1[[#This Row],[launched_at]]/60)/60/24)+DATE(1970,1,1)</f>
        <v>41946.232175925928</v>
      </c>
      <c r="M594">
        <f>MONTH(Table1[[#This Row],[Date Created Conversion]])</f>
        <v>11</v>
      </c>
      <c r="N594">
        <f>YEAR(Table1[[#This Row],[Date Created Conversion]])</f>
        <v>2014</v>
      </c>
      <c r="O594" t="b">
        <v>0</v>
      </c>
      <c r="P594">
        <v>1</v>
      </c>
      <c r="Q594" t="b">
        <v>0</v>
      </c>
      <c r="R594" t="s">
        <v>8272</v>
      </c>
      <c r="S594" s="6">
        <f>Table1[[#This Row],[pledged]]/Table1[[#This Row],[goal]]</f>
        <v>3.3333333333333333E-2</v>
      </c>
      <c r="T594" s="8">
        <f>IF(Table1[[#This Row],[pledged]]=0,"no backers",Table1[[#This Row],[pledged]]/Table1[[#This Row],[backers_count]])</f>
        <v>250</v>
      </c>
      <c r="U594" t="str">
        <f>LEFT(Table1[[#This Row],[Category and Sub-Category]],FIND("/",Table1[[#This Row],[Category and Sub-Category]])-1)</f>
        <v>technology</v>
      </c>
      <c r="V594" t="str">
        <f>RIGHT(Table1[[#This Row],[Category and Sub-Category]],LEN(Table1[[#This Row],[Category and Sub-Category]])-FIND("/",Table1[[#This Row],[Category and Sub-Category]]))</f>
        <v>web</v>
      </c>
    </row>
    <row r="595" spans="1:22" ht="57.6" x14ac:dyDescent="0.3">
      <c r="A595">
        <v>593</v>
      </c>
      <c r="B595" s="3" t="s">
        <v>594</v>
      </c>
      <c r="C595" s="3" t="s">
        <v>4703</v>
      </c>
      <c r="D595" s="12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>((Table1[[#This Row],[deadline]]/60)/60/24)+DATE(1970,1,1)</f>
        <v>42100.635937500003</v>
      </c>
      <c r="K595">
        <v>1425744945</v>
      </c>
      <c r="L595" s="11">
        <f>((Table1[[#This Row],[launched_at]]/60)/60/24)+DATE(1970,1,1)</f>
        <v>42070.677604166667</v>
      </c>
      <c r="M595">
        <f>MONTH(Table1[[#This Row],[Date Created Conversion]])</f>
        <v>3</v>
      </c>
      <c r="N595">
        <f>YEAR(Table1[[#This Row],[Date Created Conversion]])</f>
        <v>2015</v>
      </c>
      <c r="O595" t="b">
        <v>0</v>
      </c>
      <c r="P595">
        <v>7</v>
      </c>
      <c r="Q595" t="b">
        <v>0</v>
      </c>
      <c r="R595" t="s">
        <v>8272</v>
      </c>
      <c r="S595" s="6">
        <f>Table1[[#This Row],[pledged]]/Table1[[#This Row],[goal]]</f>
        <v>0.23</v>
      </c>
      <c r="T595" s="8">
        <f>IF(Table1[[#This Row],[pledged]]=0,"no backers",Table1[[#This Row],[pledged]]/Table1[[#This Row],[backers_count]])</f>
        <v>16.428571428571427</v>
      </c>
      <c r="U595" t="str">
        <f>LEFT(Table1[[#This Row],[Category and Sub-Category]],FIND("/",Table1[[#This Row],[Category and Sub-Category]])-1)</f>
        <v>technology</v>
      </c>
      <c r="V595" t="str">
        <f>RIGHT(Table1[[#This Row],[Category and Sub-Category]],LEN(Table1[[#This Row],[Category and Sub-Category]])-FIND("/",Table1[[#This Row],[Category and Sub-Category]]))</f>
        <v>web</v>
      </c>
    </row>
    <row r="596" spans="1:22" ht="28.8" x14ac:dyDescent="0.3">
      <c r="A596">
        <v>594</v>
      </c>
      <c r="B596" s="3" t="s">
        <v>595</v>
      </c>
      <c r="C596" s="3" t="s">
        <v>4704</v>
      </c>
      <c r="D596" s="12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>((Table1[[#This Row],[deadline]]/60)/60/24)+DATE(1970,1,1)</f>
        <v>42476.780162037037</v>
      </c>
      <c r="K596">
        <v>1458240206</v>
      </c>
      <c r="L596" s="11">
        <f>((Table1[[#This Row],[launched_at]]/60)/60/24)+DATE(1970,1,1)</f>
        <v>42446.780162037037</v>
      </c>
      <c r="M596">
        <f>MONTH(Table1[[#This Row],[Date Created Conversion]])</f>
        <v>3</v>
      </c>
      <c r="N596">
        <f>YEAR(Table1[[#This Row],[Date Created Conversion]])</f>
        <v>2016</v>
      </c>
      <c r="O596" t="b">
        <v>0</v>
      </c>
      <c r="P596">
        <v>2</v>
      </c>
      <c r="Q596" t="b">
        <v>0</v>
      </c>
      <c r="R596" t="s">
        <v>8272</v>
      </c>
      <c r="S596" s="6">
        <f>Table1[[#This Row],[pledged]]/Table1[[#This Row],[goal]]</f>
        <v>1.0399999999999999E-3</v>
      </c>
      <c r="T596" s="8">
        <f>IF(Table1[[#This Row],[pledged]]=0,"no backers",Table1[[#This Row],[pledged]]/Table1[[#This Row],[backers_count]])</f>
        <v>13</v>
      </c>
      <c r="U596" t="str">
        <f>LEFT(Table1[[#This Row],[Category and Sub-Category]],FIND("/",Table1[[#This Row],[Category and Sub-Category]])-1)</f>
        <v>technology</v>
      </c>
      <c r="V596" t="str">
        <f>RIGHT(Table1[[#This Row],[Category and Sub-Category]],LEN(Table1[[#This Row],[Category and Sub-Category]])-FIND("/",Table1[[#This Row],[Category and Sub-Category]]))</f>
        <v>web</v>
      </c>
    </row>
    <row r="597" spans="1:22" ht="43.2" x14ac:dyDescent="0.3">
      <c r="A597">
        <v>595</v>
      </c>
      <c r="B597" s="3" t="s">
        <v>596</v>
      </c>
      <c r="C597" s="3" t="s">
        <v>4705</v>
      </c>
      <c r="D597" s="12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>((Table1[[#This Row],[deadline]]/60)/60/24)+DATE(1970,1,1)</f>
        <v>42128.069884259254</v>
      </c>
      <c r="K597">
        <v>1426815638</v>
      </c>
      <c r="L597" s="11">
        <f>((Table1[[#This Row],[launched_at]]/60)/60/24)+DATE(1970,1,1)</f>
        <v>42083.069884259254</v>
      </c>
      <c r="M597">
        <f>MONTH(Table1[[#This Row],[Date Created Conversion]])</f>
        <v>3</v>
      </c>
      <c r="N597">
        <f>YEAR(Table1[[#This Row],[Date Created Conversion]])</f>
        <v>2015</v>
      </c>
      <c r="O597" t="b">
        <v>0</v>
      </c>
      <c r="P597">
        <v>8</v>
      </c>
      <c r="Q597" t="b">
        <v>0</v>
      </c>
      <c r="R597" t="s">
        <v>8272</v>
      </c>
      <c r="S597" s="6">
        <f>Table1[[#This Row],[pledged]]/Table1[[#This Row],[goal]]</f>
        <v>4.2599999999999999E-3</v>
      </c>
      <c r="T597" s="8">
        <f>IF(Table1[[#This Row],[pledged]]=0,"no backers",Table1[[#This Row],[pledged]]/Table1[[#This Row],[backers_count]])</f>
        <v>53.25</v>
      </c>
      <c r="U597" t="str">
        <f>LEFT(Table1[[#This Row],[Category and Sub-Category]],FIND("/",Table1[[#This Row],[Category and Sub-Category]])-1)</f>
        <v>technology</v>
      </c>
      <c r="V597" t="str">
        <f>RIGHT(Table1[[#This Row],[Category and Sub-Category]],LEN(Table1[[#This Row],[Category and Sub-Category]])-FIND("/",Table1[[#This Row],[Category and Sub-Category]]))</f>
        <v>web</v>
      </c>
    </row>
    <row r="598" spans="1:22" ht="28.8" x14ac:dyDescent="0.3">
      <c r="A598">
        <v>596</v>
      </c>
      <c r="B598" s="3" t="s">
        <v>597</v>
      </c>
      <c r="C598" s="3" t="s">
        <v>4706</v>
      </c>
      <c r="D598" s="12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>((Table1[[#This Row],[deadline]]/60)/60/24)+DATE(1970,1,1)</f>
        <v>42676.896898148145</v>
      </c>
      <c r="K598">
        <v>1475530292</v>
      </c>
      <c r="L598" s="11">
        <f>((Table1[[#This Row],[launched_at]]/60)/60/24)+DATE(1970,1,1)</f>
        <v>42646.896898148145</v>
      </c>
      <c r="M598">
        <f>MONTH(Table1[[#This Row],[Date Created Conversion]])</f>
        <v>10</v>
      </c>
      <c r="N598">
        <f>YEAR(Table1[[#This Row],[Date Created Conversion]])</f>
        <v>2016</v>
      </c>
      <c r="O598" t="b">
        <v>0</v>
      </c>
      <c r="P598">
        <v>2</v>
      </c>
      <c r="Q598" t="b">
        <v>0</v>
      </c>
      <c r="R598" t="s">
        <v>8272</v>
      </c>
      <c r="S598" s="6">
        <f>Table1[[#This Row],[pledged]]/Table1[[#This Row],[goal]]</f>
        <v>2.9999999999999997E-4</v>
      </c>
      <c r="T598" s="8">
        <f>IF(Table1[[#This Row],[pledged]]=0,"no backers",Table1[[#This Row],[pledged]]/Table1[[#This Row],[backers_count]])</f>
        <v>3</v>
      </c>
      <c r="U598" t="str">
        <f>LEFT(Table1[[#This Row],[Category and Sub-Category]],FIND("/",Table1[[#This Row],[Category and Sub-Category]])-1)</f>
        <v>technology</v>
      </c>
      <c r="V598" t="str">
        <f>RIGHT(Table1[[#This Row],[Category and Sub-Category]],LEN(Table1[[#This Row],[Category and Sub-Category]])-FIND("/",Table1[[#This Row],[Category and Sub-Category]]))</f>
        <v>web</v>
      </c>
    </row>
    <row r="599" spans="1:22" ht="43.2" x14ac:dyDescent="0.3">
      <c r="A599">
        <v>597</v>
      </c>
      <c r="B599" s="3" t="s">
        <v>598</v>
      </c>
      <c r="C599" s="3" t="s">
        <v>4707</v>
      </c>
      <c r="D599" s="12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>((Table1[[#This Row],[deadline]]/60)/60/24)+DATE(1970,1,1)</f>
        <v>42582.666666666672</v>
      </c>
      <c r="K599">
        <v>1466787335</v>
      </c>
      <c r="L599" s="11">
        <f>((Table1[[#This Row],[launched_at]]/60)/60/24)+DATE(1970,1,1)</f>
        <v>42545.705266203702</v>
      </c>
      <c r="M599">
        <f>MONTH(Table1[[#This Row],[Date Created Conversion]])</f>
        <v>6</v>
      </c>
      <c r="N599">
        <f>YEAR(Table1[[#This Row],[Date Created Conversion]])</f>
        <v>2016</v>
      </c>
      <c r="O599" t="b">
        <v>0</v>
      </c>
      <c r="P599">
        <v>2</v>
      </c>
      <c r="Q599" t="b">
        <v>0</v>
      </c>
      <c r="R599" t="s">
        <v>8272</v>
      </c>
      <c r="S599" s="6">
        <f>Table1[[#This Row],[pledged]]/Table1[[#This Row],[goal]]</f>
        <v>2.6666666666666666E-3</v>
      </c>
      <c r="T599" s="8">
        <f>IF(Table1[[#This Row],[pledged]]=0,"no backers",Table1[[#This Row],[pledged]]/Table1[[#This Row],[backers_count]])</f>
        <v>10</v>
      </c>
      <c r="U599" t="str">
        <f>LEFT(Table1[[#This Row],[Category and Sub-Category]],FIND("/",Table1[[#This Row],[Category and Sub-Category]])-1)</f>
        <v>technology</v>
      </c>
      <c r="V599" t="str">
        <f>RIGHT(Table1[[#This Row],[Category and Sub-Category]],LEN(Table1[[#This Row],[Category and Sub-Category]])-FIND("/",Table1[[#This Row],[Category and Sub-Category]]))</f>
        <v>web</v>
      </c>
    </row>
    <row r="600" spans="1:22" ht="28.8" x14ac:dyDescent="0.3">
      <c r="A600">
        <v>598</v>
      </c>
      <c r="B600" s="3" t="s">
        <v>599</v>
      </c>
      <c r="C600" s="3" t="s">
        <v>4708</v>
      </c>
      <c r="D600" s="12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>((Table1[[#This Row],[deadline]]/60)/60/24)+DATE(1970,1,1)</f>
        <v>41978.00209490741</v>
      </c>
      <c r="K600">
        <v>1415145781</v>
      </c>
      <c r="L600" s="11">
        <f>((Table1[[#This Row],[launched_at]]/60)/60/24)+DATE(1970,1,1)</f>
        <v>41948.00209490741</v>
      </c>
      <c r="M600">
        <f>MONTH(Table1[[#This Row],[Date Created Conversion]])</f>
        <v>11</v>
      </c>
      <c r="N600">
        <f>YEAR(Table1[[#This Row],[Date Created Conversion]])</f>
        <v>2014</v>
      </c>
      <c r="O600" t="b">
        <v>0</v>
      </c>
      <c r="P600">
        <v>7</v>
      </c>
      <c r="Q600" t="b">
        <v>0</v>
      </c>
      <c r="R600" t="s">
        <v>8272</v>
      </c>
      <c r="S600" s="6">
        <f>Table1[[#This Row],[pledged]]/Table1[[#This Row],[goal]]</f>
        <v>0.34</v>
      </c>
      <c r="T600" s="8">
        <f>IF(Table1[[#This Row],[pledged]]=0,"no backers",Table1[[#This Row],[pledged]]/Table1[[#This Row],[backers_count]])</f>
        <v>121.42857142857143</v>
      </c>
      <c r="U600" t="str">
        <f>LEFT(Table1[[#This Row],[Category and Sub-Category]],FIND("/",Table1[[#This Row],[Category and Sub-Category]])-1)</f>
        <v>technology</v>
      </c>
      <c r="V600" t="str">
        <f>RIGHT(Table1[[#This Row],[Category and Sub-Category]],LEN(Table1[[#This Row],[Category and Sub-Category]])-FIND("/",Table1[[#This Row],[Category and Sub-Category]]))</f>
        <v>web</v>
      </c>
    </row>
    <row r="601" spans="1:22" ht="43.2" x14ac:dyDescent="0.3">
      <c r="A601">
        <v>599</v>
      </c>
      <c r="B601" s="3" t="s">
        <v>600</v>
      </c>
      <c r="C601" s="3" t="s">
        <v>4709</v>
      </c>
      <c r="D601" s="12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>((Table1[[#This Row],[deadline]]/60)/60/24)+DATE(1970,1,1)</f>
        <v>42071.636111111111</v>
      </c>
      <c r="K601">
        <v>1423769402</v>
      </c>
      <c r="L601" s="11">
        <f>((Table1[[#This Row],[launched_at]]/60)/60/24)+DATE(1970,1,1)</f>
        <v>42047.812523148154</v>
      </c>
      <c r="M601">
        <f>MONTH(Table1[[#This Row],[Date Created Conversion]])</f>
        <v>2</v>
      </c>
      <c r="N601">
        <f>YEAR(Table1[[#This Row],[Date Created Conversion]])</f>
        <v>2015</v>
      </c>
      <c r="O601" t="b">
        <v>0</v>
      </c>
      <c r="P601">
        <v>2</v>
      </c>
      <c r="Q601" t="b">
        <v>0</v>
      </c>
      <c r="R601" t="s">
        <v>8272</v>
      </c>
      <c r="S601" s="6">
        <f>Table1[[#This Row],[pledged]]/Table1[[#This Row],[goal]]</f>
        <v>6.2E-4</v>
      </c>
      <c r="T601" s="8">
        <f>IF(Table1[[#This Row],[pledged]]=0,"no backers",Table1[[#This Row],[pledged]]/Table1[[#This Row],[backers_count]])</f>
        <v>15.5</v>
      </c>
      <c r="U601" t="str">
        <f>LEFT(Table1[[#This Row],[Category and Sub-Category]],FIND("/",Table1[[#This Row],[Category and Sub-Category]])-1)</f>
        <v>technology</v>
      </c>
      <c r="V601" t="str">
        <f>RIGHT(Table1[[#This Row],[Category and Sub-Category]],LEN(Table1[[#This Row],[Category and Sub-Category]])-FIND("/",Table1[[#This Row],[Category and Sub-Category]]))</f>
        <v>web</v>
      </c>
    </row>
    <row r="602" spans="1:22" ht="28.8" x14ac:dyDescent="0.3">
      <c r="A602">
        <v>600</v>
      </c>
      <c r="B602" s="3" t="s">
        <v>601</v>
      </c>
      <c r="C602" s="3" t="s">
        <v>4710</v>
      </c>
      <c r="D602" s="1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>((Table1[[#This Row],[deadline]]/60)/60/24)+DATE(1970,1,1)</f>
        <v>42133.798171296294</v>
      </c>
      <c r="K602">
        <v>1426014562</v>
      </c>
      <c r="L602" s="11">
        <f>((Table1[[#This Row],[launched_at]]/60)/60/24)+DATE(1970,1,1)</f>
        <v>42073.798171296294</v>
      </c>
      <c r="M602">
        <f>MONTH(Table1[[#This Row],[Date Created Conversion]])</f>
        <v>3</v>
      </c>
      <c r="N602">
        <f>YEAR(Table1[[#This Row],[Date Created Conversion]])</f>
        <v>2015</v>
      </c>
      <c r="O602" t="b">
        <v>0</v>
      </c>
      <c r="P602">
        <v>1</v>
      </c>
      <c r="Q602" t="b">
        <v>0</v>
      </c>
      <c r="R602" t="s">
        <v>8272</v>
      </c>
      <c r="S602" s="6">
        <f>Table1[[#This Row],[pledged]]/Table1[[#This Row],[goal]]</f>
        <v>0.02</v>
      </c>
      <c r="T602" s="8">
        <f>IF(Table1[[#This Row],[pledged]]=0,"no backers",Table1[[#This Row],[pledged]]/Table1[[#This Row],[backers_count]])</f>
        <v>100</v>
      </c>
      <c r="U602" t="str">
        <f>LEFT(Table1[[#This Row],[Category and Sub-Category]],FIND("/",Table1[[#This Row],[Category and Sub-Category]])-1)</f>
        <v>technology</v>
      </c>
      <c r="V602" t="str">
        <f>RIGHT(Table1[[#This Row],[Category and Sub-Category]],LEN(Table1[[#This Row],[Category and Sub-Category]])-FIND("/",Table1[[#This Row],[Category and Sub-Category]]))</f>
        <v>web</v>
      </c>
    </row>
    <row r="603" spans="1:22" ht="43.2" x14ac:dyDescent="0.3">
      <c r="A603">
        <v>601</v>
      </c>
      <c r="B603" s="3" t="s">
        <v>602</v>
      </c>
      <c r="C603" s="3" t="s">
        <v>4711</v>
      </c>
      <c r="D603" s="12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>((Table1[[#This Row],[deadline]]/60)/60/24)+DATE(1970,1,1)</f>
        <v>41999.858090277776</v>
      </c>
      <c r="K603">
        <v>1417034139</v>
      </c>
      <c r="L603" s="11">
        <f>((Table1[[#This Row],[launched_at]]/60)/60/24)+DATE(1970,1,1)</f>
        <v>41969.858090277776</v>
      </c>
      <c r="M603">
        <f>MONTH(Table1[[#This Row],[Date Created Conversion]])</f>
        <v>11</v>
      </c>
      <c r="N603">
        <f>YEAR(Table1[[#This Row],[Date Created Conversion]])</f>
        <v>2014</v>
      </c>
      <c r="O603" t="b">
        <v>0</v>
      </c>
      <c r="P603">
        <v>6</v>
      </c>
      <c r="Q603" t="b">
        <v>0</v>
      </c>
      <c r="R603" t="s">
        <v>8272</v>
      </c>
      <c r="S603" s="6">
        <f>Table1[[#This Row],[pledged]]/Table1[[#This Row],[goal]]</f>
        <v>1.4E-2</v>
      </c>
      <c r="T603" s="8">
        <f>IF(Table1[[#This Row],[pledged]]=0,"no backers",Table1[[#This Row],[pledged]]/Table1[[#This Row],[backers_count]])</f>
        <v>23.333333333333332</v>
      </c>
      <c r="U603" t="str">
        <f>LEFT(Table1[[#This Row],[Category and Sub-Category]],FIND("/",Table1[[#This Row],[Category and Sub-Category]])-1)</f>
        <v>technology</v>
      </c>
      <c r="V603" t="str">
        <f>RIGHT(Table1[[#This Row],[Category and Sub-Category]],LEN(Table1[[#This Row],[Category and Sub-Category]])-FIND("/",Table1[[#This Row],[Category and Sub-Category]]))</f>
        <v>web</v>
      </c>
    </row>
    <row r="604" spans="1:22" ht="43.2" x14ac:dyDescent="0.3">
      <c r="A604">
        <v>602</v>
      </c>
      <c r="B604" s="3" t="s">
        <v>603</v>
      </c>
      <c r="C604" s="3" t="s">
        <v>4712</v>
      </c>
      <c r="D604" s="12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>((Table1[[#This Row],[deadline]]/60)/60/24)+DATE(1970,1,1)</f>
        <v>42173.79415509259</v>
      </c>
      <c r="K604">
        <v>1432062215</v>
      </c>
      <c r="L604" s="11">
        <f>((Table1[[#This Row],[launched_at]]/60)/60/24)+DATE(1970,1,1)</f>
        <v>42143.79415509259</v>
      </c>
      <c r="M604">
        <f>MONTH(Table1[[#This Row],[Date Created Conversion]])</f>
        <v>5</v>
      </c>
      <c r="N604">
        <f>YEAR(Table1[[#This Row],[Date Created Conversion]])</f>
        <v>2015</v>
      </c>
      <c r="O604" t="b">
        <v>0</v>
      </c>
      <c r="P604">
        <v>0</v>
      </c>
      <c r="Q604" t="b">
        <v>0</v>
      </c>
      <c r="R604" t="s">
        <v>8272</v>
      </c>
      <c r="S604" s="6">
        <f>Table1[[#This Row],[pledged]]/Table1[[#This Row],[goal]]</f>
        <v>0</v>
      </c>
      <c r="T604" s="8" t="str">
        <f>IF(Table1[[#This Row],[pledged]]=0,"no backers",Table1[[#This Row],[pledged]]/Table1[[#This Row],[backers_count]])</f>
        <v>no backers</v>
      </c>
      <c r="U604" t="str">
        <f>LEFT(Table1[[#This Row],[Category and Sub-Category]],FIND("/",Table1[[#This Row],[Category and Sub-Category]])-1)</f>
        <v>technology</v>
      </c>
      <c r="V604" t="str">
        <f>RIGHT(Table1[[#This Row],[Category and Sub-Category]],LEN(Table1[[#This Row],[Category and Sub-Category]])-FIND("/",Table1[[#This Row],[Category and Sub-Category]]))</f>
        <v>web</v>
      </c>
    </row>
    <row r="605" spans="1:22" ht="43.2" x14ac:dyDescent="0.3">
      <c r="A605">
        <v>603</v>
      </c>
      <c r="B605" s="3" t="s">
        <v>604</v>
      </c>
      <c r="C605" s="3" t="s">
        <v>4713</v>
      </c>
      <c r="D605" s="12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>((Table1[[#This Row],[deadline]]/60)/60/24)+DATE(1970,1,1)</f>
        <v>41865.639155092591</v>
      </c>
      <c r="K605">
        <v>1405437623</v>
      </c>
      <c r="L605" s="11">
        <f>((Table1[[#This Row],[launched_at]]/60)/60/24)+DATE(1970,1,1)</f>
        <v>41835.639155092591</v>
      </c>
      <c r="M605">
        <f>MONTH(Table1[[#This Row],[Date Created Conversion]])</f>
        <v>7</v>
      </c>
      <c r="N605">
        <f>YEAR(Table1[[#This Row],[Date Created Conversion]])</f>
        <v>2014</v>
      </c>
      <c r="O605" t="b">
        <v>0</v>
      </c>
      <c r="P605">
        <v>13</v>
      </c>
      <c r="Q605" t="b">
        <v>0</v>
      </c>
      <c r="R605" t="s">
        <v>8272</v>
      </c>
      <c r="S605" s="6">
        <f>Table1[[#This Row],[pledged]]/Table1[[#This Row],[goal]]</f>
        <v>3.9334666666666664E-2</v>
      </c>
      <c r="T605" s="8">
        <f>IF(Table1[[#This Row],[pledged]]=0,"no backers",Table1[[#This Row],[pledged]]/Table1[[#This Row],[backers_count]])</f>
        <v>45.386153846153846</v>
      </c>
      <c r="U605" t="str">
        <f>LEFT(Table1[[#This Row],[Category and Sub-Category]],FIND("/",Table1[[#This Row],[Category and Sub-Category]])-1)</f>
        <v>technology</v>
      </c>
      <c r="V605" t="str">
        <f>RIGHT(Table1[[#This Row],[Category and Sub-Category]],LEN(Table1[[#This Row],[Category and Sub-Category]])-FIND("/",Table1[[#This Row],[Category and Sub-Category]]))</f>
        <v>web</v>
      </c>
    </row>
    <row r="606" spans="1:22" ht="43.2" x14ac:dyDescent="0.3">
      <c r="A606">
        <v>604</v>
      </c>
      <c r="B606" s="3" t="s">
        <v>605</v>
      </c>
      <c r="C606" s="3" t="s">
        <v>4714</v>
      </c>
      <c r="D606" s="12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>((Table1[[#This Row],[deadline]]/60)/60/24)+DATE(1970,1,1)</f>
        <v>41879.035370370373</v>
      </c>
      <c r="K606">
        <v>1406595056</v>
      </c>
      <c r="L606" s="11">
        <f>((Table1[[#This Row],[launched_at]]/60)/60/24)+DATE(1970,1,1)</f>
        <v>41849.035370370373</v>
      </c>
      <c r="M606">
        <f>MONTH(Table1[[#This Row],[Date Created Conversion]])</f>
        <v>7</v>
      </c>
      <c r="N606">
        <f>YEAR(Table1[[#This Row],[Date Created Conversion]])</f>
        <v>2014</v>
      </c>
      <c r="O606" t="b">
        <v>0</v>
      </c>
      <c r="P606">
        <v>0</v>
      </c>
      <c r="Q606" t="b">
        <v>0</v>
      </c>
      <c r="R606" t="s">
        <v>8272</v>
      </c>
      <c r="S606" s="6">
        <f>Table1[[#This Row],[pledged]]/Table1[[#This Row],[goal]]</f>
        <v>0</v>
      </c>
      <c r="T606" s="8" t="str">
        <f>IF(Table1[[#This Row],[pledged]]=0,"no backers",Table1[[#This Row],[pledged]]/Table1[[#This Row],[backers_count]])</f>
        <v>no backers</v>
      </c>
      <c r="U606" t="str">
        <f>LEFT(Table1[[#This Row],[Category and Sub-Category]],FIND("/",Table1[[#This Row],[Category and Sub-Category]])-1)</f>
        <v>technology</v>
      </c>
      <c r="V606" t="str">
        <f>RIGHT(Table1[[#This Row],[Category and Sub-Category]],LEN(Table1[[#This Row],[Category and Sub-Category]])-FIND("/",Table1[[#This Row],[Category and Sub-Category]]))</f>
        <v>web</v>
      </c>
    </row>
    <row r="607" spans="1:22" ht="28.8" x14ac:dyDescent="0.3">
      <c r="A607">
        <v>605</v>
      </c>
      <c r="B607" s="3" t="s">
        <v>606</v>
      </c>
      <c r="C607" s="3" t="s">
        <v>4715</v>
      </c>
      <c r="D607" s="12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>((Table1[[#This Row],[deadline]]/60)/60/24)+DATE(1970,1,1)</f>
        <v>42239.357731481476</v>
      </c>
      <c r="K607">
        <v>1436430908</v>
      </c>
      <c r="L607" s="11">
        <f>((Table1[[#This Row],[launched_at]]/60)/60/24)+DATE(1970,1,1)</f>
        <v>42194.357731481476</v>
      </c>
      <c r="M607">
        <f>MONTH(Table1[[#This Row],[Date Created Conversion]])</f>
        <v>7</v>
      </c>
      <c r="N607">
        <f>YEAR(Table1[[#This Row],[Date Created Conversion]])</f>
        <v>2015</v>
      </c>
      <c r="O607" t="b">
        <v>0</v>
      </c>
      <c r="P607">
        <v>8</v>
      </c>
      <c r="Q607" t="b">
        <v>0</v>
      </c>
      <c r="R607" t="s">
        <v>8272</v>
      </c>
      <c r="S607" s="6">
        <f>Table1[[#This Row],[pledged]]/Table1[[#This Row],[goal]]</f>
        <v>2.6200000000000001E-2</v>
      </c>
      <c r="T607" s="8">
        <f>IF(Table1[[#This Row],[pledged]]=0,"no backers",Table1[[#This Row],[pledged]]/Table1[[#This Row],[backers_count]])</f>
        <v>16.375</v>
      </c>
      <c r="U607" t="str">
        <f>LEFT(Table1[[#This Row],[Category and Sub-Category]],FIND("/",Table1[[#This Row],[Category and Sub-Category]])-1)</f>
        <v>technology</v>
      </c>
      <c r="V607" t="str">
        <f>RIGHT(Table1[[#This Row],[Category and Sub-Category]],LEN(Table1[[#This Row],[Category and Sub-Category]])-FIND("/",Table1[[#This Row],[Category and Sub-Category]]))</f>
        <v>web</v>
      </c>
    </row>
    <row r="608" spans="1:22" ht="57.6" x14ac:dyDescent="0.3">
      <c r="A608">
        <v>606</v>
      </c>
      <c r="B608" s="3" t="s">
        <v>607</v>
      </c>
      <c r="C608" s="3" t="s">
        <v>4716</v>
      </c>
      <c r="D608" s="12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>((Table1[[#This Row],[deadline]]/60)/60/24)+DATE(1970,1,1)</f>
        <v>42148.625</v>
      </c>
      <c r="K608">
        <v>1428507409</v>
      </c>
      <c r="L608" s="11">
        <f>((Table1[[#This Row],[launched_at]]/60)/60/24)+DATE(1970,1,1)</f>
        <v>42102.650567129633</v>
      </c>
      <c r="M608">
        <f>MONTH(Table1[[#This Row],[Date Created Conversion]])</f>
        <v>4</v>
      </c>
      <c r="N608">
        <f>YEAR(Table1[[#This Row],[Date Created Conversion]])</f>
        <v>2015</v>
      </c>
      <c r="O608" t="b">
        <v>0</v>
      </c>
      <c r="P608">
        <v>1</v>
      </c>
      <c r="Q608" t="b">
        <v>0</v>
      </c>
      <c r="R608" t="s">
        <v>8272</v>
      </c>
      <c r="S608" s="6">
        <f>Table1[[#This Row],[pledged]]/Table1[[#This Row],[goal]]</f>
        <v>2E-3</v>
      </c>
      <c r="T608" s="8">
        <f>IF(Table1[[#This Row],[pledged]]=0,"no backers",Table1[[#This Row],[pledged]]/Table1[[#This Row],[backers_count]])</f>
        <v>10</v>
      </c>
      <c r="U608" t="str">
        <f>LEFT(Table1[[#This Row],[Category and Sub-Category]],FIND("/",Table1[[#This Row],[Category and Sub-Category]])-1)</f>
        <v>technology</v>
      </c>
      <c r="V608" t="str">
        <f>RIGHT(Table1[[#This Row],[Category and Sub-Category]],LEN(Table1[[#This Row],[Category and Sub-Category]])-FIND("/",Table1[[#This Row],[Category and Sub-Category]]))</f>
        <v>web</v>
      </c>
    </row>
    <row r="609" spans="1:22" ht="43.2" x14ac:dyDescent="0.3">
      <c r="A609">
        <v>607</v>
      </c>
      <c r="B609" s="3" t="s">
        <v>608</v>
      </c>
      <c r="C609" s="3" t="s">
        <v>4717</v>
      </c>
      <c r="D609" s="12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>((Table1[[#This Row],[deadline]]/60)/60/24)+DATE(1970,1,1)</f>
        <v>42330.867314814815</v>
      </c>
      <c r="K609">
        <v>1445629736</v>
      </c>
      <c r="L609" s="11">
        <f>((Table1[[#This Row],[launched_at]]/60)/60/24)+DATE(1970,1,1)</f>
        <v>42300.825648148151</v>
      </c>
      <c r="M609">
        <f>MONTH(Table1[[#This Row],[Date Created Conversion]])</f>
        <v>10</v>
      </c>
      <c r="N609">
        <f>YEAR(Table1[[#This Row],[Date Created Conversion]])</f>
        <v>2015</v>
      </c>
      <c r="O609" t="b">
        <v>0</v>
      </c>
      <c r="P609">
        <v>0</v>
      </c>
      <c r="Q609" t="b">
        <v>0</v>
      </c>
      <c r="R609" t="s">
        <v>8272</v>
      </c>
      <c r="S609" s="6">
        <f>Table1[[#This Row],[pledged]]/Table1[[#This Row],[goal]]</f>
        <v>0</v>
      </c>
      <c r="T609" s="8" t="str">
        <f>IF(Table1[[#This Row],[pledged]]=0,"no backers",Table1[[#This Row],[pledged]]/Table1[[#This Row],[backers_count]])</f>
        <v>no backers</v>
      </c>
      <c r="U609" t="str">
        <f>LEFT(Table1[[#This Row],[Category and Sub-Category]],FIND("/",Table1[[#This Row],[Category and Sub-Category]])-1)</f>
        <v>technology</v>
      </c>
      <c r="V609" t="str">
        <f>RIGHT(Table1[[#This Row],[Category and Sub-Category]],LEN(Table1[[#This Row],[Category and Sub-Category]])-FIND("/",Table1[[#This Row],[Category and Sub-Category]]))</f>
        <v>web</v>
      </c>
    </row>
    <row r="610" spans="1:22" ht="43.2" x14ac:dyDescent="0.3">
      <c r="A610">
        <v>608</v>
      </c>
      <c r="B610" s="3" t="s">
        <v>609</v>
      </c>
      <c r="C610" s="3" t="s">
        <v>4718</v>
      </c>
      <c r="D610" s="12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>((Table1[[#This Row],[deadline]]/60)/60/24)+DATE(1970,1,1)</f>
        <v>42170.921064814815</v>
      </c>
      <c r="K610">
        <v>1431813980</v>
      </c>
      <c r="L610" s="11">
        <f>((Table1[[#This Row],[launched_at]]/60)/60/24)+DATE(1970,1,1)</f>
        <v>42140.921064814815</v>
      </c>
      <c r="M610">
        <f>MONTH(Table1[[#This Row],[Date Created Conversion]])</f>
        <v>5</v>
      </c>
      <c r="N610">
        <f>YEAR(Table1[[#This Row],[Date Created Conversion]])</f>
        <v>2015</v>
      </c>
      <c r="O610" t="b">
        <v>0</v>
      </c>
      <c r="P610">
        <v>5</v>
      </c>
      <c r="Q610" t="b">
        <v>0</v>
      </c>
      <c r="R610" t="s">
        <v>8272</v>
      </c>
      <c r="S610" s="6">
        <f>Table1[[#This Row],[pledged]]/Table1[[#This Row],[goal]]</f>
        <v>9.7400000000000004E-3</v>
      </c>
      <c r="T610" s="8">
        <f>IF(Table1[[#This Row],[pledged]]=0,"no backers",Table1[[#This Row],[pledged]]/Table1[[#This Row],[backers_count]])</f>
        <v>292.2</v>
      </c>
      <c r="U610" t="str">
        <f>LEFT(Table1[[#This Row],[Category and Sub-Category]],FIND("/",Table1[[#This Row],[Category and Sub-Category]])-1)</f>
        <v>technology</v>
      </c>
      <c r="V610" t="str">
        <f>RIGHT(Table1[[#This Row],[Category and Sub-Category]],LEN(Table1[[#This Row],[Category and Sub-Category]])-FIND("/",Table1[[#This Row],[Category and Sub-Category]]))</f>
        <v>web</v>
      </c>
    </row>
    <row r="611" spans="1:22" ht="43.2" x14ac:dyDescent="0.3">
      <c r="A611">
        <v>609</v>
      </c>
      <c r="B611" s="3" t="s">
        <v>610</v>
      </c>
      <c r="C611" s="3" t="s">
        <v>4719</v>
      </c>
      <c r="D611" s="12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>((Table1[[#This Row],[deadline]]/60)/60/24)+DATE(1970,1,1)</f>
        <v>42337.075740740736</v>
      </c>
      <c r="K611">
        <v>1446166144</v>
      </c>
      <c r="L611" s="11">
        <f>((Table1[[#This Row],[launched_at]]/60)/60/24)+DATE(1970,1,1)</f>
        <v>42307.034074074079</v>
      </c>
      <c r="M611">
        <f>MONTH(Table1[[#This Row],[Date Created Conversion]])</f>
        <v>10</v>
      </c>
      <c r="N611">
        <f>YEAR(Table1[[#This Row],[Date Created Conversion]])</f>
        <v>2015</v>
      </c>
      <c r="O611" t="b">
        <v>0</v>
      </c>
      <c r="P611">
        <v>1</v>
      </c>
      <c r="Q611" t="b">
        <v>0</v>
      </c>
      <c r="R611" t="s">
        <v>8272</v>
      </c>
      <c r="S611" s="6">
        <f>Table1[[#This Row],[pledged]]/Table1[[#This Row],[goal]]</f>
        <v>6.41025641025641E-3</v>
      </c>
      <c r="T611" s="8">
        <f>IF(Table1[[#This Row],[pledged]]=0,"no backers",Table1[[#This Row],[pledged]]/Table1[[#This Row],[backers_count]])</f>
        <v>5</v>
      </c>
      <c r="U611" t="str">
        <f>LEFT(Table1[[#This Row],[Category and Sub-Category]],FIND("/",Table1[[#This Row],[Category and Sub-Category]])-1)</f>
        <v>technology</v>
      </c>
      <c r="V611" t="str">
        <f>RIGHT(Table1[[#This Row],[Category and Sub-Category]],LEN(Table1[[#This Row],[Category and Sub-Category]])-FIND("/",Table1[[#This Row],[Category and Sub-Category]]))</f>
        <v>web</v>
      </c>
    </row>
    <row r="612" spans="1:22" ht="43.2" x14ac:dyDescent="0.3">
      <c r="A612">
        <v>610</v>
      </c>
      <c r="B612" s="3" t="s">
        <v>611</v>
      </c>
      <c r="C612" s="3" t="s">
        <v>4720</v>
      </c>
      <c r="D612" s="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>((Table1[[#This Row],[deadline]]/60)/60/24)+DATE(1970,1,1)</f>
        <v>42116.83085648148</v>
      </c>
      <c r="K612">
        <v>1427140586</v>
      </c>
      <c r="L612" s="11">
        <f>((Table1[[#This Row],[launched_at]]/60)/60/24)+DATE(1970,1,1)</f>
        <v>42086.83085648148</v>
      </c>
      <c r="M612">
        <f>MONTH(Table1[[#This Row],[Date Created Conversion]])</f>
        <v>3</v>
      </c>
      <c r="N612">
        <f>YEAR(Table1[[#This Row],[Date Created Conversion]])</f>
        <v>2015</v>
      </c>
      <c r="O612" t="b">
        <v>0</v>
      </c>
      <c r="P612">
        <v>0</v>
      </c>
      <c r="Q612" t="b">
        <v>0</v>
      </c>
      <c r="R612" t="s">
        <v>8272</v>
      </c>
      <c r="S612" s="6">
        <f>Table1[[#This Row],[pledged]]/Table1[[#This Row],[goal]]</f>
        <v>0</v>
      </c>
      <c r="T612" s="8" t="str">
        <f>IF(Table1[[#This Row],[pledged]]=0,"no backers",Table1[[#This Row],[pledged]]/Table1[[#This Row],[backers_count]])</f>
        <v>no backers</v>
      </c>
      <c r="U612" t="str">
        <f>LEFT(Table1[[#This Row],[Category and Sub-Category]],FIND("/",Table1[[#This Row],[Category and Sub-Category]])-1)</f>
        <v>technology</v>
      </c>
      <c r="V612" t="str">
        <f>RIGHT(Table1[[#This Row],[Category and Sub-Category]],LEN(Table1[[#This Row],[Category and Sub-Category]])-FIND("/",Table1[[#This Row],[Category and Sub-Category]]))</f>
        <v>web</v>
      </c>
    </row>
    <row r="613" spans="1:22" ht="43.2" x14ac:dyDescent="0.3">
      <c r="A613">
        <v>611</v>
      </c>
      <c r="B613" s="3" t="s">
        <v>612</v>
      </c>
      <c r="C613" s="3" t="s">
        <v>4721</v>
      </c>
      <c r="D613" s="12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>((Table1[[#This Row],[deadline]]/60)/60/24)+DATE(1970,1,1)</f>
        <v>42388.560613425929</v>
      </c>
      <c r="K613">
        <v>1448026037</v>
      </c>
      <c r="L613" s="11">
        <f>((Table1[[#This Row],[launched_at]]/60)/60/24)+DATE(1970,1,1)</f>
        <v>42328.560613425929</v>
      </c>
      <c r="M613">
        <f>MONTH(Table1[[#This Row],[Date Created Conversion]])</f>
        <v>11</v>
      </c>
      <c r="N613">
        <f>YEAR(Table1[[#This Row],[Date Created Conversion]])</f>
        <v>2015</v>
      </c>
      <c r="O613" t="b">
        <v>0</v>
      </c>
      <c r="P613">
        <v>0</v>
      </c>
      <c r="Q613" t="b">
        <v>0</v>
      </c>
      <c r="R613" t="s">
        <v>8272</v>
      </c>
      <c r="S613" s="6">
        <f>Table1[[#This Row],[pledged]]/Table1[[#This Row],[goal]]</f>
        <v>0</v>
      </c>
      <c r="T613" s="8" t="str">
        <f>IF(Table1[[#This Row],[pledged]]=0,"no backers",Table1[[#This Row],[pledged]]/Table1[[#This Row],[backers_count]])</f>
        <v>no backers</v>
      </c>
      <c r="U613" t="str">
        <f>LEFT(Table1[[#This Row],[Category and Sub-Category]],FIND("/",Table1[[#This Row],[Category and Sub-Category]])-1)</f>
        <v>technology</v>
      </c>
      <c r="V613" t="str">
        <f>RIGHT(Table1[[#This Row],[Category and Sub-Category]],LEN(Table1[[#This Row],[Category and Sub-Category]])-FIND("/",Table1[[#This Row],[Category and Sub-Category]]))</f>
        <v>web</v>
      </c>
    </row>
    <row r="614" spans="1:22" ht="28.8" x14ac:dyDescent="0.3">
      <c r="A614">
        <v>612</v>
      </c>
      <c r="B614" s="3" t="s">
        <v>613</v>
      </c>
      <c r="C614" s="3" t="s">
        <v>4722</v>
      </c>
      <c r="D614" s="12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>((Table1[[#This Row],[deadline]]/60)/60/24)+DATE(1970,1,1)</f>
        <v>42615.031782407401</v>
      </c>
      <c r="K614">
        <v>1470185146</v>
      </c>
      <c r="L614" s="11">
        <f>((Table1[[#This Row],[launched_at]]/60)/60/24)+DATE(1970,1,1)</f>
        <v>42585.031782407401</v>
      </c>
      <c r="M614">
        <f>MONTH(Table1[[#This Row],[Date Created Conversion]])</f>
        <v>8</v>
      </c>
      <c r="N614">
        <f>YEAR(Table1[[#This Row],[Date Created Conversion]])</f>
        <v>2016</v>
      </c>
      <c r="O614" t="b">
        <v>0</v>
      </c>
      <c r="P614">
        <v>0</v>
      </c>
      <c r="Q614" t="b">
        <v>0</v>
      </c>
      <c r="R614" t="s">
        <v>8272</v>
      </c>
      <c r="S614" s="6">
        <f>Table1[[#This Row],[pledged]]/Table1[[#This Row],[goal]]</f>
        <v>0</v>
      </c>
      <c r="T614" s="8" t="str">
        <f>IF(Table1[[#This Row],[pledged]]=0,"no backers",Table1[[#This Row],[pledged]]/Table1[[#This Row],[backers_count]])</f>
        <v>no backers</v>
      </c>
      <c r="U614" t="str">
        <f>LEFT(Table1[[#This Row],[Category and Sub-Category]],FIND("/",Table1[[#This Row],[Category and Sub-Category]])-1)</f>
        <v>technology</v>
      </c>
      <c r="V614" t="str">
        <f>RIGHT(Table1[[#This Row],[Category and Sub-Category]],LEN(Table1[[#This Row],[Category and Sub-Category]])-FIND("/",Table1[[#This Row],[Category and Sub-Category]]))</f>
        <v>web</v>
      </c>
    </row>
    <row r="615" spans="1:22" ht="43.2" x14ac:dyDescent="0.3">
      <c r="A615">
        <v>613</v>
      </c>
      <c r="B615" s="3" t="s">
        <v>614</v>
      </c>
      <c r="C615" s="3" t="s">
        <v>4723</v>
      </c>
      <c r="D615" s="12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>((Table1[[#This Row],[deadline]]/60)/60/24)+DATE(1970,1,1)</f>
        <v>42278.207638888889</v>
      </c>
      <c r="K615">
        <v>1441022120</v>
      </c>
      <c r="L615" s="11">
        <f>((Table1[[#This Row],[launched_at]]/60)/60/24)+DATE(1970,1,1)</f>
        <v>42247.496759259258</v>
      </c>
      <c r="M615">
        <f>MONTH(Table1[[#This Row],[Date Created Conversion]])</f>
        <v>8</v>
      </c>
      <c r="N615">
        <f>YEAR(Table1[[#This Row],[Date Created Conversion]])</f>
        <v>2015</v>
      </c>
      <c r="O615" t="b">
        <v>0</v>
      </c>
      <c r="P615">
        <v>121</v>
      </c>
      <c r="Q615" t="b">
        <v>0</v>
      </c>
      <c r="R615" t="s">
        <v>8272</v>
      </c>
      <c r="S615" s="6">
        <f>Table1[[#This Row],[pledged]]/Table1[[#This Row],[goal]]</f>
        <v>0.21363333333333334</v>
      </c>
      <c r="T615" s="8">
        <f>IF(Table1[[#This Row],[pledged]]=0,"no backers",Table1[[#This Row],[pledged]]/Table1[[#This Row],[backers_count]])</f>
        <v>105.93388429752066</v>
      </c>
      <c r="U615" t="str">
        <f>LEFT(Table1[[#This Row],[Category and Sub-Category]],FIND("/",Table1[[#This Row],[Category and Sub-Category]])-1)</f>
        <v>technology</v>
      </c>
      <c r="V615" t="str">
        <f>RIGHT(Table1[[#This Row],[Category and Sub-Category]],LEN(Table1[[#This Row],[Category and Sub-Category]])-FIND("/",Table1[[#This Row],[Category and Sub-Category]]))</f>
        <v>web</v>
      </c>
    </row>
    <row r="616" spans="1:22" ht="43.2" x14ac:dyDescent="0.3">
      <c r="A616">
        <v>614</v>
      </c>
      <c r="B616" s="3" t="s">
        <v>615</v>
      </c>
      <c r="C616" s="3" t="s">
        <v>4724</v>
      </c>
      <c r="D616" s="12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>((Table1[[#This Row],[deadline]]/60)/60/24)+DATE(1970,1,1)</f>
        <v>42545.061805555553</v>
      </c>
      <c r="K616">
        <v>1464139740</v>
      </c>
      <c r="L616" s="11">
        <f>((Table1[[#This Row],[launched_at]]/60)/60/24)+DATE(1970,1,1)</f>
        <v>42515.061805555553</v>
      </c>
      <c r="M616">
        <f>MONTH(Table1[[#This Row],[Date Created Conversion]])</f>
        <v>5</v>
      </c>
      <c r="N616">
        <f>YEAR(Table1[[#This Row],[Date Created Conversion]])</f>
        <v>2016</v>
      </c>
      <c r="O616" t="b">
        <v>0</v>
      </c>
      <c r="P616">
        <v>0</v>
      </c>
      <c r="Q616" t="b">
        <v>0</v>
      </c>
      <c r="R616" t="s">
        <v>8272</v>
      </c>
      <c r="S616" s="6">
        <f>Table1[[#This Row],[pledged]]/Table1[[#This Row],[goal]]</f>
        <v>0</v>
      </c>
      <c r="T616" s="8" t="str">
        <f>IF(Table1[[#This Row],[pledged]]=0,"no backers",Table1[[#This Row],[pledged]]/Table1[[#This Row],[backers_count]])</f>
        <v>no backers</v>
      </c>
      <c r="U616" t="str">
        <f>LEFT(Table1[[#This Row],[Category and Sub-Category]],FIND("/",Table1[[#This Row],[Category and Sub-Category]])-1)</f>
        <v>technology</v>
      </c>
      <c r="V616" t="str">
        <f>RIGHT(Table1[[#This Row],[Category and Sub-Category]],LEN(Table1[[#This Row],[Category and Sub-Category]])-FIND("/",Table1[[#This Row],[Category and Sub-Category]]))</f>
        <v>web</v>
      </c>
    </row>
    <row r="617" spans="1:22" ht="43.2" x14ac:dyDescent="0.3">
      <c r="A617">
        <v>615</v>
      </c>
      <c r="B617" s="3" t="s">
        <v>616</v>
      </c>
      <c r="C617" s="3" t="s">
        <v>4725</v>
      </c>
      <c r="D617" s="12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>((Table1[[#This Row],[deadline]]/60)/60/24)+DATE(1970,1,1)</f>
        <v>42272.122210648144</v>
      </c>
      <c r="K617">
        <v>1440557759</v>
      </c>
      <c r="L617" s="11">
        <f>((Table1[[#This Row],[launched_at]]/60)/60/24)+DATE(1970,1,1)</f>
        <v>42242.122210648144</v>
      </c>
      <c r="M617">
        <f>MONTH(Table1[[#This Row],[Date Created Conversion]])</f>
        <v>8</v>
      </c>
      <c r="N617">
        <f>YEAR(Table1[[#This Row],[Date Created Conversion]])</f>
        <v>2015</v>
      </c>
      <c r="O617" t="b">
        <v>0</v>
      </c>
      <c r="P617">
        <v>0</v>
      </c>
      <c r="Q617" t="b">
        <v>0</v>
      </c>
      <c r="R617" t="s">
        <v>8272</v>
      </c>
      <c r="S617" s="6">
        <f>Table1[[#This Row],[pledged]]/Table1[[#This Row],[goal]]</f>
        <v>0</v>
      </c>
      <c r="T617" s="8" t="str">
        <f>IF(Table1[[#This Row],[pledged]]=0,"no backers",Table1[[#This Row],[pledged]]/Table1[[#This Row],[backers_count]])</f>
        <v>no backers</v>
      </c>
      <c r="U617" t="str">
        <f>LEFT(Table1[[#This Row],[Category and Sub-Category]],FIND("/",Table1[[#This Row],[Category and Sub-Category]])-1)</f>
        <v>technology</v>
      </c>
      <c r="V617" t="str">
        <f>RIGHT(Table1[[#This Row],[Category and Sub-Category]],LEN(Table1[[#This Row],[Category and Sub-Category]])-FIND("/",Table1[[#This Row],[Category and Sub-Category]]))</f>
        <v>web</v>
      </c>
    </row>
    <row r="618" spans="1:22" ht="43.2" x14ac:dyDescent="0.3">
      <c r="A618">
        <v>616</v>
      </c>
      <c r="B618" s="3" t="s">
        <v>617</v>
      </c>
      <c r="C618" s="3" t="s">
        <v>4726</v>
      </c>
      <c r="D618" s="12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>((Table1[[#This Row],[deadline]]/60)/60/24)+DATE(1970,1,1)</f>
        <v>42791.376238425932</v>
      </c>
      <c r="K618">
        <v>1485421307</v>
      </c>
      <c r="L618" s="11">
        <f>((Table1[[#This Row],[launched_at]]/60)/60/24)+DATE(1970,1,1)</f>
        <v>42761.376238425932</v>
      </c>
      <c r="M618">
        <f>MONTH(Table1[[#This Row],[Date Created Conversion]])</f>
        <v>1</v>
      </c>
      <c r="N618">
        <f>YEAR(Table1[[#This Row],[Date Created Conversion]])</f>
        <v>2017</v>
      </c>
      <c r="O618" t="b">
        <v>0</v>
      </c>
      <c r="P618">
        <v>0</v>
      </c>
      <c r="Q618" t="b">
        <v>0</v>
      </c>
      <c r="R618" t="s">
        <v>8272</v>
      </c>
      <c r="S618" s="6">
        <f>Table1[[#This Row],[pledged]]/Table1[[#This Row],[goal]]</f>
        <v>0</v>
      </c>
      <c r="T618" s="8" t="str">
        <f>IF(Table1[[#This Row],[pledged]]=0,"no backers",Table1[[#This Row],[pledged]]/Table1[[#This Row],[backers_count]])</f>
        <v>no backers</v>
      </c>
      <c r="U618" t="str">
        <f>LEFT(Table1[[#This Row],[Category and Sub-Category]],FIND("/",Table1[[#This Row],[Category and Sub-Category]])-1)</f>
        <v>technology</v>
      </c>
      <c r="V618" t="str">
        <f>RIGHT(Table1[[#This Row],[Category and Sub-Category]],LEN(Table1[[#This Row],[Category and Sub-Category]])-FIND("/",Table1[[#This Row],[Category and Sub-Category]]))</f>
        <v>web</v>
      </c>
    </row>
    <row r="619" spans="1:22" ht="57.6" x14ac:dyDescent="0.3">
      <c r="A619">
        <v>617</v>
      </c>
      <c r="B619" s="3" t="s">
        <v>618</v>
      </c>
      <c r="C619" s="3" t="s">
        <v>4727</v>
      </c>
      <c r="D619" s="12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>((Table1[[#This Row],[deadline]]/60)/60/24)+DATE(1970,1,1)</f>
        <v>42132.343090277776</v>
      </c>
      <c r="K619">
        <v>1427184843</v>
      </c>
      <c r="L619" s="11">
        <f>((Table1[[#This Row],[launched_at]]/60)/60/24)+DATE(1970,1,1)</f>
        <v>42087.343090277776</v>
      </c>
      <c r="M619">
        <f>MONTH(Table1[[#This Row],[Date Created Conversion]])</f>
        <v>3</v>
      </c>
      <c r="N619">
        <f>YEAR(Table1[[#This Row],[Date Created Conversion]])</f>
        <v>2015</v>
      </c>
      <c r="O619" t="b">
        <v>0</v>
      </c>
      <c r="P619">
        <v>3</v>
      </c>
      <c r="Q619" t="b">
        <v>0</v>
      </c>
      <c r="R619" t="s">
        <v>8272</v>
      </c>
      <c r="S619" s="6">
        <f>Table1[[#This Row],[pledged]]/Table1[[#This Row],[goal]]</f>
        <v>0.03</v>
      </c>
      <c r="T619" s="8">
        <f>IF(Table1[[#This Row],[pledged]]=0,"no backers",Table1[[#This Row],[pledged]]/Table1[[#This Row],[backers_count]])</f>
        <v>20</v>
      </c>
      <c r="U619" t="str">
        <f>LEFT(Table1[[#This Row],[Category and Sub-Category]],FIND("/",Table1[[#This Row],[Category and Sub-Category]])-1)</f>
        <v>technology</v>
      </c>
      <c r="V619" t="str">
        <f>RIGHT(Table1[[#This Row],[Category and Sub-Category]],LEN(Table1[[#This Row],[Category and Sub-Category]])-FIND("/",Table1[[#This Row],[Category and Sub-Category]]))</f>
        <v>web</v>
      </c>
    </row>
    <row r="620" spans="1:22" ht="43.2" x14ac:dyDescent="0.3">
      <c r="A620">
        <v>618</v>
      </c>
      <c r="B620" s="3" t="s">
        <v>619</v>
      </c>
      <c r="C620" s="3" t="s">
        <v>4728</v>
      </c>
      <c r="D620" s="12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>((Table1[[#This Row],[deadline]]/60)/60/24)+DATE(1970,1,1)</f>
        <v>42347.810219907406</v>
      </c>
      <c r="K620">
        <v>1447097203</v>
      </c>
      <c r="L620" s="11">
        <f>((Table1[[#This Row],[launched_at]]/60)/60/24)+DATE(1970,1,1)</f>
        <v>42317.810219907406</v>
      </c>
      <c r="M620">
        <f>MONTH(Table1[[#This Row],[Date Created Conversion]])</f>
        <v>11</v>
      </c>
      <c r="N620">
        <f>YEAR(Table1[[#This Row],[Date Created Conversion]])</f>
        <v>2015</v>
      </c>
      <c r="O620" t="b">
        <v>0</v>
      </c>
      <c r="P620">
        <v>0</v>
      </c>
      <c r="Q620" t="b">
        <v>0</v>
      </c>
      <c r="R620" t="s">
        <v>8272</v>
      </c>
      <c r="S620" s="6">
        <f>Table1[[#This Row],[pledged]]/Table1[[#This Row],[goal]]</f>
        <v>0</v>
      </c>
      <c r="T620" s="8" t="str">
        <f>IF(Table1[[#This Row],[pledged]]=0,"no backers",Table1[[#This Row],[pledged]]/Table1[[#This Row],[backers_count]])</f>
        <v>no backers</v>
      </c>
      <c r="U620" t="str">
        <f>LEFT(Table1[[#This Row],[Category and Sub-Category]],FIND("/",Table1[[#This Row],[Category and Sub-Category]])-1)</f>
        <v>technology</v>
      </c>
      <c r="V620" t="str">
        <f>RIGHT(Table1[[#This Row],[Category and Sub-Category]],LEN(Table1[[#This Row],[Category and Sub-Category]])-FIND("/",Table1[[#This Row],[Category and Sub-Category]]))</f>
        <v>web</v>
      </c>
    </row>
    <row r="621" spans="1:22" ht="28.8" x14ac:dyDescent="0.3">
      <c r="A621">
        <v>619</v>
      </c>
      <c r="B621" s="3" t="s">
        <v>620</v>
      </c>
      <c r="C621" s="3" t="s">
        <v>4729</v>
      </c>
      <c r="D621" s="12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>((Table1[[#This Row],[deadline]]/60)/60/24)+DATE(1970,1,1)</f>
        <v>41968.692013888889</v>
      </c>
      <c r="K621">
        <v>1411745790</v>
      </c>
      <c r="L621" s="11">
        <f>((Table1[[#This Row],[launched_at]]/60)/60/24)+DATE(1970,1,1)</f>
        <v>41908.650347222225</v>
      </c>
      <c r="M621">
        <f>MONTH(Table1[[#This Row],[Date Created Conversion]])</f>
        <v>9</v>
      </c>
      <c r="N621">
        <f>YEAR(Table1[[#This Row],[Date Created Conversion]])</f>
        <v>2014</v>
      </c>
      <c r="O621" t="b">
        <v>0</v>
      </c>
      <c r="P621">
        <v>1</v>
      </c>
      <c r="Q621" t="b">
        <v>0</v>
      </c>
      <c r="R621" t="s">
        <v>8272</v>
      </c>
      <c r="S621" s="6">
        <f>Table1[[#This Row],[pledged]]/Table1[[#This Row],[goal]]</f>
        <v>3.9999999999999998E-7</v>
      </c>
      <c r="T621" s="8">
        <f>IF(Table1[[#This Row],[pledged]]=0,"no backers",Table1[[#This Row],[pledged]]/Table1[[#This Row],[backers_count]])</f>
        <v>1</v>
      </c>
      <c r="U621" t="str">
        <f>LEFT(Table1[[#This Row],[Category and Sub-Category]],FIND("/",Table1[[#This Row],[Category and Sub-Category]])-1)</f>
        <v>technology</v>
      </c>
      <c r="V621" t="str">
        <f>RIGHT(Table1[[#This Row],[Category and Sub-Category]],LEN(Table1[[#This Row],[Category and Sub-Category]])-FIND("/",Table1[[#This Row],[Category and Sub-Category]]))</f>
        <v>web</v>
      </c>
    </row>
    <row r="622" spans="1:22" ht="43.2" x14ac:dyDescent="0.3">
      <c r="A622">
        <v>620</v>
      </c>
      <c r="B622" s="3" t="s">
        <v>621</v>
      </c>
      <c r="C622" s="3" t="s">
        <v>4730</v>
      </c>
      <c r="D622" s="1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>((Table1[[#This Row],[deadline]]/60)/60/24)+DATE(1970,1,1)</f>
        <v>41876.716874999998</v>
      </c>
      <c r="K622">
        <v>1405098738</v>
      </c>
      <c r="L622" s="11">
        <f>((Table1[[#This Row],[launched_at]]/60)/60/24)+DATE(1970,1,1)</f>
        <v>41831.716874999998</v>
      </c>
      <c r="M622">
        <f>MONTH(Table1[[#This Row],[Date Created Conversion]])</f>
        <v>7</v>
      </c>
      <c r="N622">
        <f>YEAR(Table1[[#This Row],[Date Created Conversion]])</f>
        <v>2014</v>
      </c>
      <c r="O622" t="b">
        <v>0</v>
      </c>
      <c r="P622">
        <v>1</v>
      </c>
      <c r="Q622" t="b">
        <v>0</v>
      </c>
      <c r="R622" t="s">
        <v>8272</v>
      </c>
      <c r="S622" s="6">
        <f>Table1[[#This Row],[pledged]]/Table1[[#This Row],[goal]]</f>
        <v>0.01</v>
      </c>
      <c r="T622" s="8">
        <f>IF(Table1[[#This Row],[pledged]]=0,"no backers",Table1[[#This Row],[pledged]]/Table1[[#This Row],[backers_count]])</f>
        <v>300</v>
      </c>
      <c r="U622" t="str">
        <f>LEFT(Table1[[#This Row],[Category and Sub-Category]],FIND("/",Table1[[#This Row],[Category and Sub-Category]])-1)</f>
        <v>technology</v>
      </c>
      <c r="V622" t="str">
        <f>RIGHT(Table1[[#This Row],[Category and Sub-Category]],LEN(Table1[[#This Row],[Category and Sub-Category]])-FIND("/",Table1[[#This Row],[Category and Sub-Category]]))</f>
        <v>web</v>
      </c>
    </row>
    <row r="623" spans="1:22" ht="43.2" x14ac:dyDescent="0.3">
      <c r="A623">
        <v>621</v>
      </c>
      <c r="B623" s="3" t="s">
        <v>622</v>
      </c>
      <c r="C623" s="3" t="s">
        <v>4731</v>
      </c>
      <c r="D623" s="12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>((Table1[[#This Row],[deadline]]/60)/60/24)+DATE(1970,1,1)</f>
        <v>42558.987696759257</v>
      </c>
      <c r="K623">
        <v>1465342937</v>
      </c>
      <c r="L623" s="11">
        <f>((Table1[[#This Row],[launched_at]]/60)/60/24)+DATE(1970,1,1)</f>
        <v>42528.987696759257</v>
      </c>
      <c r="M623">
        <f>MONTH(Table1[[#This Row],[Date Created Conversion]])</f>
        <v>6</v>
      </c>
      <c r="N623">
        <f>YEAR(Table1[[#This Row],[Date Created Conversion]])</f>
        <v>2016</v>
      </c>
      <c r="O623" t="b">
        <v>0</v>
      </c>
      <c r="P623">
        <v>3</v>
      </c>
      <c r="Q623" t="b">
        <v>0</v>
      </c>
      <c r="R623" t="s">
        <v>8272</v>
      </c>
      <c r="S623" s="6">
        <f>Table1[[#This Row],[pledged]]/Table1[[#This Row],[goal]]</f>
        <v>1.044E-2</v>
      </c>
      <c r="T623" s="8">
        <f>IF(Table1[[#This Row],[pledged]]=0,"no backers",Table1[[#This Row],[pledged]]/Table1[[#This Row],[backers_count]])</f>
        <v>87</v>
      </c>
      <c r="U623" t="str">
        <f>LEFT(Table1[[#This Row],[Category and Sub-Category]],FIND("/",Table1[[#This Row],[Category and Sub-Category]])-1)</f>
        <v>technology</v>
      </c>
      <c r="V623" t="str">
        <f>RIGHT(Table1[[#This Row],[Category and Sub-Category]],LEN(Table1[[#This Row],[Category and Sub-Category]])-FIND("/",Table1[[#This Row],[Category and Sub-Category]]))</f>
        <v>web</v>
      </c>
    </row>
    <row r="624" spans="1:22" ht="43.2" x14ac:dyDescent="0.3">
      <c r="A624">
        <v>622</v>
      </c>
      <c r="B624" s="3" t="s">
        <v>623</v>
      </c>
      <c r="C624" s="3" t="s">
        <v>4732</v>
      </c>
      <c r="D624" s="12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>((Table1[[#This Row],[deadline]]/60)/60/24)+DATE(1970,1,1)</f>
        <v>42552.774745370371</v>
      </c>
      <c r="K624">
        <v>1465670138</v>
      </c>
      <c r="L624" s="11">
        <f>((Table1[[#This Row],[launched_at]]/60)/60/24)+DATE(1970,1,1)</f>
        <v>42532.774745370371</v>
      </c>
      <c r="M624">
        <f>MONTH(Table1[[#This Row],[Date Created Conversion]])</f>
        <v>6</v>
      </c>
      <c r="N624">
        <f>YEAR(Table1[[#This Row],[Date Created Conversion]])</f>
        <v>2016</v>
      </c>
      <c r="O624" t="b">
        <v>0</v>
      </c>
      <c r="P624">
        <v>9</v>
      </c>
      <c r="Q624" t="b">
        <v>0</v>
      </c>
      <c r="R624" t="s">
        <v>8272</v>
      </c>
      <c r="S624" s="6">
        <f>Table1[[#This Row],[pledged]]/Table1[[#This Row],[goal]]</f>
        <v>5.6833333333333333E-2</v>
      </c>
      <c r="T624" s="8">
        <f>IF(Table1[[#This Row],[pledged]]=0,"no backers",Table1[[#This Row],[pledged]]/Table1[[#This Row],[backers_count]])</f>
        <v>37.888888888888886</v>
      </c>
      <c r="U624" t="str">
        <f>LEFT(Table1[[#This Row],[Category and Sub-Category]],FIND("/",Table1[[#This Row],[Category and Sub-Category]])-1)</f>
        <v>technology</v>
      </c>
      <c r="V624" t="str">
        <f>RIGHT(Table1[[#This Row],[Category and Sub-Category]],LEN(Table1[[#This Row],[Category and Sub-Category]])-FIND("/",Table1[[#This Row],[Category and Sub-Category]]))</f>
        <v>web</v>
      </c>
    </row>
    <row r="625" spans="1:22" ht="57.6" x14ac:dyDescent="0.3">
      <c r="A625">
        <v>623</v>
      </c>
      <c r="B625" s="3" t="s">
        <v>624</v>
      </c>
      <c r="C625" s="3" t="s">
        <v>4733</v>
      </c>
      <c r="D625" s="12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>((Table1[[#This Row],[deadline]]/60)/60/24)+DATE(1970,1,1)</f>
        <v>42152.009224537032</v>
      </c>
      <c r="K625">
        <v>1430179997</v>
      </c>
      <c r="L625" s="11">
        <f>((Table1[[#This Row],[launched_at]]/60)/60/24)+DATE(1970,1,1)</f>
        <v>42122.009224537032</v>
      </c>
      <c r="M625">
        <f>MONTH(Table1[[#This Row],[Date Created Conversion]])</f>
        <v>4</v>
      </c>
      <c r="N625">
        <f>YEAR(Table1[[#This Row],[Date Created Conversion]])</f>
        <v>2015</v>
      </c>
      <c r="O625" t="b">
        <v>0</v>
      </c>
      <c r="P625">
        <v>0</v>
      </c>
      <c r="Q625" t="b">
        <v>0</v>
      </c>
      <c r="R625" t="s">
        <v>8272</v>
      </c>
      <c r="S625" s="6">
        <f>Table1[[#This Row],[pledged]]/Table1[[#This Row],[goal]]</f>
        <v>0</v>
      </c>
      <c r="T625" s="8" t="str">
        <f>IF(Table1[[#This Row],[pledged]]=0,"no backers",Table1[[#This Row],[pledged]]/Table1[[#This Row],[backers_count]])</f>
        <v>no backers</v>
      </c>
      <c r="U625" t="str">
        <f>LEFT(Table1[[#This Row],[Category and Sub-Category]],FIND("/",Table1[[#This Row],[Category and Sub-Category]])-1)</f>
        <v>technology</v>
      </c>
      <c r="V625" t="str">
        <f>RIGHT(Table1[[#This Row],[Category and Sub-Category]],LEN(Table1[[#This Row],[Category and Sub-Category]])-FIND("/",Table1[[#This Row],[Category and Sub-Category]]))</f>
        <v>web</v>
      </c>
    </row>
    <row r="626" spans="1:22" ht="43.2" x14ac:dyDescent="0.3">
      <c r="A626">
        <v>624</v>
      </c>
      <c r="B626" s="3" t="s">
        <v>625</v>
      </c>
      <c r="C626" s="3" t="s">
        <v>4734</v>
      </c>
      <c r="D626" s="12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>((Table1[[#This Row],[deadline]]/60)/60/24)+DATE(1970,1,1)</f>
        <v>42138.988900462966</v>
      </c>
      <c r="K626">
        <v>1429055041</v>
      </c>
      <c r="L626" s="11">
        <f>((Table1[[#This Row],[launched_at]]/60)/60/24)+DATE(1970,1,1)</f>
        <v>42108.988900462966</v>
      </c>
      <c r="M626">
        <f>MONTH(Table1[[#This Row],[Date Created Conversion]])</f>
        <v>4</v>
      </c>
      <c r="N626">
        <f>YEAR(Table1[[#This Row],[Date Created Conversion]])</f>
        <v>2015</v>
      </c>
      <c r="O626" t="b">
        <v>0</v>
      </c>
      <c r="P626">
        <v>0</v>
      </c>
      <c r="Q626" t="b">
        <v>0</v>
      </c>
      <c r="R626" t="s">
        <v>8272</v>
      </c>
      <c r="S626" s="6">
        <f>Table1[[#This Row],[pledged]]/Table1[[#This Row],[goal]]</f>
        <v>0</v>
      </c>
      <c r="T626" s="8" t="str">
        <f>IF(Table1[[#This Row],[pledged]]=0,"no backers",Table1[[#This Row],[pledged]]/Table1[[#This Row],[backers_count]])</f>
        <v>no backers</v>
      </c>
      <c r="U626" t="str">
        <f>LEFT(Table1[[#This Row],[Category and Sub-Category]],FIND("/",Table1[[#This Row],[Category and Sub-Category]])-1)</f>
        <v>technology</v>
      </c>
      <c r="V626" t="str">
        <f>RIGHT(Table1[[#This Row],[Category and Sub-Category]],LEN(Table1[[#This Row],[Category and Sub-Category]])-FIND("/",Table1[[#This Row],[Category and Sub-Category]]))</f>
        <v>web</v>
      </c>
    </row>
    <row r="627" spans="1:22" ht="43.2" x14ac:dyDescent="0.3">
      <c r="A627">
        <v>625</v>
      </c>
      <c r="B627" s="3" t="s">
        <v>626</v>
      </c>
      <c r="C627" s="3" t="s">
        <v>4735</v>
      </c>
      <c r="D627" s="12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>((Table1[[#This Row],[deadline]]/60)/60/24)+DATE(1970,1,1)</f>
        <v>42820.853900462964</v>
      </c>
      <c r="K627">
        <v>1487971777</v>
      </c>
      <c r="L627" s="11">
        <f>((Table1[[#This Row],[launched_at]]/60)/60/24)+DATE(1970,1,1)</f>
        <v>42790.895567129628</v>
      </c>
      <c r="M627">
        <f>MONTH(Table1[[#This Row],[Date Created Conversion]])</f>
        <v>2</v>
      </c>
      <c r="N627">
        <f>YEAR(Table1[[#This Row],[Date Created Conversion]])</f>
        <v>2017</v>
      </c>
      <c r="O627" t="b">
        <v>0</v>
      </c>
      <c r="P627">
        <v>0</v>
      </c>
      <c r="Q627" t="b">
        <v>0</v>
      </c>
      <c r="R627" t="s">
        <v>8272</v>
      </c>
      <c r="S627" s="6">
        <f>Table1[[#This Row],[pledged]]/Table1[[#This Row],[goal]]</f>
        <v>0</v>
      </c>
      <c r="T627" s="8" t="str">
        <f>IF(Table1[[#This Row],[pledged]]=0,"no backers",Table1[[#This Row],[pledged]]/Table1[[#This Row],[backers_count]])</f>
        <v>no backers</v>
      </c>
      <c r="U627" t="str">
        <f>LEFT(Table1[[#This Row],[Category and Sub-Category]],FIND("/",Table1[[#This Row],[Category and Sub-Category]])-1)</f>
        <v>technology</v>
      </c>
      <c r="V627" t="str">
        <f>RIGHT(Table1[[#This Row],[Category and Sub-Category]],LEN(Table1[[#This Row],[Category and Sub-Category]])-FIND("/",Table1[[#This Row],[Category and Sub-Category]]))</f>
        <v>web</v>
      </c>
    </row>
    <row r="628" spans="1:22" ht="43.2" x14ac:dyDescent="0.3">
      <c r="A628">
        <v>626</v>
      </c>
      <c r="B628" s="3" t="s">
        <v>627</v>
      </c>
      <c r="C628" s="3" t="s">
        <v>4736</v>
      </c>
      <c r="D628" s="12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>((Table1[[#This Row],[deadline]]/60)/60/24)+DATE(1970,1,1)</f>
        <v>42231.556944444441</v>
      </c>
      <c r="K628">
        <v>1436793939</v>
      </c>
      <c r="L628" s="11">
        <f>((Table1[[#This Row],[launched_at]]/60)/60/24)+DATE(1970,1,1)</f>
        <v>42198.559479166666</v>
      </c>
      <c r="M628">
        <f>MONTH(Table1[[#This Row],[Date Created Conversion]])</f>
        <v>7</v>
      </c>
      <c r="N628">
        <f>YEAR(Table1[[#This Row],[Date Created Conversion]])</f>
        <v>2015</v>
      </c>
      <c r="O628" t="b">
        <v>0</v>
      </c>
      <c r="P628">
        <v>39</v>
      </c>
      <c r="Q628" t="b">
        <v>0</v>
      </c>
      <c r="R628" t="s">
        <v>8272</v>
      </c>
      <c r="S628" s="6">
        <f>Table1[[#This Row],[pledged]]/Table1[[#This Row],[goal]]</f>
        <v>0.17380000000000001</v>
      </c>
      <c r="T628" s="8">
        <f>IF(Table1[[#This Row],[pledged]]=0,"no backers",Table1[[#This Row],[pledged]]/Table1[[#This Row],[backers_count]])</f>
        <v>111.41025641025641</v>
      </c>
      <c r="U628" t="str">
        <f>LEFT(Table1[[#This Row],[Category and Sub-Category]],FIND("/",Table1[[#This Row],[Category and Sub-Category]])-1)</f>
        <v>technology</v>
      </c>
      <c r="V628" t="str">
        <f>RIGHT(Table1[[#This Row],[Category and Sub-Category]],LEN(Table1[[#This Row],[Category and Sub-Category]])-FIND("/",Table1[[#This Row],[Category and Sub-Category]]))</f>
        <v>web</v>
      </c>
    </row>
    <row r="629" spans="1:22" ht="43.2" x14ac:dyDescent="0.3">
      <c r="A629">
        <v>627</v>
      </c>
      <c r="B629" s="3" t="s">
        <v>628</v>
      </c>
      <c r="C629" s="3" t="s">
        <v>4737</v>
      </c>
      <c r="D629" s="12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>((Table1[[#This Row],[deadline]]/60)/60/24)+DATE(1970,1,1)</f>
        <v>42443.958333333328</v>
      </c>
      <c r="K629">
        <v>1452842511</v>
      </c>
      <c r="L629" s="11">
        <f>((Table1[[#This Row],[launched_at]]/60)/60/24)+DATE(1970,1,1)</f>
        <v>42384.306840277779</v>
      </c>
      <c r="M629">
        <f>MONTH(Table1[[#This Row],[Date Created Conversion]])</f>
        <v>1</v>
      </c>
      <c r="N629">
        <f>YEAR(Table1[[#This Row],[Date Created Conversion]])</f>
        <v>2016</v>
      </c>
      <c r="O629" t="b">
        <v>0</v>
      </c>
      <c r="P629">
        <v>1</v>
      </c>
      <c r="Q629" t="b">
        <v>0</v>
      </c>
      <c r="R629" t="s">
        <v>8272</v>
      </c>
      <c r="S629" s="6">
        <f>Table1[[#This Row],[pledged]]/Table1[[#This Row],[goal]]</f>
        <v>2.0000000000000001E-4</v>
      </c>
      <c r="T629" s="8">
        <f>IF(Table1[[#This Row],[pledged]]=0,"no backers",Table1[[#This Row],[pledged]]/Table1[[#This Row],[backers_count]])</f>
        <v>90</v>
      </c>
      <c r="U629" t="str">
        <f>LEFT(Table1[[#This Row],[Category and Sub-Category]],FIND("/",Table1[[#This Row],[Category and Sub-Category]])-1)</f>
        <v>technology</v>
      </c>
      <c r="V629" t="str">
        <f>RIGHT(Table1[[#This Row],[Category and Sub-Category]],LEN(Table1[[#This Row],[Category and Sub-Category]])-FIND("/",Table1[[#This Row],[Category and Sub-Category]]))</f>
        <v>web</v>
      </c>
    </row>
    <row r="630" spans="1:22" ht="43.2" x14ac:dyDescent="0.3">
      <c r="A630">
        <v>628</v>
      </c>
      <c r="B630" s="3" t="s">
        <v>629</v>
      </c>
      <c r="C630" s="3" t="s">
        <v>4738</v>
      </c>
      <c r="D630" s="12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>((Table1[[#This Row],[deadline]]/60)/60/24)+DATE(1970,1,1)</f>
        <v>41833.692789351851</v>
      </c>
      <c r="K630">
        <v>1402677457</v>
      </c>
      <c r="L630" s="11">
        <f>((Table1[[#This Row],[launched_at]]/60)/60/24)+DATE(1970,1,1)</f>
        <v>41803.692789351851</v>
      </c>
      <c r="M630">
        <f>MONTH(Table1[[#This Row],[Date Created Conversion]])</f>
        <v>6</v>
      </c>
      <c r="N630">
        <f>YEAR(Table1[[#This Row],[Date Created Conversion]])</f>
        <v>2014</v>
      </c>
      <c r="O630" t="b">
        <v>0</v>
      </c>
      <c r="P630">
        <v>0</v>
      </c>
      <c r="Q630" t="b">
        <v>0</v>
      </c>
      <c r="R630" t="s">
        <v>8272</v>
      </c>
      <c r="S630" s="6">
        <f>Table1[[#This Row],[pledged]]/Table1[[#This Row],[goal]]</f>
        <v>0</v>
      </c>
      <c r="T630" s="8" t="str">
        <f>IF(Table1[[#This Row],[pledged]]=0,"no backers",Table1[[#This Row],[pledged]]/Table1[[#This Row],[backers_count]])</f>
        <v>no backers</v>
      </c>
      <c r="U630" t="str">
        <f>LEFT(Table1[[#This Row],[Category and Sub-Category]],FIND("/",Table1[[#This Row],[Category and Sub-Category]])-1)</f>
        <v>technology</v>
      </c>
      <c r="V630" t="str">
        <f>RIGHT(Table1[[#This Row],[Category and Sub-Category]],LEN(Table1[[#This Row],[Category and Sub-Category]])-FIND("/",Table1[[#This Row],[Category and Sub-Category]]))</f>
        <v>web</v>
      </c>
    </row>
    <row r="631" spans="1:22" ht="43.2" x14ac:dyDescent="0.3">
      <c r="A631">
        <v>629</v>
      </c>
      <c r="B631" s="3" t="s">
        <v>630</v>
      </c>
      <c r="C631" s="3" t="s">
        <v>4739</v>
      </c>
      <c r="D631" s="12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>((Table1[[#This Row],[deadline]]/60)/60/24)+DATE(1970,1,1)</f>
        <v>42504.637824074074</v>
      </c>
      <c r="K631">
        <v>1460647108</v>
      </c>
      <c r="L631" s="11">
        <f>((Table1[[#This Row],[launched_at]]/60)/60/24)+DATE(1970,1,1)</f>
        <v>42474.637824074074</v>
      </c>
      <c r="M631">
        <f>MONTH(Table1[[#This Row],[Date Created Conversion]])</f>
        <v>4</v>
      </c>
      <c r="N631">
        <f>YEAR(Table1[[#This Row],[Date Created Conversion]])</f>
        <v>2016</v>
      </c>
      <c r="O631" t="b">
        <v>0</v>
      </c>
      <c r="P631">
        <v>3</v>
      </c>
      <c r="Q631" t="b">
        <v>0</v>
      </c>
      <c r="R631" t="s">
        <v>8272</v>
      </c>
      <c r="S631" s="6">
        <f>Table1[[#This Row],[pledged]]/Table1[[#This Row],[goal]]</f>
        <v>1.75E-3</v>
      </c>
      <c r="T631" s="8">
        <f>IF(Table1[[#This Row],[pledged]]=0,"no backers",Table1[[#This Row],[pledged]]/Table1[[#This Row],[backers_count]])</f>
        <v>116.66666666666667</v>
      </c>
      <c r="U631" t="str">
        <f>LEFT(Table1[[#This Row],[Category and Sub-Category]],FIND("/",Table1[[#This Row],[Category and Sub-Category]])-1)</f>
        <v>technology</v>
      </c>
      <c r="V631" t="str">
        <f>RIGHT(Table1[[#This Row],[Category and Sub-Category]],LEN(Table1[[#This Row],[Category and Sub-Category]])-FIND("/",Table1[[#This Row],[Category and Sub-Category]]))</f>
        <v>web</v>
      </c>
    </row>
    <row r="632" spans="1:22" ht="57.6" x14ac:dyDescent="0.3">
      <c r="A632">
        <v>630</v>
      </c>
      <c r="B632" s="3" t="s">
        <v>631</v>
      </c>
      <c r="C632" s="3" t="s">
        <v>4740</v>
      </c>
      <c r="D632" s="1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>((Table1[[#This Row],[deadline]]/60)/60/24)+DATE(1970,1,1)</f>
        <v>42253.215277777781</v>
      </c>
      <c r="K632">
        <v>1438959121</v>
      </c>
      <c r="L632" s="11">
        <f>((Table1[[#This Row],[launched_at]]/60)/60/24)+DATE(1970,1,1)</f>
        <v>42223.619456018518</v>
      </c>
      <c r="M632">
        <f>MONTH(Table1[[#This Row],[Date Created Conversion]])</f>
        <v>8</v>
      </c>
      <c r="N632">
        <f>YEAR(Table1[[#This Row],[Date Created Conversion]])</f>
        <v>2015</v>
      </c>
      <c r="O632" t="b">
        <v>0</v>
      </c>
      <c r="P632">
        <v>1</v>
      </c>
      <c r="Q632" t="b">
        <v>0</v>
      </c>
      <c r="R632" t="s">
        <v>8272</v>
      </c>
      <c r="S632" s="6">
        <f>Table1[[#This Row],[pledged]]/Table1[[#This Row],[goal]]</f>
        <v>8.3340278356529708E-4</v>
      </c>
      <c r="T632" s="8">
        <f>IF(Table1[[#This Row],[pledged]]=0,"no backers",Table1[[#This Row],[pledged]]/Table1[[#This Row],[backers_count]])</f>
        <v>10</v>
      </c>
      <c r="U632" t="str">
        <f>LEFT(Table1[[#This Row],[Category and Sub-Category]],FIND("/",Table1[[#This Row],[Category and Sub-Category]])-1)</f>
        <v>technology</v>
      </c>
      <c r="V632" t="str">
        <f>RIGHT(Table1[[#This Row],[Category and Sub-Category]],LEN(Table1[[#This Row],[Category and Sub-Category]])-FIND("/",Table1[[#This Row],[Category and Sub-Category]]))</f>
        <v>web</v>
      </c>
    </row>
    <row r="633" spans="1:22" ht="28.8" x14ac:dyDescent="0.3">
      <c r="A633">
        <v>631</v>
      </c>
      <c r="B633" s="3" t="s">
        <v>632</v>
      </c>
      <c r="C633" s="3" t="s">
        <v>4741</v>
      </c>
      <c r="D633" s="12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>((Table1[[#This Row],[deadline]]/60)/60/24)+DATE(1970,1,1)</f>
        <v>42518.772326388891</v>
      </c>
      <c r="K633">
        <v>1461954729</v>
      </c>
      <c r="L633" s="11">
        <f>((Table1[[#This Row],[launched_at]]/60)/60/24)+DATE(1970,1,1)</f>
        <v>42489.772326388891</v>
      </c>
      <c r="M633">
        <f>MONTH(Table1[[#This Row],[Date Created Conversion]])</f>
        <v>4</v>
      </c>
      <c r="N633">
        <f>YEAR(Table1[[#This Row],[Date Created Conversion]])</f>
        <v>2016</v>
      </c>
      <c r="O633" t="b">
        <v>0</v>
      </c>
      <c r="P633">
        <v>9</v>
      </c>
      <c r="Q633" t="b">
        <v>0</v>
      </c>
      <c r="R633" t="s">
        <v>8272</v>
      </c>
      <c r="S633" s="6">
        <f>Table1[[#This Row],[pledged]]/Table1[[#This Row],[goal]]</f>
        <v>1.38E-2</v>
      </c>
      <c r="T633" s="8">
        <f>IF(Table1[[#This Row],[pledged]]=0,"no backers",Table1[[#This Row],[pledged]]/Table1[[#This Row],[backers_count]])</f>
        <v>76.666666666666671</v>
      </c>
      <c r="U633" t="str">
        <f>LEFT(Table1[[#This Row],[Category and Sub-Category]],FIND("/",Table1[[#This Row],[Category and Sub-Category]])-1)</f>
        <v>technology</v>
      </c>
      <c r="V633" t="str">
        <f>RIGHT(Table1[[#This Row],[Category and Sub-Category]],LEN(Table1[[#This Row],[Category and Sub-Category]])-FIND("/",Table1[[#This Row],[Category and Sub-Category]]))</f>
        <v>web</v>
      </c>
    </row>
    <row r="634" spans="1:22" ht="28.8" x14ac:dyDescent="0.3">
      <c r="A634">
        <v>632</v>
      </c>
      <c r="B634" s="3" t="s">
        <v>633</v>
      </c>
      <c r="C634" s="3" t="s">
        <v>4742</v>
      </c>
      <c r="D634" s="12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>((Table1[[#This Row],[deadline]]/60)/60/24)+DATE(1970,1,1)</f>
        <v>42333.700983796298</v>
      </c>
      <c r="K634">
        <v>1445874565</v>
      </c>
      <c r="L634" s="11">
        <f>((Table1[[#This Row],[launched_at]]/60)/60/24)+DATE(1970,1,1)</f>
        <v>42303.659317129626</v>
      </c>
      <c r="M634">
        <f>MONTH(Table1[[#This Row],[Date Created Conversion]])</f>
        <v>10</v>
      </c>
      <c r="N634">
        <f>YEAR(Table1[[#This Row],[Date Created Conversion]])</f>
        <v>2015</v>
      </c>
      <c r="O634" t="b">
        <v>0</v>
      </c>
      <c r="P634">
        <v>0</v>
      </c>
      <c r="Q634" t="b">
        <v>0</v>
      </c>
      <c r="R634" t="s">
        <v>8272</v>
      </c>
      <c r="S634" s="6">
        <f>Table1[[#This Row],[pledged]]/Table1[[#This Row],[goal]]</f>
        <v>0</v>
      </c>
      <c r="T634" s="8" t="str">
        <f>IF(Table1[[#This Row],[pledged]]=0,"no backers",Table1[[#This Row],[pledged]]/Table1[[#This Row],[backers_count]])</f>
        <v>no backers</v>
      </c>
      <c r="U634" t="str">
        <f>LEFT(Table1[[#This Row],[Category and Sub-Category]],FIND("/",Table1[[#This Row],[Category and Sub-Category]])-1)</f>
        <v>technology</v>
      </c>
      <c r="V634" t="str">
        <f>RIGHT(Table1[[#This Row],[Category and Sub-Category]],LEN(Table1[[#This Row],[Category and Sub-Category]])-FIND("/",Table1[[#This Row],[Category and Sub-Category]]))</f>
        <v>web</v>
      </c>
    </row>
    <row r="635" spans="1:22" ht="43.2" x14ac:dyDescent="0.3">
      <c r="A635">
        <v>633</v>
      </c>
      <c r="B635" s="3" t="s">
        <v>634</v>
      </c>
      <c r="C635" s="3" t="s">
        <v>4743</v>
      </c>
      <c r="D635" s="12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>((Table1[[#This Row],[deadline]]/60)/60/24)+DATE(1970,1,1)</f>
        <v>42538.958333333328</v>
      </c>
      <c r="K635">
        <v>1463469062</v>
      </c>
      <c r="L635" s="11">
        <f>((Table1[[#This Row],[launched_at]]/60)/60/24)+DATE(1970,1,1)</f>
        <v>42507.29932870371</v>
      </c>
      <c r="M635">
        <f>MONTH(Table1[[#This Row],[Date Created Conversion]])</f>
        <v>5</v>
      </c>
      <c r="N635">
        <f>YEAR(Table1[[#This Row],[Date Created Conversion]])</f>
        <v>2016</v>
      </c>
      <c r="O635" t="b">
        <v>0</v>
      </c>
      <c r="P635">
        <v>25</v>
      </c>
      <c r="Q635" t="b">
        <v>0</v>
      </c>
      <c r="R635" t="s">
        <v>8272</v>
      </c>
      <c r="S635" s="6">
        <f>Table1[[#This Row],[pledged]]/Table1[[#This Row],[goal]]</f>
        <v>0.1245</v>
      </c>
      <c r="T635" s="8">
        <f>IF(Table1[[#This Row],[pledged]]=0,"no backers",Table1[[#This Row],[pledged]]/Table1[[#This Row],[backers_count]])</f>
        <v>49.8</v>
      </c>
      <c r="U635" t="str">
        <f>LEFT(Table1[[#This Row],[Category and Sub-Category]],FIND("/",Table1[[#This Row],[Category and Sub-Category]])-1)</f>
        <v>technology</v>
      </c>
      <c r="V635" t="str">
        <f>RIGHT(Table1[[#This Row],[Category and Sub-Category]],LEN(Table1[[#This Row],[Category and Sub-Category]])-FIND("/",Table1[[#This Row],[Category and Sub-Category]]))</f>
        <v>web</v>
      </c>
    </row>
    <row r="636" spans="1:22" ht="28.8" x14ac:dyDescent="0.3">
      <c r="A636">
        <v>634</v>
      </c>
      <c r="B636" s="3" t="s">
        <v>635</v>
      </c>
      <c r="C636" s="3" t="s">
        <v>4744</v>
      </c>
      <c r="D636" s="12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>((Table1[[#This Row],[deadline]]/60)/60/24)+DATE(1970,1,1)</f>
        <v>42061.928576388891</v>
      </c>
      <c r="K636">
        <v>1422397029</v>
      </c>
      <c r="L636" s="11">
        <f>((Table1[[#This Row],[launched_at]]/60)/60/24)+DATE(1970,1,1)</f>
        <v>42031.928576388891</v>
      </c>
      <c r="M636">
        <f>MONTH(Table1[[#This Row],[Date Created Conversion]])</f>
        <v>1</v>
      </c>
      <c r="N636">
        <f>YEAR(Table1[[#This Row],[Date Created Conversion]])</f>
        <v>2015</v>
      </c>
      <c r="O636" t="b">
        <v>0</v>
      </c>
      <c r="P636">
        <v>1</v>
      </c>
      <c r="Q636" t="b">
        <v>0</v>
      </c>
      <c r="R636" t="s">
        <v>8272</v>
      </c>
      <c r="S636" s="6">
        <f>Table1[[#This Row],[pledged]]/Table1[[#This Row],[goal]]</f>
        <v>2.0000000000000001E-4</v>
      </c>
      <c r="T636" s="8">
        <f>IF(Table1[[#This Row],[pledged]]=0,"no backers",Table1[[#This Row],[pledged]]/Table1[[#This Row],[backers_count]])</f>
        <v>1</v>
      </c>
      <c r="U636" t="str">
        <f>LEFT(Table1[[#This Row],[Category and Sub-Category]],FIND("/",Table1[[#This Row],[Category and Sub-Category]])-1)</f>
        <v>technology</v>
      </c>
      <c r="V636" t="str">
        <f>RIGHT(Table1[[#This Row],[Category and Sub-Category]],LEN(Table1[[#This Row],[Category and Sub-Category]])-FIND("/",Table1[[#This Row],[Category and Sub-Category]]))</f>
        <v>web</v>
      </c>
    </row>
    <row r="637" spans="1:22" ht="28.8" x14ac:dyDescent="0.3">
      <c r="A637">
        <v>635</v>
      </c>
      <c r="B637" s="3" t="s">
        <v>636</v>
      </c>
      <c r="C637" s="3" t="s">
        <v>4745</v>
      </c>
      <c r="D637" s="12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>((Table1[[#This Row],[deadline]]/60)/60/24)+DATE(1970,1,1)</f>
        <v>42106.092152777783</v>
      </c>
      <c r="K637">
        <v>1426212762</v>
      </c>
      <c r="L637" s="11">
        <f>((Table1[[#This Row],[launched_at]]/60)/60/24)+DATE(1970,1,1)</f>
        <v>42076.092152777783</v>
      </c>
      <c r="M637">
        <f>MONTH(Table1[[#This Row],[Date Created Conversion]])</f>
        <v>3</v>
      </c>
      <c r="N637">
        <f>YEAR(Table1[[#This Row],[Date Created Conversion]])</f>
        <v>2015</v>
      </c>
      <c r="O637" t="b">
        <v>0</v>
      </c>
      <c r="P637">
        <v>1</v>
      </c>
      <c r="Q637" t="b">
        <v>0</v>
      </c>
      <c r="R637" t="s">
        <v>8272</v>
      </c>
      <c r="S637" s="6">
        <f>Table1[[#This Row],[pledged]]/Table1[[#This Row],[goal]]</f>
        <v>8.0000000000000007E-5</v>
      </c>
      <c r="T637" s="8">
        <f>IF(Table1[[#This Row],[pledged]]=0,"no backers",Table1[[#This Row],[pledged]]/Table1[[#This Row],[backers_count]])</f>
        <v>2</v>
      </c>
      <c r="U637" t="str">
        <f>LEFT(Table1[[#This Row],[Category and Sub-Category]],FIND("/",Table1[[#This Row],[Category and Sub-Category]])-1)</f>
        <v>technology</v>
      </c>
      <c r="V637" t="str">
        <f>RIGHT(Table1[[#This Row],[Category and Sub-Category]],LEN(Table1[[#This Row],[Category and Sub-Category]])-FIND("/",Table1[[#This Row],[Category and Sub-Category]]))</f>
        <v>web</v>
      </c>
    </row>
    <row r="638" spans="1:22" ht="43.2" x14ac:dyDescent="0.3">
      <c r="A638">
        <v>636</v>
      </c>
      <c r="B638" s="3" t="s">
        <v>637</v>
      </c>
      <c r="C638" s="3" t="s">
        <v>4746</v>
      </c>
      <c r="D638" s="12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>((Table1[[#This Row],[deadline]]/60)/60/24)+DATE(1970,1,1)</f>
        <v>42161.44930555555</v>
      </c>
      <c r="K638">
        <v>1430996150</v>
      </c>
      <c r="L638" s="11">
        <f>((Table1[[#This Row],[launched_at]]/60)/60/24)+DATE(1970,1,1)</f>
        <v>42131.455439814818</v>
      </c>
      <c r="M638">
        <f>MONTH(Table1[[#This Row],[Date Created Conversion]])</f>
        <v>5</v>
      </c>
      <c r="N638">
        <f>YEAR(Table1[[#This Row],[Date Created Conversion]])</f>
        <v>2015</v>
      </c>
      <c r="O638" t="b">
        <v>0</v>
      </c>
      <c r="P638">
        <v>1</v>
      </c>
      <c r="Q638" t="b">
        <v>0</v>
      </c>
      <c r="R638" t="s">
        <v>8272</v>
      </c>
      <c r="S638" s="6">
        <f>Table1[[#This Row],[pledged]]/Table1[[#This Row],[goal]]</f>
        <v>2E-3</v>
      </c>
      <c r="T638" s="8">
        <f>IF(Table1[[#This Row],[pledged]]=0,"no backers",Table1[[#This Row],[pledged]]/Table1[[#This Row],[backers_count]])</f>
        <v>4</v>
      </c>
      <c r="U638" t="str">
        <f>LEFT(Table1[[#This Row],[Category and Sub-Category]],FIND("/",Table1[[#This Row],[Category and Sub-Category]])-1)</f>
        <v>technology</v>
      </c>
      <c r="V638" t="str">
        <f>RIGHT(Table1[[#This Row],[Category and Sub-Category]],LEN(Table1[[#This Row],[Category and Sub-Category]])-FIND("/",Table1[[#This Row],[Category and Sub-Category]]))</f>
        <v>web</v>
      </c>
    </row>
    <row r="639" spans="1:22" ht="43.2" x14ac:dyDescent="0.3">
      <c r="A639">
        <v>637</v>
      </c>
      <c r="B639" s="3" t="s">
        <v>638</v>
      </c>
      <c r="C639" s="3" t="s">
        <v>4747</v>
      </c>
      <c r="D639" s="12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>((Table1[[#This Row],[deadline]]/60)/60/24)+DATE(1970,1,1)</f>
        <v>42791.961111111115</v>
      </c>
      <c r="K639">
        <v>1485558318</v>
      </c>
      <c r="L639" s="11">
        <f>((Table1[[#This Row],[launched_at]]/60)/60/24)+DATE(1970,1,1)</f>
        <v>42762.962013888886</v>
      </c>
      <c r="M639">
        <f>MONTH(Table1[[#This Row],[Date Created Conversion]])</f>
        <v>1</v>
      </c>
      <c r="N639">
        <f>YEAR(Table1[[#This Row],[Date Created Conversion]])</f>
        <v>2017</v>
      </c>
      <c r="O639" t="b">
        <v>0</v>
      </c>
      <c r="P639">
        <v>0</v>
      </c>
      <c r="Q639" t="b">
        <v>0</v>
      </c>
      <c r="R639" t="s">
        <v>8272</v>
      </c>
      <c r="S639" s="6">
        <f>Table1[[#This Row],[pledged]]/Table1[[#This Row],[goal]]</f>
        <v>0</v>
      </c>
      <c r="T639" s="8" t="str">
        <f>IF(Table1[[#This Row],[pledged]]=0,"no backers",Table1[[#This Row],[pledged]]/Table1[[#This Row],[backers_count]])</f>
        <v>no backers</v>
      </c>
      <c r="U639" t="str">
        <f>LEFT(Table1[[#This Row],[Category and Sub-Category]],FIND("/",Table1[[#This Row],[Category and Sub-Category]])-1)</f>
        <v>technology</v>
      </c>
      <c r="V639" t="str">
        <f>RIGHT(Table1[[#This Row],[Category and Sub-Category]],LEN(Table1[[#This Row],[Category and Sub-Category]])-FIND("/",Table1[[#This Row],[Category and Sub-Category]]))</f>
        <v>web</v>
      </c>
    </row>
    <row r="640" spans="1:22" x14ac:dyDescent="0.3">
      <c r="A640">
        <v>638</v>
      </c>
      <c r="B640" s="3" t="s">
        <v>639</v>
      </c>
      <c r="C640" s="3" t="s">
        <v>4748</v>
      </c>
      <c r="D640" s="12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>((Table1[[#This Row],[deadline]]/60)/60/24)+DATE(1970,1,1)</f>
        <v>42819.55164351852</v>
      </c>
      <c r="K640">
        <v>1485267262</v>
      </c>
      <c r="L640" s="11">
        <f>((Table1[[#This Row],[launched_at]]/60)/60/24)+DATE(1970,1,1)</f>
        <v>42759.593310185184</v>
      </c>
      <c r="M640">
        <f>MONTH(Table1[[#This Row],[Date Created Conversion]])</f>
        <v>1</v>
      </c>
      <c r="N640">
        <f>YEAR(Table1[[#This Row],[Date Created Conversion]])</f>
        <v>2017</v>
      </c>
      <c r="O640" t="b">
        <v>0</v>
      </c>
      <c r="P640">
        <v>6</v>
      </c>
      <c r="Q640" t="b">
        <v>0</v>
      </c>
      <c r="R640" t="s">
        <v>8272</v>
      </c>
      <c r="S640" s="6">
        <f>Table1[[#This Row],[pledged]]/Table1[[#This Row],[goal]]</f>
        <v>9.0000000000000006E-5</v>
      </c>
      <c r="T640" s="8">
        <f>IF(Table1[[#This Row],[pledged]]=0,"no backers",Table1[[#This Row],[pledged]]/Table1[[#This Row],[backers_count]])</f>
        <v>3</v>
      </c>
      <c r="U640" t="str">
        <f>LEFT(Table1[[#This Row],[Category and Sub-Category]],FIND("/",Table1[[#This Row],[Category and Sub-Category]])-1)</f>
        <v>technology</v>
      </c>
      <c r="V640" t="str">
        <f>RIGHT(Table1[[#This Row],[Category and Sub-Category]],LEN(Table1[[#This Row],[Category and Sub-Category]])-FIND("/",Table1[[#This Row],[Category and Sub-Category]]))</f>
        <v>web</v>
      </c>
    </row>
    <row r="641" spans="1:22" ht="28.8" x14ac:dyDescent="0.3">
      <c r="A641">
        <v>639</v>
      </c>
      <c r="B641" s="3" t="s">
        <v>640</v>
      </c>
      <c r="C641" s="3" t="s">
        <v>4749</v>
      </c>
      <c r="D641" s="12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>((Table1[[#This Row],[deadline]]/60)/60/24)+DATE(1970,1,1)</f>
        <v>41925.583275462966</v>
      </c>
      <c r="K641">
        <v>1408024795</v>
      </c>
      <c r="L641" s="11">
        <f>((Table1[[#This Row],[launched_at]]/60)/60/24)+DATE(1970,1,1)</f>
        <v>41865.583275462966</v>
      </c>
      <c r="M641">
        <f>MONTH(Table1[[#This Row],[Date Created Conversion]])</f>
        <v>8</v>
      </c>
      <c r="N641">
        <f>YEAR(Table1[[#This Row],[Date Created Conversion]])</f>
        <v>2014</v>
      </c>
      <c r="O641" t="b">
        <v>0</v>
      </c>
      <c r="P641">
        <v>1</v>
      </c>
      <c r="Q641" t="b">
        <v>0</v>
      </c>
      <c r="R641" t="s">
        <v>8272</v>
      </c>
      <c r="S641" s="6">
        <f>Table1[[#This Row],[pledged]]/Table1[[#This Row],[goal]]</f>
        <v>9.9999999999999995E-7</v>
      </c>
      <c r="T641" s="8">
        <f>IF(Table1[[#This Row],[pledged]]=0,"no backers",Table1[[#This Row],[pledged]]/Table1[[#This Row],[backers_count]])</f>
        <v>1</v>
      </c>
      <c r="U641" t="str">
        <f>LEFT(Table1[[#This Row],[Category and Sub-Category]],FIND("/",Table1[[#This Row],[Category and Sub-Category]])-1)</f>
        <v>technology</v>
      </c>
      <c r="V641" t="str">
        <f>RIGHT(Table1[[#This Row],[Category and Sub-Category]],LEN(Table1[[#This Row],[Category and Sub-Category]])-FIND("/",Table1[[#This Row],[Category and Sub-Category]]))</f>
        <v>web</v>
      </c>
    </row>
    <row r="642" spans="1:22" ht="43.2" x14ac:dyDescent="0.3">
      <c r="A642">
        <v>640</v>
      </c>
      <c r="B642" s="3" t="s">
        <v>641</v>
      </c>
      <c r="C642" s="3" t="s">
        <v>4750</v>
      </c>
      <c r="D642" s="1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>((Table1[[#This Row],[deadline]]/60)/60/24)+DATE(1970,1,1)</f>
        <v>42698.958333333328</v>
      </c>
      <c r="K642">
        <v>1478685915</v>
      </c>
      <c r="L642" s="11">
        <f>((Table1[[#This Row],[launched_at]]/60)/60/24)+DATE(1970,1,1)</f>
        <v>42683.420312500006</v>
      </c>
      <c r="M642">
        <f>MONTH(Table1[[#This Row],[Date Created Conversion]])</f>
        <v>11</v>
      </c>
      <c r="N642">
        <f>YEAR(Table1[[#This Row],[Date Created Conversion]])</f>
        <v>2016</v>
      </c>
      <c r="O642" t="b">
        <v>0</v>
      </c>
      <c r="P642">
        <v>2</v>
      </c>
      <c r="Q642" t="b">
        <v>1</v>
      </c>
      <c r="R642" t="s">
        <v>8273</v>
      </c>
      <c r="S642" s="6">
        <f>Table1[[#This Row],[pledged]]/Table1[[#This Row],[goal]]</f>
        <v>1.4428571428571428</v>
      </c>
      <c r="T642" s="8">
        <f>IF(Table1[[#This Row],[pledged]]=0,"no backers",Table1[[#This Row],[pledged]]/Table1[[#This Row],[backers_count]])</f>
        <v>50.5</v>
      </c>
      <c r="U642" t="str">
        <f>LEFT(Table1[[#This Row],[Category and Sub-Category]],FIND("/",Table1[[#This Row],[Category and Sub-Category]])-1)</f>
        <v>technology</v>
      </c>
      <c r="V642" t="str">
        <f>RIGHT(Table1[[#This Row],[Category and Sub-Category]],LEN(Table1[[#This Row],[Category and Sub-Category]])-FIND("/",Table1[[#This Row],[Category and Sub-Category]]))</f>
        <v>wearables</v>
      </c>
    </row>
    <row r="643" spans="1:22" ht="43.2" x14ac:dyDescent="0.3">
      <c r="A643">
        <v>641</v>
      </c>
      <c r="B643" s="3" t="s">
        <v>642</v>
      </c>
      <c r="C643" s="3" t="s">
        <v>4751</v>
      </c>
      <c r="D643" s="12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>((Table1[[#This Row],[deadline]]/60)/60/24)+DATE(1970,1,1)</f>
        <v>42229.57</v>
      </c>
      <c r="K643">
        <v>1436881248</v>
      </c>
      <c r="L643" s="11">
        <f>((Table1[[#This Row],[launched_at]]/60)/60/24)+DATE(1970,1,1)</f>
        <v>42199.57</v>
      </c>
      <c r="M643">
        <f>MONTH(Table1[[#This Row],[Date Created Conversion]])</f>
        <v>7</v>
      </c>
      <c r="N643">
        <f>YEAR(Table1[[#This Row],[Date Created Conversion]])</f>
        <v>2015</v>
      </c>
      <c r="O643" t="b">
        <v>0</v>
      </c>
      <c r="P643">
        <v>315</v>
      </c>
      <c r="Q643" t="b">
        <v>1</v>
      </c>
      <c r="R643" t="s">
        <v>8273</v>
      </c>
      <c r="S643" s="6">
        <f>Table1[[#This Row],[pledged]]/Table1[[#This Row],[goal]]</f>
        <v>1.1916249999999999</v>
      </c>
      <c r="T643" s="8">
        <f>IF(Table1[[#This Row],[pledged]]=0,"no backers",Table1[[#This Row],[pledged]]/Table1[[#This Row],[backers_count]])</f>
        <v>151.31746031746033</v>
      </c>
      <c r="U643" t="str">
        <f>LEFT(Table1[[#This Row],[Category and Sub-Category]],FIND("/",Table1[[#This Row],[Category and Sub-Category]])-1)</f>
        <v>technology</v>
      </c>
      <c r="V643" t="str">
        <f>RIGHT(Table1[[#This Row],[Category and Sub-Category]],LEN(Table1[[#This Row],[Category and Sub-Category]])-FIND("/",Table1[[#This Row],[Category and Sub-Category]]))</f>
        <v>wearables</v>
      </c>
    </row>
    <row r="644" spans="1:22" ht="43.2" x14ac:dyDescent="0.3">
      <c r="A644">
        <v>642</v>
      </c>
      <c r="B644" s="3" t="s">
        <v>643</v>
      </c>
      <c r="C644" s="3" t="s">
        <v>4752</v>
      </c>
      <c r="D644" s="12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>((Table1[[#This Row],[deadline]]/60)/60/24)+DATE(1970,1,1)</f>
        <v>42235.651319444441</v>
      </c>
      <c r="K644">
        <v>1436888274</v>
      </c>
      <c r="L644" s="11">
        <f>((Table1[[#This Row],[launched_at]]/60)/60/24)+DATE(1970,1,1)</f>
        <v>42199.651319444441</v>
      </c>
      <c r="M644">
        <f>MONTH(Table1[[#This Row],[Date Created Conversion]])</f>
        <v>7</v>
      </c>
      <c r="N644">
        <f>YEAR(Table1[[#This Row],[Date Created Conversion]])</f>
        <v>2015</v>
      </c>
      <c r="O644" t="b">
        <v>0</v>
      </c>
      <c r="P644">
        <v>2174</v>
      </c>
      <c r="Q644" t="b">
        <v>1</v>
      </c>
      <c r="R644" t="s">
        <v>8273</v>
      </c>
      <c r="S644" s="6">
        <f>Table1[[#This Row],[pledged]]/Table1[[#This Row],[goal]]</f>
        <v>14.604850000000001</v>
      </c>
      <c r="T644" s="8">
        <f>IF(Table1[[#This Row],[pledged]]=0,"no backers",Table1[[#This Row],[pledged]]/Table1[[#This Row],[backers_count]])</f>
        <v>134.3592456301748</v>
      </c>
      <c r="U644" t="str">
        <f>LEFT(Table1[[#This Row],[Category and Sub-Category]],FIND("/",Table1[[#This Row],[Category and Sub-Category]])-1)</f>
        <v>technology</v>
      </c>
      <c r="V644" t="str">
        <f>RIGHT(Table1[[#This Row],[Category and Sub-Category]],LEN(Table1[[#This Row],[Category and Sub-Category]])-FIND("/",Table1[[#This Row],[Category and Sub-Category]]))</f>
        <v>wearables</v>
      </c>
    </row>
    <row r="645" spans="1:22" ht="43.2" x14ac:dyDescent="0.3">
      <c r="A645">
        <v>643</v>
      </c>
      <c r="B645" s="3" t="s">
        <v>644</v>
      </c>
      <c r="C645" s="3" t="s">
        <v>4753</v>
      </c>
      <c r="D645" s="12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>((Table1[[#This Row],[deadline]]/60)/60/24)+DATE(1970,1,1)</f>
        <v>42155.642071759255</v>
      </c>
      <c r="K645">
        <v>1428333875</v>
      </c>
      <c r="L645" s="11">
        <f>((Table1[[#This Row],[launched_at]]/60)/60/24)+DATE(1970,1,1)</f>
        <v>42100.642071759255</v>
      </c>
      <c r="M645">
        <f>MONTH(Table1[[#This Row],[Date Created Conversion]])</f>
        <v>4</v>
      </c>
      <c r="N645">
        <f>YEAR(Table1[[#This Row],[Date Created Conversion]])</f>
        <v>2015</v>
      </c>
      <c r="O645" t="b">
        <v>0</v>
      </c>
      <c r="P645">
        <v>152</v>
      </c>
      <c r="Q645" t="b">
        <v>1</v>
      </c>
      <c r="R645" t="s">
        <v>8273</v>
      </c>
      <c r="S645" s="6">
        <f>Table1[[#This Row],[pledged]]/Table1[[#This Row],[goal]]</f>
        <v>1.0580799999999999</v>
      </c>
      <c r="T645" s="8">
        <f>IF(Table1[[#This Row],[pledged]]=0,"no backers",Table1[[#This Row],[pledged]]/Table1[[#This Row],[backers_count]])</f>
        <v>174.02631578947367</v>
      </c>
      <c r="U645" t="str">
        <f>LEFT(Table1[[#This Row],[Category and Sub-Category]],FIND("/",Table1[[#This Row],[Category and Sub-Category]])-1)</f>
        <v>technology</v>
      </c>
      <c r="V645" t="str">
        <f>RIGHT(Table1[[#This Row],[Category and Sub-Category]],LEN(Table1[[#This Row],[Category and Sub-Category]])-FIND("/",Table1[[#This Row],[Category and Sub-Category]]))</f>
        <v>wearables</v>
      </c>
    </row>
    <row r="646" spans="1:22" ht="43.2" x14ac:dyDescent="0.3">
      <c r="A646">
        <v>644</v>
      </c>
      <c r="B646" s="3" t="s">
        <v>645</v>
      </c>
      <c r="C646" s="3" t="s">
        <v>4754</v>
      </c>
      <c r="D646" s="12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>((Table1[[#This Row],[deadline]]/60)/60/24)+DATE(1970,1,1)</f>
        <v>41941.041666666664</v>
      </c>
      <c r="K646">
        <v>1410883139</v>
      </c>
      <c r="L646" s="11">
        <f>((Table1[[#This Row],[launched_at]]/60)/60/24)+DATE(1970,1,1)</f>
        <v>41898.665960648148</v>
      </c>
      <c r="M646">
        <f>MONTH(Table1[[#This Row],[Date Created Conversion]])</f>
        <v>9</v>
      </c>
      <c r="N646">
        <f>YEAR(Table1[[#This Row],[Date Created Conversion]])</f>
        <v>2014</v>
      </c>
      <c r="O646" t="b">
        <v>0</v>
      </c>
      <c r="P646">
        <v>1021</v>
      </c>
      <c r="Q646" t="b">
        <v>1</v>
      </c>
      <c r="R646" t="s">
        <v>8273</v>
      </c>
      <c r="S646" s="6">
        <f>Table1[[#This Row],[pledged]]/Table1[[#This Row],[goal]]</f>
        <v>3.0011791999999997</v>
      </c>
      <c r="T646" s="8">
        <f>IF(Table1[[#This Row],[pledged]]=0,"no backers",Table1[[#This Row],[pledged]]/Table1[[#This Row],[backers_count]])</f>
        <v>73.486268364348675</v>
      </c>
      <c r="U646" t="str">
        <f>LEFT(Table1[[#This Row],[Category and Sub-Category]],FIND("/",Table1[[#This Row],[Category and Sub-Category]])-1)</f>
        <v>technology</v>
      </c>
      <c r="V646" t="str">
        <f>RIGHT(Table1[[#This Row],[Category and Sub-Category]],LEN(Table1[[#This Row],[Category and Sub-Category]])-FIND("/",Table1[[#This Row],[Category and Sub-Category]]))</f>
        <v>wearables</v>
      </c>
    </row>
    <row r="647" spans="1:22" ht="28.8" x14ac:dyDescent="0.3">
      <c r="A647">
        <v>645</v>
      </c>
      <c r="B647" s="3" t="s">
        <v>646</v>
      </c>
      <c r="C647" s="3" t="s">
        <v>4755</v>
      </c>
      <c r="D647" s="12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>((Table1[[#This Row],[deadline]]/60)/60/24)+DATE(1970,1,1)</f>
        <v>42594.026319444441</v>
      </c>
      <c r="K647">
        <v>1468370274</v>
      </c>
      <c r="L647" s="11">
        <f>((Table1[[#This Row],[launched_at]]/60)/60/24)+DATE(1970,1,1)</f>
        <v>42564.026319444441</v>
      </c>
      <c r="M647">
        <f>MONTH(Table1[[#This Row],[Date Created Conversion]])</f>
        <v>7</v>
      </c>
      <c r="N647">
        <f>YEAR(Table1[[#This Row],[Date Created Conversion]])</f>
        <v>2016</v>
      </c>
      <c r="O647" t="b">
        <v>0</v>
      </c>
      <c r="P647">
        <v>237</v>
      </c>
      <c r="Q647" t="b">
        <v>1</v>
      </c>
      <c r="R647" t="s">
        <v>8273</v>
      </c>
      <c r="S647" s="6">
        <f>Table1[[#This Row],[pledged]]/Table1[[#This Row],[goal]]</f>
        <v>2.7869999999999999</v>
      </c>
      <c r="T647" s="8">
        <f>IF(Table1[[#This Row],[pledged]]=0,"no backers",Table1[[#This Row],[pledged]]/Table1[[#This Row],[backers_count]])</f>
        <v>23.518987341772153</v>
      </c>
      <c r="U647" t="str">
        <f>LEFT(Table1[[#This Row],[Category and Sub-Category]],FIND("/",Table1[[#This Row],[Category and Sub-Category]])-1)</f>
        <v>technology</v>
      </c>
      <c r="V647" t="str">
        <f>RIGHT(Table1[[#This Row],[Category and Sub-Category]],LEN(Table1[[#This Row],[Category and Sub-Category]])-FIND("/",Table1[[#This Row],[Category and Sub-Category]]))</f>
        <v>wearables</v>
      </c>
    </row>
    <row r="648" spans="1:22" ht="43.2" x14ac:dyDescent="0.3">
      <c r="A648">
        <v>646</v>
      </c>
      <c r="B648" s="3" t="s">
        <v>647</v>
      </c>
      <c r="C648" s="3" t="s">
        <v>4756</v>
      </c>
      <c r="D648" s="12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>((Table1[[#This Row],[deadline]]/60)/60/24)+DATE(1970,1,1)</f>
        <v>41862.852627314816</v>
      </c>
      <c r="K648">
        <v>1405196867</v>
      </c>
      <c r="L648" s="11">
        <f>((Table1[[#This Row],[launched_at]]/60)/60/24)+DATE(1970,1,1)</f>
        <v>41832.852627314816</v>
      </c>
      <c r="M648">
        <f>MONTH(Table1[[#This Row],[Date Created Conversion]])</f>
        <v>7</v>
      </c>
      <c r="N648">
        <f>YEAR(Table1[[#This Row],[Date Created Conversion]])</f>
        <v>2014</v>
      </c>
      <c r="O648" t="b">
        <v>0</v>
      </c>
      <c r="P648">
        <v>27</v>
      </c>
      <c r="Q648" t="b">
        <v>1</v>
      </c>
      <c r="R648" t="s">
        <v>8273</v>
      </c>
      <c r="S648" s="6">
        <f>Table1[[#This Row],[pledged]]/Table1[[#This Row],[goal]]</f>
        <v>1.3187625000000001</v>
      </c>
      <c r="T648" s="8">
        <f>IF(Table1[[#This Row],[pledged]]=0,"no backers",Table1[[#This Row],[pledged]]/Table1[[#This Row],[backers_count]])</f>
        <v>39.074444444444445</v>
      </c>
      <c r="U648" t="str">
        <f>LEFT(Table1[[#This Row],[Category and Sub-Category]],FIND("/",Table1[[#This Row],[Category and Sub-Category]])-1)</f>
        <v>technology</v>
      </c>
      <c r="V648" t="str">
        <f>RIGHT(Table1[[#This Row],[Category and Sub-Category]],LEN(Table1[[#This Row],[Category and Sub-Category]])-FIND("/",Table1[[#This Row],[Category and Sub-Category]]))</f>
        <v>wearables</v>
      </c>
    </row>
    <row r="649" spans="1:22" ht="43.2" x14ac:dyDescent="0.3">
      <c r="A649">
        <v>647</v>
      </c>
      <c r="B649" s="3" t="s">
        <v>648</v>
      </c>
      <c r="C649" s="3" t="s">
        <v>4757</v>
      </c>
      <c r="D649" s="12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>((Table1[[#This Row],[deadline]]/60)/60/24)+DATE(1970,1,1)</f>
        <v>42446.726261574076</v>
      </c>
      <c r="K649">
        <v>1455647149</v>
      </c>
      <c r="L649" s="11">
        <f>((Table1[[#This Row],[launched_at]]/60)/60/24)+DATE(1970,1,1)</f>
        <v>42416.767928240741</v>
      </c>
      <c r="M649">
        <f>MONTH(Table1[[#This Row],[Date Created Conversion]])</f>
        <v>2</v>
      </c>
      <c r="N649">
        <f>YEAR(Table1[[#This Row],[Date Created Conversion]])</f>
        <v>2016</v>
      </c>
      <c r="O649" t="b">
        <v>0</v>
      </c>
      <c r="P649">
        <v>17</v>
      </c>
      <c r="Q649" t="b">
        <v>1</v>
      </c>
      <c r="R649" t="s">
        <v>8273</v>
      </c>
      <c r="S649" s="6">
        <f>Table1[[#This Row],[pledged]]/Table1[[#This Row],[goal]]</f>
        <v>1.0705</v>
      </c>
      <c r="T649" s="8">
        <f>IF(Table1[[#This Row],[pledged]]=0,"no backers",Table1[[#This Row],[pledged]]/Table1[[#This Row],[backers_count]])</f>
        <v>125.94117647058823</v>
      </c>
      <c r="U649" t="str">
        <f>LEFT(Table1[[#This Row],[Category and Sub-Category]],FIND("/",Table1[[#This Row],[Category and Sub-Category]])-1)</f>
        <v>technology</v>
      </c>
      <c r="V649" t="str">
        <f>RIGHT(Table1[[#This Row],[Category and Sub-Category]],LEN(Table1[[#This Row],[Category and Sub-Category]])-FIND("/",Table1[[#This Row],[Category and Sub-Category]]))</f>
        <v>wearables</v>
      </c>
    </row>
    <row r="650" spans="1:22" ht="28.8" x14ac:dyDescent="0.3">
      <c r="A650">
        <v>648</v>
      </c>
      <c r="B650" s="3" t="s">
        <v>649</v>
      </c>
      <c r="C650" s="3" t="s">
        <v>4758</v>
      </c>
      <c r="D650" s="12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>((Table1[[#This Row],[deadline]]/60)/60/24)+DATE(1970,1,1)</f>
        <v>41926.693379629629</v>
      </c>
      <c r="K650">
        <v>1410280708</v>
      </c>
      <c r="L650" s="11">
        <f>((Table1[[#This Row],[launched_at]]/60)/60/24)+DATE(1970,1,1)</f>
        <v>41891.693379629629</v>
      </c>
      <c r="M650">
        <f>MONTH(Table1[[#This Row],[Date Created Conversion]])</f>
        <v>9</v>
      </c>
      <c r="N650">
        <f>YEAR(Table1[[#This Row],[Date Created Conversion]])</f>
        <v>2014</v>
      </c>
      <c r="O650" t="b">
        <v>0</v>
      </c>
      <c r="P650">
        <v>27</v>
      </c>
      <c r="Q650" t="b">
        <v>1</v>
      </c>
      <c r="R650" t="s">
        <v>8273</v>
      </c>
      <c r="S650" s="6">
        <f>Table1[[#This Row],[pledged]]/Table1[[#This Row],[goal]]</f>
        <v>1.2682285714285715</v>
      </c>
      <c r="T650" s="8">
        <f>IF(Table1[[#This Row],[pledged]]=0,"no backers",Table1[[#This Row],[pledged]]/Table1[[#This Row],[backers_count]])</f>
        <v>1644</v>
      </c>
      <c r="U650" t="str">
        <f>LEFT(Table1[[#This Row],[Category and Sub-Category]],FIND("/",Table1[[#This Row],[Category and Sub-Category]])-1)</f>
        <v>technology</v>
      </c>
      <c r="V650" t="str">
        <f>RIGHT(Table1[[#This Row],[Category and Sub-Category]],LEN(Table1[[#This Row],[Category and Sub-Category]])-FIND("/",Table1[[#This Row],[Category and Sub-Category]]))</f>
        <v>wearables</v>
      </c>
    </row>
    <row r="651" spans="1:22" ht="43.2" x14ac:dyDescent="0.3">
      <c r="A651">
        <v>649</v>
      </c>
      <c r="B651" s="3" t="s">
        <v>650</v>
      </c>
      <c r="C651" s="3" t="s">
        <v>4759</v>
      </c>
      <c r="D651" s="12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>((Table1[[#This Row],[deadline]]/60)/60/24)+DATE(1970,1,1)</f>
        <v>41898.912187499998</v>
      </c>
      <c r="K651">
        <v>1409090013</v>
      </c>
      <c r="L651" s="11">
        <f>((Table1[[#This Row],[launched_at]]/60)/60/24)+DATE(1970,1,1)</f>
        <v>41877.912187499998</v>
      </c>
      <c r="M651">
        <f>MONTH(Table1[[#This Row],[Date Created Conversion]])</f>
        <v>8</v>
      </c>
      <c r="N651">
        <f>YEAR(Table1[[#This Row],[Date Created Conversion]])</f>
        <v>2014</v>
      </c>
      <c r="O651" t="b">
        <v>0</v>
      </c>
      <c r="P651">
        <v>82</v>
      </c>
      <c r="Q651" t="b">
        <v>1</v>
      </c>
      <c r="R651" t="s">
        <v>8273</v>
      </c>
      <c r="S651" s="6">
        <f>Table1[[#This Row],[pledged]]/Table1[[#This Row],[goal]]</f>
        <v>1.3996</v>
      </c>
      <c r="T651" s="8">
        <f>IF(Table1[[#This Row],[pledged]]=0,"no backers",Table1[[#This Row],[pledged]]/Table1[[#This Row],[backers_count]])</f>
        <v>42.670731707317074</v>
      </c>
      <c r="U651" t="str">
        <f>LEFT(Table1[[#This Row],[Category and Sub-Category]],FIND("/",Table1[[#This Row],[Category and Sub-Category]])-1)</f>
        <v>technology</v>
      </c>
      <c r="V651" t="str">
        <f>RIGHT(Table1[[#This Row],[Category and Sub-Category]],LEN(Table1[[#This Row],[Category and Sub-Category]])-FIND("/",Table1[[#This Row],[Category and Sub-Category]]))</f>
        <v>wearables</v>
      </c>
    </row>
    <row r="652" spans="1:22" ht="43.2" x14ac:dyDescent="0.3">
      <c r="A652">
        <v>650</v>
      </c>
      <c r="B652" s="3" t="s">
        <v>651</v>
      </c>
      <c r="C652" s="3" t="s">
        <v>4760</v>
      </c>
      <c r="D652" s="1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>((Table1[[#This Row],[deadline]]/60)/60/24)+DATE(1970,1,1)</f>
        <v>41992.078518518523</v>
      </c>
      <c r="K652">
        <v>1413766384</v>
      </c>
      <c r="L652" s="11">
        <f>((Table1[[#This Row],[launched_at]]/60)/60/24)+DATE(1970,1,1)</f>
        <v>41932.036851851852</v>
      </c>
      <c r="M652">
        <f>MONTH(Table1[[#This Row],[Date Created Conversion]])</f>
        <v>10</v>
      </c>
      <c r="N652">
        <f>YEAR(Table1[[#This Row],[Date Created Conversion]])</f>
        <v>2014</v>
      </c>
      <c r="O652" t="b">
        <v>0</v>
      </c>
      <c r="P652">
        <v>48</v>
      </c>
      <c r="Q652" t="b">
        <v>1</v>
      </c>
      <c r="R652" t="s">
        <v>8273</v>
      </c>
      <c r="S652" s="6">
        <f>Table1[[#This Row],[pledged]]/Table1[[#This Row],[goal]]</f>
        <v>1.1240000000000001</v>
      </c>
      <c r="T652" s="8">
        <f>IF(Table1[[#This Row],[pledged]]=0,"no backers",Table1[[#This Row],[pledged]]/Table1[[#This Row],[backers_count]])</f>
        <v>35.125</v>
      </c>
      <c r="U652" t="str">
        <f>LEFT(Table1[[#This Row],[Category and Sub-Category]],FIND("/",Table1[[#This Row],[Category and Sub-Category]])-1)</f>
        <v>technology</v>
      </c>
      <c r="V652" t="str">
        <f>RIGHT(Table1[[#This Row],[Category and Sub-Category]],LEN(Table1[[#This Row],[Category and Sub-Category]])-FIND("/",Table1[[#This Row],[Category and Sub-Category]]))</f>
        <v>wearables</v>
      </c>
    </row>
    <row r="653" spans="1:22" ht="43.2" x14ac:dyDescent="0.3">
      <c r="A653">
        <v>651</v>
      </c>
      <c r="B653" s="3" t="s">
        <v>652</v>
      </c>
      <c r="C653" s="3" t="s">
        <v>4761</v>
      </c>
      <c r="D653" s="12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>((Table1[[#This Row],[deadline]]/60)/60/24)+DATE(1970,1,1)</f>
        <v>41986.017488425925</v>
      </c>
      <c r="K653">
        <v>1415838311</v>
      </c>
      <c r="L653" s="11">
        <f>((Table1[[#This Row],[launched_at]]/60)/60/24)+DATE(1970,1,1)</f>
        <v>41956.017488425925</v>
      </c>
      <c r="M653">
        <f>MONTH(Table1[[#This Row],[Date Created Conversion]])</f>
        <v>11</v>
      </c>
      <c r="N653">
        <f>YEAR(Table1[[#This Row],[Date Created Conversion]])</f>
        <v>2014</v>
      </c>
      <c r="O653" t="b">
        <v>0</v>
      </c>
      <c r="P653">
        <v>105</v>
      </c>
      <c r="Q653" t="b">
        <v>1</v>
      </c>
      <c r="R653" t="s">
        <v>8273</v>
      </c>
      <c r="S653" s="6">
        <f>Table1[[#This Row],[pledged]]/Table1[[#This Row],[goal]]</f>
        <v>1.00528</v>
      </c>
      <c r="T653" s="8">
        <f>IF(Table1[[#This Row],[pledged]]=0,"no backers",Table1[[#This Row],[pledged]]/Table1[[#This Row],[backers_count]])</f>
        <v>239.35238095238094</v>
      </c>
      <c r="U653" t="str">
        <f>LEFT(Table1[[#This Row],[Category and Sub-Category]],FIND("/",Table1[[#This Row],[Category and Sub-Category]])-1)</f>
        <v>technology</v>
      </c>
      <c r="V653" t="str">
        <f>RIGHT(Table1[[#This Row],[Category and Sub-Category]],LEN(Table1[[#This Row],[Category and Sub-Category]])-FIND("/",Table1[[#This Row],[Category and Sub-Category]]))</f>
        <v>wearables</v>
      </c>
    </row>
    <row r="654" spans="1:22" ht="57.6" x14ac:dyDescent="0.3">
      <c r="A654">
        <v>652</v>
      </c>
      <c r="B654" s="3" t="s">
        <v>653</v>
      </c>
      <c r="C654" s="3" t="s">
        <v>4762</v>
      </c>
      <c r="D654" s="12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>((Table1[[#This Row],[deadline]]/60)/60/24)+DATE(1970,1,1)</f>
        <v>42705.732060185182</v>
      </c>
      <c r="K654">
        <v>1478018050</v>
      </c>
      <c r="L654" s="11">
        <f>((Table1[[#This Row],[launched_at]]/60)/60/24)+DATE(1970,1,1)</f>
        <v>42675.690393518518</v>
      </c>
      <c r="M654">
        <f>MONTH(Table1[[#This Row],[Date Created Conversion]])</f>
        <v>11</v>
      </c>
      <c r="N654">
        <f>YEAR(Table1[[#This Row],[Date Created Conversion]])</f>
        <v>2016</v>
      </c>
      <c r="O654" t="b">
        <v>0</v>
      </c>
      <c r="P654">
        <v>28</v>
      </c>
      <c r="Q654" t="b">
        <v>1</v>
      </c>
      <c r="R654" t="s">
        <v>8273</v>
      </c>
      <c r="S654" s="6">
        <f>Table1[[#This Row],[pledged]]/Table1[[#This Row],[goal]]</f>
        <v>1.0046666666666666</v>
      </c>
      <c r="T654" s="8">
        <f>IF(Table1[[#This Row],[pledged]]=0,"no backers",Table1[[#This Row],[pledged]]/Table1[[#This Row],[backers_count]])</f>
        <v>107.64285714285714</v>
      </c>
      <c r="U654" t="str">
        <f>LEFT(Table1[[#This Row],[Category and Sub-Category]],FIND("/",Table1[[#This Row],[Category and Sub-Category]])-1)</f>
        <v>technology</v>
      </c>
      <c r="V654" t="str">
        <f>RIGHT(Table1[[#This Row],[Category and Sub-Category]],LEN(Table1[[#This Row],[Category and Sub-Category]])-FIND("/",Table1[[#This Row],[Category and Sub-Category]]))</f>
        <v>wearables</v>
      </c>
    </row>
    <row r="655" spans="1:22" ht="57.6" x14ac:dyDescent="0.3">
      <c r="A655">
        <v>653</v>
      </c>
      <c r="B655" s="3" t="s">
        <v>654</v>
      </c>
      <c r="C655" s="3" t="s">
        <v>4763</v>
      </c>
      <c r="D655" s="12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>((Table1[[#This Row],[deadline]]/60)/60/24)+DATE(1970,1,1)</f>
        <v>42236.618518518517</v>
      </c>
      <c r="K655">
        <v>1436885440</v>
      </c>
      <c r="L655" s="11">
        <f>((Table1[[#This Row],[launched_at]]/60)/60/24)+DATE(1970,1,1)</f>
        <v>42199.618518518517</v>
      </c>
      <c r="M655">
        <f>MONTH(Table1[[#This Row],[Date Created Conversion]])</f>
        <v>7</v>
      </c>
      <c r="N655">
        <f>YEAR(Table1[[#This Row],[Date Created Conversion]])</f>
        <v>2015</v>
      </c>
      <c r="O655" t="b">
        <v>0</v>
      </c>
      <c r="P655">
        <v>1107</v>
      </c>
      <c r="Q655" t="b">
        <v>1</v>
      </c>
      <c r="R655" t="s">
        <v>8273</v>
      </c>
      <c r="S655" s="6">
        <f>Table1[[#This Row],[pledged]]/Table1[[#This Row],[goal]]</f>
        <v>1.4144600000000001</v>
      </c>
      <c r="T655" s="8">
        <f>IF(Table1[[#This Row],[pledged]]=0,"no backers",Table1[[#This Row],[pledged]]/Table1[[#This Row],[backers_count]])</f>
        <v>95.830623306233065</v>
      </c>
      <c r="U655" t="str">
        <f>LEFT(Table1[[#This Row],[Category and Sub-Category]],FIND("/",Table1[[#This Row],[Category and Sub-Category]])-1)</f>
        <v>technology</v>
      </c>
      <c r="V655" t="str">
        <f>RIGHT(Table1[[#This Row],[Category and Sub-Category]],LEN(Table1[[#This Row],[Category and Sub-Category]])-FIND("/",Table1[[#This Row],[Category and Sub-Category]]))</f>
        <v>wearables</v>
      </c>
    </row>
    <row r="656" spans="1:22" ht="43.2" x14ac:dyDescent="0.3">
      <c r="A656">
        <v>654</v>
      </c>
      <c r="B656" s="3" t="s">
        <v>655</v>
      </c>
      <c r="C656" s="3" t="s">
        <v>4764</v>
      </c>
      <c r="D656" s="12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>((Table1[[#This Row],[deadline]]/60)/60/24)+DATE(1970,1,1)</f>
        <v>42193.957326388889</v>
      </c>
      <c r="K656">
        <v>1433804313</v>
      </c>
      <c r="L656" s="11">
        <f>((Table1[[#This Row],[launched_at]]/60)/60/24)+DATE(1970,1,1)</f>
        <v>42163.957326388889</v>
      </c>
      <c r="M656">
        <f>MONTH(Table1[[#This Row],[Date Created Conversion]])</f>
        <v>6</v>
      </c>
      <c r="N656">
        <f>YEAR(Table1[[#This Row],[Date Created Conversion]])</f>
        <v>2015</v>
      </c>
      <c r="O656" t="b">
        <v>0</v>
      </c>
      <c r="P656">
        <v>1013</v>
      </c>
      <c r="Q656" t="b">
        <v>1</v>
      </c>
      <c r="R656" t="s">
        <v>8273</v>
      </c>
      <c r="S656" s="6">
        <f>Table1[[#This Row],[pledged]]/Table1[[#This Row],[goal]]</f>
        <v>2.6729166666666666</v>
      </c>
      <c r="T656" s="8">
        <f>IF(Table1[[#This Row],[pledged]]=0,"no backers",Table1[[#This Row],[pledged]]/Table1[[#This Row],[backers_count]])</f>
        <v>31.663376110562684</v>
      </c>
      <c r="U656" t="str">
        <f>LEFT(Table1[[#This Row],[Category and Sub-Category]],FIND("/",Table1[[#This Row],[Category and Sub-Category]])-1)</f>
        <v>technology</v>
      </c>
      <c r="V656" t="str">
        <f>RIGHT(Table1[[#This Row],[Category and Sub-Category]],LEN(Table1[[#This Row],[Category and Sub-Category]])-FIND("/",Table1[[#This Row],[Category and Sub-Category]]))</f>
        <v>wearables</v>
      </c>
    </row>
    <row r="657" spans="1:22" ht="43.2" x14ac:dyDescent="0.3">
      <c r="A657">
        <v>655</v>
      </c>
      <c r="B657" s="3" t="s">
        <v>656</v>
      </c>
      <c r="C657" s="3" t="s">
        <v>4765</v>
      </c>
      <c r="D657" s="12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>((Table1[[#This Row],[deadline]]/60)/60/24)+DATE(1970,1,1)</f>
        <v>42075.915648148148</v>
      </c>
      <c r="K657">
        <v>1423609112</v>
      </c>
      <c r="L657" s="11">
        <f>((Table1[[#This Row],[launched_at]]/60)/60/24)+DATE(1970,1,1)</f>
        <v>42045.957314814819</v>
      </c>
      <c r="M657">
        <f>MONTH(Table1[[#This Row],[Date Created Conversion]])</f>
        <v>2</v>
      </c>
      <c r="N657">
        <f>YEAR(Table1[[#This Row],[Date Created Conversion]])</f>
        <v>2015</v>
      </c>
      <c r="O657" t="b">
        <v>0</v>
      </c>
      <c r="P657">
        <v>274</v>
      </c>
      <c r="Q657" t="b">
        <v>1</v>
      </c>
      <c r="R657" t="s">
        <v>8273</v>
      </c>
      <c r="S657" s="6">
        <f>Table1[[#This Row],[pledged]]/Table1[[#This Row],[goal]]</f>
        <v>1.4688749999999999</v>
      </c>
      <c r="T657" s="8">
        <f>IF(Table1[[#This Row],[pledged]]=0,"no backers",Table1[[#This Row],[pledged]]/Table1[[#This Row],[backers_count]])</f>
        <v>42.886861313868614</v>
      </c>
      <c r="U657" t="str">
        <f>LEFT(Table1[[#This Row],[Category and Sub-Category]],FIND("/",Table1[[#This Row],[Category and Sub-Category]])-1)</f>
        <v>technology</v>
      </c>
      <c r="V657" t="str">
        <f>RIGHT(Table1[[#This Row],[Category and Sub-Category]],LEN(Table1[[#This Row],[Category and Sub-Category]])-FIND("/",Table1[[#This Row],[Category and Sub-Category]]))</f>
        <v>wearables</v>
      </c>
    </row>
    <row r="658" spans="1:22" ht="43.2" x14ac:dyDescent="0.3">
      <c r="A658">
        <v>656</v>
      </c>
      <c r="B658" s="3" t="s">
        <v>657</v>
      </c>
      <c r="C658" s="3" t="s">
        <v>4766</v>
      </c>
      <c r="D658" s="12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>((Table1[[#This Row],[deadline]]/60)/60/24)+DATE(1970,1,1)</f>
        <v>42477.762951388882</v>
      </c>
      <c r="K658">
        <v>1455736719</v>
      </c>
      <c r="L658" s="11">
        <f>((Table1[[#This Row],[launched_at]]/60)/60/24)+DATE(1970,1,1)</f>
        <v>42417.804618055554</v>
      </c>
      <c r="M658">
        <f>MONTH(Table1[[#This Row],[Date Created Conversion]])</f>
        <v>2</v>
      </c>
      <c r="N658">
        <f>YEAR(Table1[[#This Row],[Date Created Conversion]])</f>
        <v>2016</v>
      </c>
      <c r="O658" t="b">
        <v>0</v>
      </c>
      <c r="P658">
        <v>87</v>
      </c>
      <c r="Q658" t="b">
        <v>1</v>
      </c>
      <c r="R658" t="s">
        <v>8273</v>
      </c>
      <c r="S658" s="6">
        <f>Table1[[#This Row],[pledged]]/Table1[[#This Row],[goal]]</f>
        <v>2.1356000000000002</v>
      </c>
      <c r="T658" s="8">
        <f>IF(Table1[[#This Row],[pledged]]=0,"no backers",Table1[[#This Row],[pledged]]/Table1[[#This Row],[backers_count]])</f>
        <v>122.73563218390805</v>
      </c>
      <c r="U658" t="str">
        <f>LEFT(Table1[[#This Row],[Category and Sub-Category]],FIND("/",Table1[[#This Row],[Category and Sub-Category]])-1)</f>
        <v>technology</v>
      </c>
      <c r="V658" t="str">
        <f>RIGHT(Table1[[#This Row],[Category and Sub-Category]],LEN(Table1[[#This Row],[Category and Sub-Category]])-FIND("/",Table1[[#This Row],[Category and Sub-Category]]))</f>
        <v>wearables</v>
      </c>
    </row>
    <row r="659" spans="1:22" ht="43.2" x14ac:dyDescent="0.3">
      <c r="A659">
        <v>657</v>
      </c>
      <c r="B659" s="3" t="s">
        <v>658</v>
      </c>
      <c r="C659" s="3" t="s">
        <v>4767</v>
      </c>
      <c r="D659" s="12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>((Table1[[#This Row],[deadline]]/60)/60/24)+DATE(1970,1,1)</f>
        <v>42361.84574074074</v>
      </c>
      <c r="K659">
        <v>1448309872</v>
      </c>
      <c r="L659" s="11">
        <f>((Table1[[#This Row],[launched_at]]/60)/60/24)+DATE(1970,1,1)</f>
        <v>42331.84574074074</v>
      </c>
      <c r="M659">
        <f>MONTH(Table1[[#This Row],[Date Created Conversion]])</f>
        <v>11</v>
      </c>
      <c r="N659">
        <f>YEAR(Table1[[#This Row],[Date Created Conversion]])</f>
        <v>2015</v>
      </c>
      <c r="O659" t="b">
        <v>0</v>
      </c>
      <c r="P659">
        <v>99</v>
      </c>
      <c r="Q659" t="b">
        <v>1</v>
      </c>
      <c r="R659" t="s">
        <v>8273</v>
      </c>
      <c r="S659" s="6">
        <f>Table1[[#This Row],[pledged]]/Table1[[#This Row],[goal]]</f>
        <v>1.2569999999999999</v>
      </c>
      <c r="T659" s="8">
        <f>IF(Table1[[#This Row],[pledged]]=0,"no backers",Table1[[#This Row],[pledged]]/Table1[[#This Row],[backers_count]])</f>
        <v>190.45454545454547</v>
      </c>
      <c r="U659" t="str">
        <f>LEFT(Table1[[#This Row],[Category and Sub-Category]],FIND("/",Table1[[#This Row],[Category and Sub-Category]])-1)</f>
        <v>technology</v>
      </c>
      <c r="V659" t="str">
        <f>RIGHT(Table1[[#This Row],[Category and Sub-Category]],LEN(Table1[[#This Row],[Category and Sub-Category]])-FIND("/",Table1[[#This Row],[Category and Sub-Category]]))</f>
        <v>wearables</v>
      </c>
    </row>
    <row r="660" spans="1:22" ht="43.2" x14ac:dyDescent="0.3">
      <c r="A660">
        <v>658</v>
      </c>
      <c r="B660" s="3" t="s">
        <v>659</v>
      </c>
      <c r="C660" s="3" t="s">
        <v>4768</v>
      </c>
      <c r="D660" s="12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>((Table1[[#This Row],[deadline]]/60)/60/24)+DATE(1970,1,1)</f>
        <v>42211.75</v>
      </c>
      <c r="K660">
        <v>1435117889</v>
      </c>
      <c r="L660" s="11">
        <f>((Table1[[#This Row],[launched_at]]/60)/60/24)+DATE(1970,1,1)</f>
        <v>42179.160752314812</v>
      </c>
      <c r="M660">
        <f>MONTH(Table1[[#This Row],[Date Created Conversion]])</f>
        <v>6</v>
      </c>
      <c r="N660">
        <f>YEAR(Table1[[#This Row],[Date Created Conversion]])</f>
        <v>2015</v>
      </c>
      <c r="O660" t="b">
        <v>0</v>
      </c>
      <c r="P660">
        <v>276</v>
      </c>
      <c r="Q660" t="b">
        <v>1</v>
      </c>
      <c r="R660" t="s">
        <v>8273</v>
      </c>
      <c r="S660" s="6">
        <f>Table1[[#This Row],[pledged]]/Table1[[#This Row],[goal]]</f>
        <v>1.0446206037108834</v>
      </c>
      <c r="T660" s="8">
        <f>IF(Table1[[#This Row],[pledged]]=0,"no backers",Table1[[#This Row],[pledged]]/Table1[[#This Row],[backers_count]])</f>
        <v>109.33695652173913</v>
      </c>
      <c r="U660" t="str">
        <f>LEFT(Table1[[#This Row],[Category and Sub-Category]],FIND("/",Table1[[#This Row],[Category and Sub-Category]])-1)</f>
        <v>technology</v>
      </c>
      <c r="V660" t="str">
        <f>RIGHT(Table1[[#This Row],[Category and Sub-Category]],LEN(Table1[[#This Row],[Category and Sub-Category]])-FIND("/",Table1[[#This Row],[Category and Sub-Category]]))</f>
        <v>wearables</v>
      </c>
    </row>
    <row r="661" spans="1:22" x14ac:dyDescent="0.3">
      <c r="A661">
        <v>659</v>
      </c>
      <c r="B661" s="3" t="s">
        <v>660</v>
      </c>
      <c r="C661" s="3" t="s">
        <v>4769</v>
      </c>
      <c r="D661" s="12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>((Table1[[#This Row],[deadline]]/60)/60/24)+DATE(1970,1,1)</f>
        <v>42239.593692129631</v>
      </c>
      <c r="K661">
        <v>1437747295</v>
      </c>
      <c r="L661" s="11">
        <f>((Table1[[#This Row],[launched_at]]/60)/60/24)+DATE(1970,1,1)</f>
        <v>42209.593692129631</v>
      </c>
      <c r="M661">
        <f>MONTH(Table1[[#This Row],[Date Created Conversion]])</f>
        <v>7</v>
      </c>
      <c r="N661">
        <f>YEAR(Table1[[#This Row],[Date Created Conversion]])</f>
        <v>2015</v>
      </c>
      <c r="O661" t="b">
        <v>0</v>
      </c>
      <c r="P661">
        <v>21</v>
      </c>
      <c r="Q661" t="b">
        <v>1</v>
      </c>
      <c r="R661" t="s">
        <v>8273</v>
      </c>
      <c r="S661" s="6">
        <f>Table1[[#This Row],[pledged]]/Table1[[#This Row],[goal]]</f>
        <v>1.0056666666666667</v>
      </c>
      <c r="T661" s="8">
        <f>IF(Table1[[#This Row],[pledged]]=0,"no backers",Table1[[#This Row],[pledged]]/Table1[[#This Row],[backers_count]])</f>
        <v>143.66666666666666</v>
      </c>
      <c r="U661" t="str">
        <f>LEFT(Table1[[#This Row],[Category and Sub-Category]],FIND("/",Table1[[#This Row],[Category and Sub-Category]])-1)</f>
        <v>technology</v>
      </c>
      <c r="V661" t="str">
        <f>RIGHT(Table1[[#This Row],[Category and Sub-Category]],LEN(Table1[[#This Row],[Category and Sub-Category]])-FIND("/",Table1[[#This Row],[Category and Sub-Category]]))</f>
        <v>wearables</v>
      </c>
    </row>
    <row r="662" spans="1:22" ht="43.2" x14ac:dyDescent="0.3">
      <c r="A662">
        <v>660</v>
      </c>
      <c r="B662" s="3" t="s">
        <v>661</v>
      </c>
      <c r="C662" s="3" t="s">
        <v>4770</v>
      </c>
      <c r="D662" s="1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>((Table1[[#This Row],[deadline]]/60)/60/24)+DATE(1970,1,1)</f>
        <v>41952.783321759263</v>
      </c>
      <c r="K662">
        <v>1412963279</v>
      </c>
      <c r="L662" s="11">
        <f>((Table1[[#This Row],[launched_at]]/60)/60/24)+DATE(1970,1,1)</f>
        <v>41922.741655092592</v>
      </c>
      <c r="M662">
        <f>MONTH(Table1[[#This Row],[Date Created Conversion]])</f>
        <v>10</v>
      </c>
      <c r="N662">
        <f>YEAR(Table1[[#This Row],[Date Created Conversion]])</f>
        <v>2014</v>
      </c>
      <c r="O662" t="b">
        <v>0</v>
      </c>
      <c r="P662">
        <v>18</v>
      </c>
      <c r="Q662" t="b">
        <v>0</v>
      </c>
      <c r="R662" t="s">
        <v>8273</v>
      </c>
      <c r="S662" s="6">
        <f>Table1[[#This Row],[pledged]]/Table1[[#This Row],[goal]]</f>
        <v>3.058E-2</v>
      </c>
      <c r="T662" s="8">
        <f>IF(Table1[[#This Row],[pledged]]=0,"no backers",Table1[[#This Row],[pledged]]/Table1[[#This Row],[backers_count]])</f>
        <v>84.944444444444443</v>
      </c>
      <c r="U662" t="str">
        <f>LEFT(Table1[[#This Row],[Category and Sub-Category]],FIND("/",Table1[[#This Row],[Category and Sub-Category]])-1)</f>
        <v>technology</v>
      </c>
      <c r="V662" t="str">
        <f>RIGHT(Table1[[#This Row],[Category and Sub-Category]],LEN(Table1[[#This Row],[Category and Sub-Category]])-FIND("/",Table1[[#This Row],[Category and Sub-Category]]))</f>
        <v>wearables</v>
      </c>
    </row>
    <row r="663" spans="1:22" ht="43.2" x14ac:dyDescent="0.3">
      <c r="A663">
        <v>661</v>
      </c>
      <c r="B663" s="3" t="s">
        <v>662</v>
      </c>
      <c r="C663" s="3" t="s">
        <v>4771</v>
      </c>
      <c r="D663" s="12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>((Table1[[#This Row],[deadline]]/60)/60/24)+DATE(1970,1,1)</f>
        <v>42666.645358796297</v>
      </c>
      <c r="K663">
        <v>1474644559</v>
      </c>
      <c r="L663" s="11">
        <f>((Table1[[#This Row],[launched_at]]/60)/60/24)+DATE(1970,1,1)</f>
        <v>42636.645358796297</v>
      </c>
      <c r="M663">
        <f>MONTH(Table1[[#This Row],[Date Created Conversion]])</f>
        <v>9</v>
      </c>
      <c r="N663">
        <f>YEAR(Table1[[#This Row],[Date Created Conversion]])</f>
        <v>2016</v>
      </c>
      <c r="O663" t="b">
        <v>0</v>
      </c>
      <c r="P663">
        <v>9</v>
      </c>
      <c r="Q663" t="b">
        <v>0</v>
      </c>
      <c r="R663" t="s">
        <v>8273</v>
      </c>
      <c r="S663" s="6">
        <f>Table1[[#This Row],[pledged]]/Table1[[#This Row],[goal]]</f>
        <v>9.4999999999999998E-3</v>
      </c>
      <c r="T663" s="8">
        <f>IF(Table1[[#This Row],[pledged]]=0,"no backers",Table1[[#This Row],[pledged]]/Table1[[#This Row],[backers_count]])</f>
        <v>10.555555555555555</v>
      </c>
      <c r="U663" t="str">
        <f>LEFT(Table1[[#This Row],[Category and Sub-Category]],FIND("/",Table1[[#This Row],[Category and Sub-Category]])-1)</f>
        <v>technology</v>
      </c>
      <c r="V663" t="str">
        <f>RIGHT(Table1[[#This Row],[Category and Sub-Category]],LEN(Table1[[#This Row],[Category and Sub-Category]])-FIND("/",Table1[[#This Row],[Category and Sub-Category]]))</f>
        <v>wearables</v>
      </c>
    </row>
    <row r="664" spans="1:22" ht="43.2" x14ac:dyDescent="0.3">
      <c r="A664">
        <v>662</v>
      </c>
      <c r="B664" s="3" t="s">
        <v>663</v>
      </c>
      <c r="C664" s="3" t="s">
        <v>4772</v>
      </c>
      <c r="D664" s="12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>((Table1[[#This Row],[deadline]]/60)/60/24)+DATE(1970,1,1)</f>
        <v>42020.438043981485</v>
      </c>
      <c r="K664">
        <v>1418812247</v>
      </c>
      <c r="L664" s="11">
        <f>((Table1[[#This Row],[launched_at]]/60)/60/24)+DATE(1970,1,1)</f>
        <v>41990.438043981485</v>
      </c>
      <c r="M664">
        <f>MONTH(Table1[[#This Row],[Date Created Conversion]])</f>
        <v>12</v>
      </c>
      <c r="N664">
        <f>YEAR(Table1[[#This Row],[Date Created Conversion]])</f>
        <v>2014</v>
      </c>
      <c r="O664" t="b">
        <v>0</v>
      </c>
      <c r="P664">
        <v>4</v>
      </c>
      <c r="Q664" t="b">
        <v>0</v>
      </c>
      <c r="R664" t="s">
        <v>8273</v>
      </c>
      <c r="S664" s="6">
        <f>Table1[[#This Row],[pledged]]/Table1[[#This Row],[goal]]</f>
        <v>4.0000000000000001E-3</v>
      </c>
      <c r="T664" s="8">
        <f>IF(Table1[[#This Row],[pledged]]=0,"no backers",Table1[[#This Row],[pledged]]/Table1[[#This Row],[backers_count]])</f>
        <v>39</v>
      </c>
      <c r="U664" t="str">
        <f>LEFT(Table1[[#This Row],[Category and Sub-Category]],FIND("/",Table1[[#This Row],[Category and Sub-Category]])-1)</f>
        <v>technology</v>
      </c>
      <c r="V664" t="str">
        <f>RIGHT(Table1[[#This Row],[Category and Sub-Category]],LEN(Table1[[#This Row],[Category and Sub-Category]])-FIND("/",Table1[[#This Row],[Category and Sub-Category]]))</f>
        <v>wearables</v>
      </c>
    </row>
    <row r="665" spans="1:22" ht="43.2" x14ac:dyDescent="0.3">
      <c r="A665">
        <v>663</v>
      </c>
      <c r="B665" s="3" t="s">
        <v>664</v>
      </c>
      <c r="C665" s="3" t="s">
        <v>4773</v>
      </c>
      <c r="D665" s="12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>((Table1[[#This Row],[deadline]]/60)/60/24)+DATE(1970,1,1)</f>
        <v>42203.843240740738</v>
      </c>
      <c r="K665">
        <v>1434658456</v>
      </c>
      <c r="L665" s="11">
        <f>((Table1[[#This Row],[launched_at]]/60)/60/24)+DATE(1970,1,1)</f>
        <v>42173.843240740738</v>
      </c>
      <c r="M665">
        <f>MONTH(Table1[[#This Row],[Date Created Conversion]])</f>
        <v>6</v>
      </c>
      <c r="N665">
        <f>YEAR(Table1[[#This Row],[Date Created Conversion]])</f>
        <v>2015</v>
      </c>
      <c r="O665" t="b">
        <v>0</v>
      </c>
      <c r="P665">
        <v>7</v>
      </c>
      <c r="Q665" t="b">
        <v>0</v>
      </c>
      <c r="R665" t="s">
        <v>8273</v>
      </c>
      <c r="S665" s="6">
        <f>Table1[[#This Row],[pledged]]/Table1[[#This Row],[goal]]</f>
        <v>3.5000000000000001E-3</v>
      </c>
      <c r="T665" s="8">
        <f>IF(Table1[[#This Row],[pledged]]=0,"no backers",Table1[[#This Row],[pledged]]/Table1[[#This Row],[backers_count]])</f>
        <v>100</v>
      </c>
      <c r="U665" t="str">
        <f>LEFT(Table1[[#This Row],[Category and Sub-Category]],FIND("/",Table1[[#This Row],[Category and Sub-Category]])-1)</f>
        <v>technology</v>
      </c>
      <c r="V665" t="str">
        <f>RIGHT(Table1[[#This Row],[Category and Sub-Category]],LEN(Table1[[#This Row],[Category and Sub-Category]])-FIND("/",Table1[[#This Row],[Category and Sub-Category]]))</f>
        <v>wearables</v>
      </c>
    </row>
    <row r="666" spans="1:22" ht="43.2" x14ac:dyDescent="0.3">
      <c r="A666">
        <v>664</v>
      </c>
      <c r="B666" s="3" t="s">
        <v>665</v>
      </c>
      <c r="C666" s="3" t="s">
        <v>4774</v>
      </c>
      <c r="D666" s="12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>((Table1[[#This Row],[deadline]]/60)/60/24)+DATE(1970,1,1)</f>
        <v>42107.666377314818</v>
      </c>
      <c r="K666">
        <v>1426348775</v>
      </c>
      <c r="L666" s="11">
        <f>((Table1[[#This Row],[launched_at]]/60)/60/24)+DATE(1970,1,1)</f>
        <v>42077.666377314818</v>
      </c>
      <c r="M666">
        <f>MONTH(Table1[[#This Row],[Date Created Conversion]])</f>
        <v>3</v>
      </c>
      <c r="N666">
        <f>YEAR(Table1[[#This Row],[Date Created Conversion]])</f>
        <v>2015</v>
      </c>
      <c r="O666" t="b">
        <v>0</v>
      </c>
      <c r="P666">
        <v>29</v>
      </c>
      <c r="Q666" t="b">
        <v>0</v>
      </c>
      <c r="R666" t="s">
        <v>8273</v>
      </c>
      <c r="S666" s="6">
        <f>Table1[[#This Row],[pledged]]/Table1[[#This Row],[goal]]</f>
        <v>7.5333333333333335E-2</v>
      </c>
      <c r="T666" s="8">
        <f>IF(Table1[[#This Row],[pledged]]=0,"no backers",Table1[[#This Row],[pledged]]/Table1[[#This Row],[backers_count]])</f>
        <v>31.172413793103448</v>
      </c>
      <c r="U666" t="str">
        <f>LEFT(Table1[[#This Row],[Category and Sub-Category]],FIND("/",Table1[[#This Row],[Category and Sub-Category]])-1)</f>
        <v>technology</v>
      </c>
      <c r="V666" t="str">
        <f>RIGHT(Table1[[#This Row],[Category and Sub-Category]],LEN(Table1[[#This Row],[Category and Sub-Category]])-FIND("/",Table1[[#This Row],[Category and Sub-Category]]))</f>
        <v>wearables</v>
      </c>
    </row>
    <row r="667" spans="1:22" ht="43.2" x14ac:dyDescent="0.3">
      <c r="A667">
        <v>665</v>
      </c>
      <c r="B667" s="3" t="s">
        <v>666</v>
      </c>
      <c r="C667" s="3" t="s">
        <v>4775</v>
      </c>
      <c r="D667" s="12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>((Table1[[#This Row],[deadline]]/60)/60/24)+DATE(1970,1,1)</f>
        <v>42748.711354166662</v>
      </c>
      <c r="K667">
        <v>1479143061</v>
      </c>
      <c r="L667" s="11">
        <f>((Table1[[#This Row],[launched_at]]/60)/60/24)+DATE(1970,1,1)</f>
        <v>42688.711354166662</v>
      </c>
      <c r="M667">
        <f>MONTH(Table1[[#This Row],[Date Created Conversion]])</f>
        <v>11</v>
      </c>
      <c r="N667">
        <f>YEAR(Table1[[#This Row],[Date Created Conversion]])</f>
        <v>2016</v>
      </c>
      <c r="O667" t="b">
        <v>0</v>
      </c>
      <c r="P667">
        <v>12</v>
      </c>
      <c r="Q667" t="b">
        <v>0</v>
      </c>
      <c r="R667" t="s">
        <v>8273</v>
      </c>
      <c r="S667" s="6">
        <f>Table1[[#This Row],[pledged]]/Table1[[#This Row],[goal]]</f>
        <v>0.18640000000000001</v>
      </c>
      <c r="T667" s="8">
        <f>IF(Table1[[#This Row],[pledged]]=0,"no backers",Table1[[#This Row],[pledged]]/Table1[[#This Row],[backers_count]])</f>
        <v>155.33333333333334</v>
      </c>
      <c r="U667" t="str">
        <f>LEFT(Table1[[#This Row],[Category and Sub-Category]],FIND("/",Table1[[#This Row],[Category and Sub-Category]])-1)</f>
        <v>technology</v>
      </c>
      <c r="V667" t="str">
        <f>RIGHT(Table1[[#This Row],[Category and Sub-Category]],LEN(Table1[[#This Row],[Category and Sub-Category]])-FIND("/",Table1[[#This Row],[Category and Sub-Category]]))</f>
        <v>wearables</v>
      </c>
    </row>
    <row r="668" spans="1:22" ht="43.2" x14ac:dyDescent="0.3">
      <c r="A668">
        <v>666</v>
      </c>
      <c r="B668" s="3" t="s">
        <v>667</v>
      </c>
      <c r="C668" s="3" t="s">
        <v>4776</v>
      </c>
      <c r="D668" s="12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>((Table1[[#This Row],[deadline]]/60)/60/24)+DATE(1970,1,1)</f>
        <v>41868.832152777781</v>
      </c>
      <c r="K668">
        <v>1405713498</v>
      </c>
      <c r="L668" s="11">
        <f>((Table1[[#This Row],[launched_at]]/60)/60/24)+DATE(1970,1,1)</f>
        <v>41838.832152777781</v>
      </c>
      <c r="M668">
        <f>MONTH(Table1[[#This Row],[Date Created Conversion]])</f>
        <v>7</v>
      </c>
      <c r="N668">
        <f>YEAR(Table1[[#This Row],[Date Created Conversion]])</f>
        <v>2014</v>
      </c>
      <c r="O668" t="b">
        <v>0</v>
      </c>
      <c r="P668">
        <v>4</v>
      </c>
      <c r="Q668" t="b">
        <v>0</v>
      </c>
      <c r="R668" t="s">
        <v>8273</v>
      </c>
      <c r="S668" s="6">
        <f>Table1[[#This Row],[pledged]]/Table1[[#This Row],[goal]]</f>
        <v>4.0000000000000003E-5</v>
      </c>
      <c r="T668" s="8">
        <f>IF(Table1[[#This Row],[pledged]]=0,"no backers",Table1[[#This Row],[pledged]]/Table1[[#This Row],[backers_count]])</f>
        <v>2</v>
      </c>
      <c r="U668" t="str">
        <f>LEFT(Table1[[#This Row],[Category and Sub-Category]],FIND("/",Table1[[#This Row],[Category and Sub-Category]])-1)</f>
        <v>technology</v>
      </c>
      <c r="V668" t="str">
        <f>RIGHT(Table1[[#This Row],[Category and Sub-Category]],LEN(Table1[[#This Row],[Category and Sub-Category]])-FIND("/",Table1[[#This Row],[Category and Sub-Category]]))</f>
        <v>wearables</v>
      </c>
    </row>
    <row r="669" spans="1:22" ht="43.2" x14ac:dyDescent="0.3">
      <c r="A669">
        <v>667</v>
      </c>
      <c r="B669" s="3" t="s">
        <v>668</v>
      </c>
      <c r="C669" s="3" t="s">
        <v>4777</v>
      </c>
      <c r="D669" s="12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>((Table1[[#This Row],[deadline]]/60)/60/24)+DATE(1970,1,1)</f>
        <v>42672.373414351852</v>
      </c>
      <c r="K669">
        <v>1474275463</v>
      </c>
      <c r="L669" s="11">
        <f>((Table1[[#This Row],[launched_at]]/60)/60/24)+DATE(1970,1,1)</f>
        <v>42632.373414351852</v>
      </c>
      <c r="M669">
        <f>MONTH(Table1[[#This Row],[Date Created Conversion]])</f>
        <v>9</v>
      </c>
      <c r="N669">
        <f>YEAR(Table1[[#This Row],[Date Created Conversion]])</f>
        <v>2016</v>
      </c>
      <c r="O669" t="b">
        <v>0</v>
      </c>
      <c r="P669">
        <v>28</v>
      </c>
      <c r="Q669" t="b">
        <v>0</v>
      </c>
      <c r="R669" t="s">
        <v>8273</v>
      </c>
      <c r="S669" s="6">
        <f>Table1[[#This Row],[pledged]]/Table1[[#This Row],[goal]]</f>
        <v>0.1002</v>
      </c>
      <c r="T669" s="8">
        <f>IF(Table1[[#This Row],[pledged]]=0,"no backers",Table1[[#This Row],[pledged]]/Table1[[#This Row],[backers_count]])</f>
        <v>178.92857142857142</v>
      </c>
      <c r="U669" t="str">
        <f>LEFT(Table1[[#This Row],[Category and Sub-Category]],FIND("/",Table1[[#This Row],[Category and Sub-Category]])-1)</f>
        <v>technology</v>
      </c>
      <c r="V669" t="str">
        <f>RIGHT(Table1[[#This Row],[Category and Sub-Category]],LEN(Table1[[#This Row],[Category and Sub-Category]])-FIND("/",Table1[[#This Row],[Category and Sub-Category]]))</f>
        <v>wearables</v>
      </c>
    </row>
    <row r="670" spans="1:22" ht="43.2" x14ac:dyDescent="0.3">
      <c r="A670">
        <v>668</v>
      </c>
      <c r="B670" s="3" t="s">
        <v>669</v>
      </c>
      <c r="C670" s="3" t="s">
        <v>4778</v>
      </c>
      <c r="D670" s="12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>((Table1[[#This Row],[deadline]]/60)/60/24)+DATE(1970,1,1)</f>
        <v>42135.831273148149</v>
      </c>
      <c r="K670">
        <v>1427486222</v>
      </c>
      <c r="L670" s="11">
        <f>((Table1[[#This Row],[launched_at]]/60)/60/24)+DATE(1970,1,1)</f>
        <v>42090.831273148149</v>
      </c>
      <c r="M670">
        <f>MONTH(Table1[[#This Row],[Date Created Conversion]])</f>
        <v>3</v>
      </c>
      <c r="N670">
        <f>YEAR(Table1[[#This Row],[Date Created Conversion]])</f>
        <v>2015</v>
      </c>
      <c r="O670" t="b">
        <v>0</v>
      </c>
      <c r="P670">
        <v>25</v>
      </c>
      <c r="Q670" t="b">
        <v>0</v>
      </c>
      <c r="R670" t="s">
        <v>8273</v>
      </c>
      <c r="S670" s="6">
        <f>Table1[[#This Row],[pledged]]/Table1[[#This Row],[goal]]</f>
        <v>4.5600000000000002E-2</v>
      </c>
      <c r="T670" s="8">
        <f>IF(Table1[[#This Row],[pledged]]=0,"no backers",Table1[[#This Row],[pledged]]/Table1[[#This Row],[backers_count]])</f>
        <v>27.36</v>
      </c>
      <c r="U670" t="str">
        <f>LEFT(Table1[[#This Row],[Category and Sub-Category]],FIND("/",Table1[[#This Row],[Category and Sub-Category]])-1)</f>
        <v>technology</v>
      </c>
      <c r="V670" t="str">
        <f>RIGHT(Table1[[#This Row],[Category and Sub-Category]],LEN(Table1[[#This Row],[Category and Sub-Category]])-FIND("/",Table1[[#This Row],[Category and Sub-Category]]))</f>
        <v>wearables</v>
      </c>
    </row>
    <row r="671" spans="1:22" ht="57.6" x14ac:dyDescent="0.3">
      <c r="A671">
        <v>669</v>
      </c>
      <c r="B671" s="3" t="s">
        <v>670</v>
      </c>
      <c r="C671" s="3" t="s">
        <v>4779</v>
      </c>
      <c r="D671" s="12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>((Table1[[#This Row],[deadline]]/60)/60/24)+DATE(1970,1,1)</f>
        <v>42557.625671296293</v>
      </c>
      <c r="K671">
        <v>1465225258</v>
      </c>
      <c r="L671" s="11">
        <f>((Table1[[#This Row],[launched_at]]/60)/60/24)+DATE(1970,1,1)</f>
        <v>42527.625671296293</v>
      </c>
      <c r="M671">
        <f>MONTH(Table1[[#This Row],[Date Created Conversion]])</f>
        <v>6</v>
      </c>
      <c r="N671">
        <f>YEAR(Table1[[#This Row],[Date Created Conversion]])</f>
        <v>2016</v>
      </c>
      <c r="O671" t="b">
        <v>0</v>
      </c>
      <c r="P671">
        <v>28</v>
      </c>
      <c r="Q671" t="b">
        <v>0</v>
      </c>
      <c r="R671" t="s">
        <v>8273</v>
      </c>
      <c r="S671" s="6">
        <f>Table1[[#This Row],[pledged]]/Table1[[#This Row],[goal]]</f>
        <v>0.21507499999999999</v>
      </c>
      <c r="T671" s="8">
        <f>IF(Table1[[#This Row],[pledged]]=0,"no backers",Table1[[#This Row],[pledged]]/Table1[[#This Row],[backers_count]])</f>
        <v>1536.25</v>
      </c>
      <c r="U671" t="str">
        <f>LEFT(Table1[[#This Row],[Category and Sub-Category]],FIND("/",Table1[[#This Row],[Category and Sub-Category]])-1)</f>
        <v>technology</v>
      </c>
      <c r="V671" t="str">
        <f>RIGHT(Table1[[#This Row],[Category and Sub-Category]],LEN(Table1[[#This Row],[Category and Sub-Category]])-FIND("/",Table1[[#This Row],[Category and Sub-Category]]))</f>
        <v>wearables</v>
      </c>
    </row>
    <row r="672" spans="1:22" ht="57.6" x14ac:dyDescent="0.3">
      <c r="A672">
        <v>670</v>
      </c>
      <c r="B672" s="3" t="s">
        <v>671</v>
      </c>
      <c r="C672" s="3" t="s">
        <v>4780</v>
      </c>
      <c r="D672" s="1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>((Table1[[#This Row],[deadline]]/60)/60/24)+DATE(1970,1,1)</f>
        <v>42540.340277777781</v>
      </c>
      <c r="K672">
        <v>1463418120</v>
      </c>
      <c r="L672" s="11">
        <f>((Table1[[#This Row],[launched_at]]/60)/60/24)+DATE(1970,1,1)</f>
        <v>42506.709722222222</v>
      </c>
      <c r="M672">
        <f>MONTH(Table1[[#This Row],[Date Created Conversion]])</f>
        <v>5</v>
      </c>
      <c r="N672">
        <f>YEAR(Table1[[#This Row],[Date Created Conversion]])</f>
        <v>2016</v>
      </c>
      <c r="O672" t="b">
        <v>0</v>
      </c>
      <c r="P672">
        <v>310</v>
      </c>
      <c r="Q672" t="b">
        <v>0</v>
      </c>
      <c r="R672" t="s">
        <v>8273</v>
      </c>
      <c r="S672" s="6">
        <f>Table1[[#This Row],[pledged]]/Table1[[#This Row],[goal]]</f>
        <v>0.29276666666666668</v>
      </c>
      <c r="T672" s="8">
        <f>IF(Table1[[#This Row],[pledged]]=0,"no backers",Table1[[#This Row],[pledged]]/Table1[[#This Row],[backers_count]])</f>
        <v>84.99677419354839</v>
      </c>
      <c r="U672" t="str">
        <f>LEFT(Table1[[#This Row],[Category and Sub-Category]],FIND("/",Table1[[#This Row],[Category and Sub-Category]])-1)</f>
        <v>technology</v>
      </c>
      <c r="V672" t="str">
        <f>RIGHT(Table1[[#This Row],[Category and Sub-Category]],LEN(Table1[[#This Row],[Category and Sub-Category]])-FIND("/",Table1[[#This Row],[Category and Sub-Category]]))</f>
        <v>wearables</v>
      </c>
    </row>
    <row r="673" spans="1:22" ht="57.6" x14ac:dyDescent="0.3">
      <c r="A673">
        <v>671</v>
      </c>
      <c r="B673" s="3" t="s">
        <v>672</v>
      </c>
      <c r="C673" s="3" t="s">
        <v>4781</v>
      </c>
      <c r="D673" s="12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>((Table1[[#This Row],[deadline]]/60)/60/24)+DATE(1970,1,1)</f>
        <v>42018.166666666672</v>
      </c>
      <c r="K673">
        <v>1418315852</v>
      </c>
      <c r="L673" s="11">
        <f>((Table1[[#This Row],[launched_at]]/60)/60/24)+DATE(1970,1,1)</f>
        <v>41984.692731481482</v>
      </c>
      <c r="M673">
        <f>MONTH(Table1[[#This Row],[Date Created Conversion]])</f>
        <v>12</v>
      </c>
      <c r="N673">
        <f>YEAR(Table1[[#This Row],[Date Created Conversion]])</f>
        <v>2014</v>
      </c>
      <c r="O673" t="b">
        <v>0</v>
      </c>
      <c r="P673">
        <v>15</v>
      </c>
      <c r="Q673" t="b">
        <v>0</v>
      </c>
      <c r="R673" t="s">
        <v>8273</v>
      </c>
      <c r="S673" s="6">
        <f>Table1[[#This Row],[pledged]]/Table1[[#This Row],[goal]]</f>
        <v>0.39426666666666665</v>
      </c>
      <c r="T673" s="8">
        <f>IF(Table1[[#This Row],[pledged]]=0,"no backers",Table1[[#This Row],[pledged]]/Table1[[#This Row],[backers_count]])</f>
        <v>788.5333333333333</v>
      </c>
      <c r="U673" t="str">
        <f>LEFT(Table1[[#This Row],[Category and Sub-Category]],FIND("/",Table1[[#This Row],[Category and Sub-Category]])-1)</f>
        <v>technology</v>
      </c>
      <c r="V673" t="str">
        <f>RIGHT(Table1[[#This Row],[Category and Sub-Category]],LEN(Table1[[#This Row],[Category and Sub-Category]])-FIND("/",Table1[[#This Row],[Category and Sub-Category]]))</f>
        <v>wearables</v>
      </c>
    </row>
    <row r="674" spans="1:22" ht="43.2" x14ac:dyDescent="0.3">
      <c r="A674">
        <v>672</v>
      </c>
      <c r="B674" s="3" t="s">
        <v>673</v>
      </c>
      <c r="C674" s="3" t="s">
        <v>4782</v>
      </c>
      <c r="D674" s="12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>((Table1[[#This Row],[deadline]]/60)/60/24)+DATE(1970,1,1)</f>
        <v>42005.207638888889</v>
      </c>
      <c r="K674">
        <v>1417410964</v>
      </c>
      <c r="L674" s="11">
        <f>((Table1[[#This Row],[launched_at]]/60)/60/24)+DATE(1970,1,1)</f>
        <v>41974.219490740739</v>
      </c>
      <c r="M674">
        <f>MONTH(Table1[[#This Row],[Date Created Conversion]])</f>
        <v>12</v>
      </c>
      <c r="N674">
        <f>YEAR(Table1[[#This Row],[Date Created Conversion]])</f>
        <v>2014</v>
      </c>
      <c r="O674" t="b">
        <v>0</v>
      </c>
      <c r="P674">
        <v>215</v>
      </c>
      <c r="Q674" t="b">
        <v>0</v>
      </c>
      <c r="R674" t="s">
        <v>8273</v>
      </c>
      <c r="S674" s="6">
        <f>Table1[[#This Row],[pledged]]/Table1[[#This Row],[goal]]</f>
        <v>0.21628</v>
      </c>
      <c r="T674" s="8">
        <f>IF(Table1[[#This Row],[pledged]]=0,"no backers",Table1[[#This Row],[pledged]]/Table1[[#This Row],[backers_count]])</f>
        <v>50.29767441860465</v>
      </c>
      <c r="U674" t="str">
        <f>LEFT(Table1[[#This Row],[Category and Sub-Category]],FIND("/",Table1[[#This Row],[Category and Sub-Category]])-1)</f>
        <v>technology</v>
      </c>
      <c r="V674" t="str">
        <f>RIGHT(Table1[[#This Row],[Category and Sub-Category]],LEN(Table1[[#This Row],[Category and Sub-Category]])-FIND("/",Table1[[#This Row],[Category and Sub-Category]]))</f>
        <v>wearables</v>
      </c>
    </row>
    <row r="675" spans="1:22" ht="57.6" x14ac:dyDescent="0.3">
      <c r="A675">
        <v>673</v>
      </c>
      <c r="B675" s="3" t="s">
        <v>674</v>
      </c>
      <c r="C675" s="3" t="s">
        <v>4783</v>
      </c>
      <c r="D675" s="12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>((Table1[[#This Row],[deadline]]/60)/60/24)+DATE(1970,1,1)</f>
        <v>41883.840474537035</v>
      </c>
      <c r="K675">
        <v>1405714217</v>
      </c>
      <c r="L675" s="11">
        <f>((Table1[[#This Row],[launched_at]]/60)/60/24)+DATE(1970,1,1)</f>
        <v>41838.840474537035</v>
      </c>
      <c r="M675">
        <f>MONTH(Table1[[#This Row],[Date Created Conversion]])</f>
        <v>7</v>
      </c>
      <c r="N675">
        <f>YEAR(Table1[[#This Row],[Date Created Conversion]])</f>
        <v>2014</v>
      </c>
      <c r="O675" t="b">
        <v>0</v>
      </c>
      <c r="P675">
        <v>3</v>
      </c>
      <c r="Q675" t="b">
        <v>0</v>
      </c>
      <c r="R675" t="s">
        <v>8273</v>
      </c>
      <c r="S675" s="6">
        <f>Table1[[#This Row],[pledged]]/Table1[[#This Row],[goal]]</f>
        <v>2.0500000000000002E-3</v>
      </c>
      <c r="T675" s="8">
        <f>IF(Table1[[#This Row],[pledged]]=0,"no backers",Table1[[#This Row],[pledged]]/Table1[[#This Row],[backers_count]])</f>
        <v>68.333333333333329</v>
      </c>
      <c r="U675" t="str">
        <f>LEFT(Table1[[#This Row],[Category and Sub-Category]],FIND("/",Table1[[#This Row],[Category and Sub-Category]])-1)</f>
        <v>technology</v>
      </c>
      <c r="V675" t="str">
        <f>RIGHT(Table1[[#This Row],[Category and Sub-Category]],LEN(Table1[[#This Row],[Category and Sub-Category]])-FIND("/",Table1[[#This Row],[Category and Sub-Category]]))</f>
        <v>wearables</v>
      </c>
    </row>
    <row r="676" spans="1:22" ht="28.8" x14ac:dyDescent="0.3">
      <c r="A676">
        <v>674</v>
      </c>
      <c r="B676" s="3" t="s">
        <v>675</v>
      </c>
      <c r="C676" s="3" t="s">
        <v>4784</v>
      </c>
      <c r="D676" s="12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>((Table1[[#This Row],[deadline]]/60)/60/24)+DATE(1970,1,1)</f>
        <v>41863.116053240738</v>
      </c>
      <c r="K676">
        <v>1402627627</v>
      </c>
      <c r="L676" s="11">
        <f>((Table1[[#This Row],[launched_at]]/60)/60/24)+DATE(1970,1,1)</f>
        <v>41803.116053240738</v>
      </c>
      <c r="M676">
        <f>MONTH(Table1[[#This Row],[Date Created Conversion]])</f>
        <v>6</v>
      </c>
      <c r="N676">
        <f>YEAR(Table1[[#This Row],[Date Created Conversion]])</f>
        <v>2014</v>
      </c>
      <c r="O676" t="b">
        <v>0</v>
      </c>
      <c r="P676">
        <v>2</v>
      </c>
      <c r="Q676" t="b">
        <v>0</v>
      </c>
      <c r="R676" t="s">
        <v>8273</v>
      </c>
      <c r="S676" s="6">
        <f>Table1[[#This Row],[pledged]]/Table1[[#This Row],[goal]]</f>
        <v>2.9999999999999997E-4</v>
      </c>
      <c r="T676" s="8">
        <f>IF(Table1[[#This Row],[pledged]]=0,"no backers",Table1[[#This Row],[pledged]]/Table1[[#This Row],[backers_count]])</f>
        <v>7.5</v>
      </c>
      <c r="U676" t="str">
        <f>LEFT(Table1[[#This Row],[Category and Sub-Category]],FIND("/",Table1[[#This Row],[Category and Sub-Category]])-1)</f>
        <v>technology</v>
      </c>
      <c r="V676" t="str">
        <f>RIGHT(Table1[[#This Row],[Category and Sub-Category]],LEN(Table1[[#This Row],[Category and Sub-Category]])-FIND("/",Table1[[#This Row],[Category and Sub-Category]]))</f>
        <v>wearables</v>
      </c>
    </row>
    <row r="677" spans="1:22" ht="43.2" x14ac:dyDescent="0.3">
      <c r="A677">
        <v>675</v>
      </c>
      <c r="B677" s="3" t="s">
        <v>676</v>
      </c>
      <c r="C677" s="3" t="s">
        <v>4785</v>
      </c>
      <c r="D677" s="12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>((Table1[[#This Row],[deadline]]/60)/60/24)+DATE(1970,1,1)</f>
        <v>42005.290972222225</v>
      </c>
      <c r="K677">
        <v>1417558804</v>
      </c>
      <c r="L677" s="11">
        <f>((Table1[[#This Row],[launched_at]]/60)/60/24)+DATE(1970,1,1)</f>
        <v>41975.930601851855</v>
      </c>
      <c r="M677">
        <f>MONTH(Table1[[#This Row],[Date Created Conversion]])</f>
        <v>12</v>
      </c>
      <c r="N677">
        <f>YEAR(Table1[[#This Row],[Date Created Conversion]])</f>
        <v>2014</v>
      </c>
      <c r="O677" t="b">
        <v>0</v>
      </c>
      <c r="P677">
        <v>26</v>
      </c>
      <c r="Q677" t="b">
        <v>0</v>
      </c>
      <c r="R677" t="s">
        <v>8273</v>
      </c>
      <c r="S677" s="6">
        <f>Table1[[#This Row],[pledged]]/Table1[[#This Row],[goal]]</f>
        <v>0.14849999999999999</v>
      </c>
      <c r="T677" s="8">
        <f>IF(Table1[[#This Row],[pledged]]=0,"no backers",Table1[[#This Row],[pledged]]/Table1[[#This Row],[backers_count]])</f>
        <v>34.269230769230766</v>
      </c>
      <c r="U677" t="str">
        <f>LEFT(Table1[[#This Row],[Category and Sub-Category]],FIND("/",Table1[[#This Row],[Category and Sub-Category]])-1)</f>
        <v>technology</v>
      </c>
      <c r="V677" t="str">
        <f>RIGHT(Table1[[#This Row],[Category and Sub-Category]],LEN(Table1[[#This Row],[Category and Sub-Category]])-FIND("/",Table1[[#This Row],[Category and Sub-Category]]))</f>
        <v>wearables</v>
      </c>
    </row>
    <row r="678" spans="1:22" ht="57.6" x14ac:dyDescent="0.3">
      <c r="A678">
        <v>676</v>
      </c>
      <c r="B678" s="3" t="s">
        <v>677</v>
      </c>
      <c r="C678" s="3" t="s">
        <v>4786</v>
      </c>
      <c r="D678" s="12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>((Table1[[#This Row],[deadline]]/60)/60/24)+DATE(1970,1,1)</f>
        <v>42042.768298611118</v>
      </c>
      <c r="K678">
        <v>1420741581</v>
      </c>
      <c r="L678" s="11">
        <f>((Table1[[#This Row],[launched_at]]/60)/60/24)+DATE(1970,1,1)</f>
        <v>42012.768298611118</v>
      </c>
      <c r="M678">
        <f>MONTH(Table1[[#This Row],[Date Created Conversion]])</f>
        <v>1</v>
      </c>
      <c r="N678">
        <f>YEAR(Table1[[#This Row],[Date Created Conversion]])</f>
        <v>2015</v>
      </c>
      <c r="O678" t="b">
        <v>0</v>
      </c>
      <c r="P678">
        <v>24</v>
      </c>
      <c r="Q678" t="b">
        <v>0</v>
      </c>
      <c r="R678" t="s">
        <v>8273</v>
      </c>
      <c r="S678" s="6">
        <f>Table1[[#This Row],[pledged]]/Table1[[#This Row],[goal]]</f>
        <v>1.4710000000000001E-2</v>
      </c>
      <c r="T678" s="8">
        <f>IF(Table1[[#This Row],[pledged]]=0,"no backers",Table1[[#This Row],[pledged]]/Table1[[#This Row],[backers_count]])</f>
        <v>61.291666666666664</v>
      </c>
      <c r="U678" t="str">
        <f>LEFT(Table1[[#This Row],[Category and Sub-Category]],FIND("/",Table1[[#This Row],[Category and Sub-Category]])-1)</f>
        <v>technology</v>
      </c>
      <c r="V678" t="str">
        <f>RIGHT(Table1[[#This Row],[Category and Sub-Category]],LEN(Table1[[#This Row],[Category and Sub-Category]])-FIND("/",Table1[[#This Row],[Category and Sub-Category]]))</f>
        <v>wearables</v>
      </c>
    </row>
    <row r="679" spans="1:22" ht="57.6" x14ac:dyDescent="0.3">
      <c r="A679">
        <v>677</v>
      </c>
      <c r="B679" s="3" t="s">
        <v>678</v>
      </c>
      <c r="C679" s="3" t="s">
        <v>4787</v>
      </c>
      <c r="D679" s="12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>((Table1[[#This Row],[deadline]]/60)/60/24)+DATE(1970,1,1)</f>
        <v>42549.403877314813</v>
      </c>
      <c r="K679">
        <v>1463218895</v>
      </c>
      <c r="L679" s="11">
        <f>((Table1[[#This Row],[launched_at]]/60)/60/24)+DATE(1970,1,1)</f>
        <v>42504.403877314813</v>
      </c>
      <c r="M679">
        <f>MONTH(Table1[[#This Row],[Date Created Conversion]])</f>
        <v>5</v>
      </c>
      <c r="N679">
        <f>YEAR(Table1[[#This Row],[Date Created Conversion]])</f>
        <v>2016</v>
      </c>
      <c r="O679" t="b">
        <v>0</v>
      </c>
      <c r="P679">
        <v>96</v>
      </c>
      <c r="Q679" t="b">
        <v>0</v>
      </c>
      <c r="R679" t="s">
        <v>8273</v>
      </c>
      <c r="S679" s="6">
        <f>Table1[[#This Row],[pledged]]/Table1[[#This Row],[goal]]</f>
        <v>0.25584000000000001</v>
      </c>
      <c r="T679" s="8">
        <f>IF(Table1[[#This Row],[pledged]]=0,"no backers",Table1[[#This Row],[pledged]]/Table1[[#This Row],[backers_count]])</f>
        <v>133.25</v>
      </c>
      <c r="U679" t="str">
        <f>LEFT(Table1[[#This Row],[Category and Sub-Category]],FIND("/",Table1[[#This Row],[Category and Sub-Category]])-1)</f>
        <v>technology</v>
      </c>
      <c r="V679" t="str">
        <f>RIGHT(Table1[[#This Row],[Category and Sub-Category]],LEN(Table1[[#This Row],[Category and Sub-Category]])-FIND("/",Table1[[#This Row],[Category and Sub-Category]]))</f>
        <v>wearables</v>
      </c>
    </row>
    <row r="680" spans="1:22" ht="43.2" x14ac:dyDescent="0.3">
      <c r="A680">
        <v>678</v>
      </c>
      <c r="B680" s="3" t="s">
        <v>679</v>
      </c>
      <c r="C680" s="3" t="s">
        <v>4788</v>
      </c>
      <c r="D680" s="12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>((Table1[[#This Row],[deadline]]/60)/60/24)+DATE(1970,1,1)</f>
        <v>42511.376597222217</v>
      </c>
      <c r="K680">
        <v>1461229338</v>
      </c>
      <c r="L680" s="11">
        <f>((Table1[[#This Row],[launched_at]]/60)/60/24)+DATE(1970,1,1)</f>
        <v>42481.376597222217</v>
      </c>
      <c r="M680">
        <f>MONTH(Table1[[#This Row],[Date Created Conversion]])</f>
        <v>4</v>
      </c>
      <c r="N680">
        <f>YEAR(Table1[[#This Row],[Date Created Conversion]])</f>
        <v>2016</v>
      </c>
      <c r="O680" t="b">
        <v>0</v>
      </c>
      <c r="P680">
        <v>17</v>
      </c>
      <c r="Q680" t="b">
        <v>0</v>
      </c>
      <c r="R680" t="s">
        <v>8273</v>
      </c>
      <c r="S680" s="6">
        <f>Table1[[#This Row],[pledged]]/Table1[[#This Row],[goal]]</f>
        <v>3.8206896551724136E-2</v>
      </c>
      <c r="T680" s="8">
        <f>IF(Table1[[#This Row],[pledged]]=0,"no backers",Table1[[#This Row],[pledged]]/Table1[[#This Row],[backers_count]])</f>
        <v>65.17647058823529</v>
      </c>
      <c r="U680" t="str">
        <f>LEFT(Table1[[#This Row],[Category and Sub-Category]],FIND("/",Table1[[#This Row],[Category and Sub-Category]])-1)</f>
        <v>technology</v>
      </c>
      <c r="V680" t="str">
        <f>RIGHT(Table1[[#This Row],[Category and Sub-Category]],LEN(Table1[[#This Row],[Category and Sub-Category]])-FIND("/",Table1[[#This Row],[Category and Sub-Category]]))</f>
        <v>wearables</v>
      </c>
    </row>
    <row r="681" spans="1:22" ht="43.2" x14ac:dyDescent="0.3">
      <c r="A681">
        <v>679</v>
      </c>
      <c r="B681" s="3" t="s">
        <v>680</v>
      </c>
      <c r="C681" s="3" t="s">
        <v>4789</v>
      </c>
      <c r="D681" s="12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>((Table1[[#This Row],[deadline]]/60)/60/24)+DATE(1970,1,1)</f>
        <v>42616.695706018523</v>
      </c>
      <c r="K681">
        <v>1467736909</v>
      </c>
      <c r="L681" s="11">
        <f>((Table1[[#This Row],[launched_at]]/60)/60/24)+DATE(1970,1,1)</f>
        <v>42556.695706018523</v>
      </c>
      <c r="M681">
        <f>MONTH(Table1[[#This Row],[Date Created Conversion]])</f>
        <v>7</v>
      </c>
      <c r="N681">
        <f>YEAR(Table1[[#This Row],[Date Created Conversion]])</f>
        <v>2016</v>
      </c>
      <c r="O681" t="b">
        <v>0</v>
      </c>
      <c r="P681">
        <v>94</v>
      </c>
      <c r="Q681" t="b">
        <v>0</v>
      </c>
      <c r="R681" t="s">
        <v>8273</v>
      </c>
      <c r="S681" s="6">
        <f>Table1[[#This Row],[pledged]]/Table1[[#This Row],[goal]]</f>
        <v>0.15485964912280703</v>
      </c>
      <c r="T681" s="8">
        <f>IF(Table1[[#This Row],[pledged]]=0,"no backers",Table1[[#This Row],[pledged]]/Table1[[#This Row],[backers_count]])</f>
        <v>93.90425531914893</v>
      </c>
      <c r="U681" t="str">
        <f>LEFT(Table1[[#This Row],[Category and Sub-Category]],FIND("/",Table1[[#This Row],[Category and Sub-Category]])-1)</f>
        <v>technology</v>
      </c>
      <c r="V681" t="str">
        <f>RIGHT(Table1[[#This Row],[Category and Sub-Category]],LEN(Table1[[#This Row],[Category and Sub-Category]])-FIND("/",Table1[[#This Row],[Category and Sub-Category]]))</f>
        <v>wearables</v>
      </c>
    </row>
    <row r="682" spans="1:22" ht="43.2" x14ac:dyDescent="0.3">
      <c r="A682">
        <v>680</v>
      </c>
      <c r="B682" s="3" t="s">
        <v>681</v>
      </c>
      <c r="C682" s="3" t="s">
        <v>4790</v>
      </c>
      <c r="D682" s="1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>((Table1[[#This Row],[deadline]]/60)/60/24)+DATE(1970,1,1)</f>
        <v>41899.501516203702</v>
      </c>
      <c r="K682">
        <v>1407931331</v>
      </c>
      <c r="L682" s="11">
        <f>((Table1[[#This Row],[launched_at]]/60)/60/24)+DATE(1970,1,1)</f>
        <v>41864.501516203702</v>
      </c>
      <c r="M682">
        <f>MONTH(Table1[[#This Row],[Date Created Conversion]])</f>
        <v>8</v>
      </c>
      <c r="N682">
        <f>YEAR(Table1[[#This Row],[Date Created Conversion]])</f>
        <v>2014</v>
      </c>
      <c r="O682" t="b">
        <v>0</v>
      </c>
      <c r="P682">
        <v>129</v>
      </c>
      <c r="Q682" t="b">
        <v>0</v>
      </c>
      <c r="R682" t="s">
        <v>8273</v>
      </c>
      <c r="S682" s="6">
        <f>Table1[[#This Row],[pledged]]/Table1[[#This Row],[goal]]</f>
        <v>0.25912000000000002</v>
      </c>
      <c r="T682" s="8">
        <f>IF(Table1[[#This Row],[pledged]]=0,"no backers",Table1[[#This Row],[pledged]]/Table1[[#This Row],[backers_count]])</f>
        <v>150.65116279069767</v>
      </c>
      <c r="U682" t="str">
        <f>LEFT(Table1[[#This Row],[Category and Sub-Category]],FIND("/",Table1[[#This Row],[Category and Sub-Category]])-1)</f>
        <v>technology</v>
      </c>
      <c r="V682" t="str">
        <f>RIGHT(Table1[[#This Row],[Category and Sub-Category]],LEN(Table1[[#This Row],[Category and Sub-Category]])-FIND("/",Table1[[#This Row],[Category and Sub-Category]]))</f>
        <v>wearables</v>
      </c>
    </row>
    <row r="683" spans="1:22" ht="43.2" x14ac:dyDescent="0.3">
      <c r="A683">
        <v>681</v>
      </c>
      <c r="B683" s="3" t="s">
        <v>682</v>
      </c>
      <c r="C683" s="3" t="s">
        <v>4791</v>
      </c>
      <c r="D683" s="12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>((Table1[[#This Row],[deadline]]/60)/60/24)+DATE(1970,1,1)</f>
        <v>42669.805601851855</v>
      </c>
      <c r="K683">
        <v>1474917604</v>
      </c>
      <c r="L683" s="11">
        <f>((Table1[[#This Row],[launched_at]]/60)/60/24)+DATE(1970,1,1)</f>
        <v>42639.805601851855</v>
      </c>
      <c r="M683">
        <f>MONTH(Table1[[#This Row],[Date Created Conversion]])</f>
        <v>9</v>
      </c>
      <c r="N683">
        <f>YEAR(Table1[[#This Row],[Date Created Conversion]])</f>
        <v>2016</v>
      </c>
      <c r="O683" t="b">
        <v>0</v>
      </c>
      <c r="P683">
        <v>1</v>
      </c>
      <c r="Q683" t="b">
        <v>0</v>
      </c>
      <c r="R683" t="s">
        <v>8273</v>
      </c>
      <c r="S683" s="6">
        <f>Table1[[#This Row],[pledged]]/Table1[[#This Row],[goal]]</f>
        <v>4.0000000000000002E-4</v>
      </c>
      <c r="T683" s="8">
        <f>IF(Table1[[#This Row],[pledged]]=0,"no backers",Table1[[#This Row],[pledged]]/Table1[[#This Row],[backers_count]])</f>
        <v>1</v>
      </c>
      <c r="U683" t="str">
        <f>LEFT(Table1[[#This Row],[Category and Sub-Category]],FIND("/",Table1[[#This Row],[Category and Sub-Category]])-1)</f>
        <v>technology</v>
      </c>
      <c r="V683" t="str">
        <f>RIGHT(Table1[[#This Row],[Category and Sub-Category]],LEN(Table1[[#This Row],[Category and Sub-Category]])-FIND("/",Table1[[#This Row],[Category and Sub-Category]]))</f>
        <v>wearables</v>
      </c>
    </row>
    <row r="684" spans="1:22" ht="43.2" x14ac:dyDescent="0.3">
      <c r="A684">
        <v>682</v>
      </c>
      <c r="B684" s="3" t="s">
        <v>683</v>
      </c>
      <c r="C684" s="3" t="s">
        <v>4792</v>
      </c>
      <c r="D684" s="12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>((Table1[[#This Row],[deadline]]/60)/60/24)+DATE(1970,1,1)</f>
        <v>42808.723634259266</v>
      </c>
      <c r="K684">
        <v>1486923722</v>
      </c>
      <c r="L684" s="11">
        <f>((Table1[[#This Row],[launched_at]]/60)/60/24)+DATE(1970,1,1)</f>
        <v>42778.765300925923</v>
      </c>
      <c r="M684">
        <f>MONTH(Table1[[#This Row],[Date Created Conversion]])</f>
        <v>2</v>
      </c>
      <c r="N684">
        <f>YEAR(Table1[[#This Row],[Date Created Conversion]])</f>
        <v>2017</v>
      </c>
      <c r="O684" t="b">
        <v>0</v>
      </c>
      <c r="P684">
        <v>4</v>
      </c>
      <c r="Q684" t="b">
        <v>0</v>
      </c>
      <c r="R684" t="s">
        <v>8273</v>
      </c>
      <c r="S684" s="6">
        <f>Table1[[#This Row],[pledged]]/Table1[[#This Row],[goal]]</f>
        <v>1.06E-3</v>
      </c>
      <c r="T684" s="8">
        <f>IF(Table1[[#This Row],[pledged]]=0,"no backers",Table1[[#This Row],[pledged]]/Table1[[#This Row],[backers_count]])</f>
        <v>13.25</v>
      </c>
      <c r="U684" t="str">
        <f>LEFT(Table1[[#This Row],[Category and Sub-Category]],FIND("/",Table1[[#This Row],[Category and Sub-Category]])-1)</f>
        <v>technology</v>
      </c>
      <c r="V684" t="str">
        <f>RIGHT(Table1[[#This Row],[Category and Sub-Category]],LEN(Table1[[#This Row],[Category and Sub-Category]])-FIND("/",Table1[[#This Row],[Category and Sub-Category]]))</f>
        <v>wearables</v>
      </c>
    </row>
    <row r="685" spans="1:22" ht="43.2" x14ac:dyDescent="0.3">
      <c r="A685">
        <v>683</v>
      </c>
      <c r="B685" s="3" t="s">
        <v>684</v>
      </c>
      <c r="C685" s="3" t="s">
        <v>4793</v>
      </c>
      <c r="D685" s="12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>((Table1[[#This Row],[deadline]]/60)/60/24)+DATE(1970,1,1)</f>
        <v>42674.900046296301</v>
      </c>
      <c r="K685">
        <v>1474493764</v>
      </c>
      <c r="L685" s="11">
        <f>((Table1[[#This Row],[launched_at]]/60)/60/24)+DATE(1970,1,1)</f>
        <v>42634.900046296301</v>
      </c>
      <c r="M685">
        <f>MONTH(Table1[[#This Row],[Date Created Conversion]])</f>
        <v>9</v>
      </c>
      <c r="N685">
        <f>YEAR(Table1[[#This Row],[Date Created Conversion]])</f>
        <v>2016</v>
      </c>
      <c r="O685" t="b">
        <v>0</v>
      </c>
      <c r="P685">
        <v>3</v>
      </c>
      <c r="Q685" t="b">
        <v>0</v>
      </c>
      <c r="R685" t="s">
        <v>8273</v>
      </c>
      <c r="S685" s="6">
        <f>Table1[[#This Row],[pledged]]/Table1[[#This Row],[goal]]</f>
        <v>8.5142857142857138E-3</v>
      </c>
      <c r="T685" s="8">
        <f>IF(Table1[[#This Row],[pledged]]=0,"no backers",Table1[[#This Row],[pledged]]/Table1[[#This Row],[backers_count]])</f>
        <v>99.333333333333329</v>
      </c>
      <c r="U685" t="str">
        <f>LEFT(Table1[[#This Row],[Category and Sub-Category]],FIND("/",Table1[[#This Row],[Category and Sub-Category]])-1)</f>
        <v>technology</v>
      </c>
      <c r="V685" t="str">
        <f>RIGHT(Table1[[#This Row],[Category and Sub-Category]],LEN(Table1[[#This Row],[Category and Sub-Category]])-FIND("/",Table1[[#This Row],[Category and Sub-Category]]))</f>
        <v>wearables</v>
      </c>
    </row>
    <row r="686" spans="1:22" ht="28.8" x14ac:dyDescent="0.3">
      <c r="A686">
        <v>684</v>
      </c>
      <c r="B686" s="3" t="s">
        <v>685</v>
      </c>
      <c r="C686" s="3" t="s">
        <v>4794</v>
      </c>
      <c r="D686" s="12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>((Table1[[#This Row],[deadline]]/60)/60/24)+DATE(1970,1,1)</f>
        <v>41845.125</v>
      </c>
      <c r="K686">
        <v>1403176891</v>
      </c>
      <c r="L686" s="11">
        <f>((Table1[[#This Row],[launched_at]]/60)/60/24)+DATE(1970,1,1)</f>
        <v>41809.473275462966</v>
      </c>
      <c r="M686">
        <f>MONTH(Table1[[#This Row],[Date Created Conversion]])</f>
        <v>6</v>
      </c>
      <c r="N686">
        <f>YEAR(Table1[[#This Row],[Date Created Conversion]])</f>
        <v>2014</v>
      </c>
      <c r="O686" t="b">
        <v>0</v>
      </c>
      <c r="P686">
        <v>135</v>
      </c>
      <c r="Q686" t="b">
        <v>0</v>
      </c>
      <c r="R686" t="s">
        <v>8273</v>
      </c>
      <c r="S686" s="6">
        <f>Table1[[#This Row],[pledged]]/Table1[[#This Row],[goal]]</f>
        <v>7.4837500000000001E-2</v>
      </c>
      <c r="T686" s="8">
        <f>IF(Table1[[#This Row],[pledged]]=0,"no backers",Table1[[#This Row],[pledged]]/Table1[[#This Row],[backers_count]])</f>
        <v>177.39259259259259</v>
      </c>
      <c r="U686" t="str">
        <f>LEFT(Table1[[#This Row],[Category and Sub-Category]],FIND("/",Table1[[#This Row],[Category and Sub-Category]])-1)</f>
        <v>technology</v>
      </c>
      <c r="V686" t="str">
        <f>RIGHT(Table1[[#This Row],[Category and Sub-Category]],LEN(Table1[[#This Row],[Category and Sub-Category]])-FIND("/",Table1[[#This Row],[Category and Sub-Category]]))</f>
        <v>wearables</v>
      </c>
    </row>
    <row r="687" spans="1:22" ht="43.2" x14ac:dyDescent="0.3">
      <c r="A687">
        <v>685</v>
      </c>
      <c r="B687" s="3" t="s">
        <v>686</v>
      </c>
      <c r="C687" s="3" t="s">
        <v>4795</v>
      </c>
      <c r="D687" s="12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>((Table1[[#This Row],[deadline]]/60)/60/24)+DATE(1970,1,1)</f>
        <v>42016.866574074069</v>
      </c>
      <c r="K687">
        <v>1417207672</v>
      </c>
      <c r="L687" s="11">
        <f>((Table1[[#This Row],[launched_at]]/60)/60/24)+DATE(1970,1,1)</f>
        <v>41971.866574074069</v>
      </c>
      <c r="M687">
        <f>MONTH(Table1[[#This Row],[Date Created Conversion]])</f>
        <v>11</v>
      </c>
      <c r="N687">
        <f>YEAR(Table1[[#This Row],[Date Created Conversion]])</f>
        <v>2014</v>
      </c>
      <c r="O687" t="b">
        <v>0</v>
      </c>
      <c r="P687">
        <v>10</v>
      </c>
      <c r="Q687" t="b">
        <v>0</v>
      </c>
      <c r="R687" t="s">
        <v>8273</v>
      </c>
      <c r="S687" s="6">
        <f>Table1[[#This Row],[pledged]]/Table1[[#This Row],[goal]]</f>
        <v>0.27650000000000002</v>
      </c>
      <c r="T687" s="8">
        <f>IF(Table1[[#This Row],[pledged]]=0,"no backers",Table1[[#This Row],[pledged]]/Table1[[#This Row],[backers_count]])</f>
        <v>55.3</v>
      </c>
      <c r="U687" t="str">
        <f>LEFT(Table1[[#This Row],[Category and Sub-Category]],FIND("/",Table1[[#This Row],[Category and Sub-Category]])-1)</f>
        <v>technology</v>
      </c>
      <c r="V687" t="str">
        <f>RIGHT(Table1[[#This Row],[Category and Sub-Category]],LEN(Table1[[#This Row],[Category and Sub-Category]])-FIND("/",Table1[[#This Row],[Category and Sub-Category]]))</f>
        <v>wearables</v>
      </c>
    </row>
    <row r="688" spans="1:22" ht="57.6" x14ac:dyDescent="0.3">
      <c r="A688">
        <v>686</v>
      </c>
      <c r="B688" s="3" t="s">
        <v>687</v>
      </c>
      <c r="C688" s="3" t="s">
        <v>4796</v>
      </c>
      <c r="D688" s="12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>((Table1[[#This Row],[deadline]]/60)/60/24)+DATE(1970,1,1)</f>
        <v>42219.673263888893</v>
      </c>
      <c r="K688">
        <v>1436026170</v>
      </c>
      <c r="L688" s="11">
        <f>((Table1[[#This Row],[launched_at]]/60)/60/24)+DATE(1970,1,1)</f>
        <v>42189.673263888893</v>
      </c>
      <c r="M688">
        <f>MONTH(Table1[[#This Row],[Date Created Conversion]])</f>
        <v>7</v>
      </c>
      <c r="N688">
        <f>YEAR(Table1[[#This Row],[Date Created Conversion]])</f>
        <v>2015</v>
      </c>
      <c r="O688" t="b">
        <v>0</v>
      </c>
      <c r="P688">
        <v>0</v>
      </c>
      <c r="Q688" t="b">
        <v>0</v>
      </c>
      <c r="R688" t="s">
        <v>8273</v>
      </c>
      <c r="S688" s="6">
        <f>Table1[[#This Row],[pledged]]/Table1[[#This Row],[goal]]</f>
        <v>0</v>
      </c>
      <c r="T688" s="8" t="str">
        <f>IF(Table1[[#This Row],[pledged]]=0,"no backers",Table1[[#This Row],[pledged]]/Table1[[#This Row],[backers_count]])</f>
        <v>no backers</v>
      </c>
      <c r="U688" t="str">
        <f>LEFT(Table1[[#This Row],[Category and Sub-Category]],FIND("/",Table1[[#This Row],[Category and Sub-Category]])-1)</f>
        <v>technology</v>
      </c>
      <c r="V688" t="str">
        <f>RIGHT(Table1[[#This Row],[Category and Sub-Category]],LEN(Table1[[#This Row],[Category and Sub-Category]])-FIND("/",Table1[[#This Row],[Category and Sub-Category]]))</f>
        <v>wearables</v>
      </c>
    </row>
    <row r="689" spans="1:22" ht="43.2" x14ac:dyDescent="0.3">
      <c r="A689">
        <v>687</v>
      </c>
      <c r="B689" s="3" t="s">
        <v>688</v>
      </c>
      <c r="C689" s="3" t="s">
        <v>4797</v>
      </c>
      <c r="D689" s="12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>((Table1[[#This Row],[deadline]]/60)/60/24)+DATE(1970,1,1)</f>
        <v>42771.750613425931</v>
      </c>
      <c r="K689">
        <v>1481133653</v>
      </c>
      <c r="L689" s="11">
        <f>((Table1[[#This Row],[launched_at]]/60)/60/24)+DATE(1970,1,1)</f>
        <v>42711.750613425931</v>
      </c>
      <c r="M689">
        <f>MONTH(Table1[[#This Row],[Date Created Conversion]])</f>
        <v>12</v>
      </c>
      <c r="N689">
        <f>YEAR(Table1[[#This Row],[Date Created Conversion]])</f>
        <v>2016</v>
      </c>
      <c r="O689" t="b">
        <v>0</v>
      </c>
      <c r="P689">
        <v>6</v>
      </c>
      <c r="Q689" t="b">
        <v>0</v>
      </c>
      <c r="R689" t="s">
        <v>8273</v>
      </c>
      <c r="S689" s="6">
        <f>Table1[[#This Row],[pledged]]/Table1[[#This Row],[goal]]</f>
        <v>3.5499999999999997E-2</v>
      </c>
      <c r="T689" s="8">
        <f>IF(Table1[[#This Row],[pledged]]=0,"no backers",Table1[[#This Row],[pledged]]/Table1[[#This Row],[backers_count]])</f>
        <v>591.66666666666663</v>
      </c>
      <c r="U689" t="str">
        <f>LEFT(Table1[[#This Row],[Category and Sub-Category]],FIND("/",Table1[[#This Row],[Category and Sub-Category]])-1)</f>
        <v>technology</v>
      </c>
      <c r="V689" t="str">
        <f>RIGHT(Table1[[#This Row],[Category and Sub-Category]],LEN(Table1[[#This Row],[Category and Sub-Category]])-FIND("/",Table1[[#This Row],[Category and Sub-Category]]))</f>
        <v>wearables</v>
      </c>
    </row>
    <row r="690" spans="1:22" ht="43.2" x14ac:dyDescent="0.3">
      <c r="A690">
        <v>688</v>
      </c>
      <c r="B690" s="3" t="s">
        <v>689</v>
      </c>
      <c r="C690" s="3" t="s">
        <v>4798</v>
      </c>
      <c r="D690" s="12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>((Table1[[#This Row],[deadline]]/60)/60/24)+DATE(1970,1,1)</f>
        <v>42292.104780092588</v>
      </c>
      <c r="K690">
        <v>1442284253</v>
      </c>
      <c r="L690" s="11">
        <f>((Table1[[#This Row],[launched_at]]/60)/60/24)+DATE(1970,1,1)</f>
        <v>42262.104780092588</v>
      </c>
      <c r="M690">
        <f>MONTH(Table1[[#This Row],[Date Created Conversion]])</f>
        <v>9</v>
      </c>
      <c r="N690">
        <f>YEAR(Table1[[#This Row],[Date Created Conversion]])</f>
        <v>2015</v>
      </c>
      <c r="O690" t="b">
        <v>0</v>
      </c>
      <c r="P690">
        <v>36</v>
      </c>
      <c r="Q690" t="b">
        <v>0</v>
      </c>
      <c r="R690" t="s">
        <v>8273</v>
      </c>
      <c r="S690" s="6">
        <f>Table1[[#This Row],[pledged]]/Table1[[#This Row],[goal]]</f>
        <v>0.72989999999999999</v>
      </c>
      <c r="T690" s="8">
        <f>IF(Table1[[#This Row],[pledged]]=0,"no backers",Table1[[#This Row],[pledged]]/Table1[[#This Row],[backers_count]])</f>
        <v>405.5</v>
      </c>
      <c r="U690" t="str">
        <f>LEFT(Table1[[#This Row],[Category and Sub-Category]],FIND("/",Table1[[#This Row],[Category and Sub-Category]])-1)</f>
        <v>technology</v>
      </c>
      <c r="V690" t="str">
        <f>RIGHT(Table1[[#This Row],[Category and Sub-Category]],LEN(Table1[[#This Row],[Category and Sub-Category]])-FIND("/",Table1[[#This Row],[Category and Sub-Category]]))</f>
        <v>wearables</v>
      </c>
    </row>
    <row r="691" spans="1:22" ht="43.2" x14ac:dyDescent="0.3">
      <c r="A691">
        <v>689</v>
      </c>
      <c r="B691" s="3" t="s">
        <v>690</v>
      </c>
      <c r="C691" s="3" t="s">
        <v>4799</v>
      </c>
      <c r="D691" s="12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>((Table1[[#This Row],[deadline]]/60)/60/24)+DATE(1970,1,1)</f>
        <v>42712.207638888889</v>
      </c>
      <c r="K691">
        <v>1478016097</v>
      </c>
      <c r="L691" s="11">
        <f>((Table1[[#This Row],[launched_at]]/60)/60/24)+DATE(1970,1,1)</f>
        <v>42675.66778935185</v>
      </c>
      <c r="M691">
        <f>MONTH(Table1[[#This Row],[Date Created Conversion]])</f>
        <v>11</v>
      </c>
      <c r="N691">
        <f>YEAR(Table1[[#This Row],[Date Created Conversion]])</f>
        <v>2016</v>
      </c>
      <c r="O691" t="b">
        <v>0</v>
      </c>
      <c r="P691">
        <v>336</v>
      </c>
      <c r="Q691" t="b">
        <v>0</v>
      </c>
      <c r="R691" t="s">
        <v>8273</v>
      </c>
      <c r="S691" s="6">
        <f>Table1[[#This Row],[pledged]]/Table1[[#This Row],[goal]]</f>
        <v>0.57648750000000004</v>
      </c>
      <c r="T691" s="8">
        <f>IF(Table1[[#This Row],[pledged]]=0,"no backers",Table1[[#This Row],[pledged]]/Table1[[#This Row],[backers_count]])</f>
        <v>343.14732142857144</v>
      </c>
      <c r="U691" t="str">
        <f>LEFT(Table1[[#This Row],[Category and Sub-Category]],FIND("/",Table1[[#This Row],[Category and Sub-Category]])-1)</f>
        <v>technology</v>
      </c>
      <c r="V691" t="str">
        <f>RIGHT(Table1[[#This Row],[Category and Sub-Category]],LEN(Table1[[#This Row],[Category and Sub-Category]])-FIND("/",Table1[[#This Row],[Category and Sub-Category]]))</f>
        <v>wearables</v>
      </c>
    </row>
    <row r="692" spans="1:22" ht="28.8" x14ac:dyDescent="0.3">
      <c r="A692">
        <v>690</v>
      </c>
      <c r="B692" s="3" t="s">
        <v>691</v>
      </c>
      <c r="C692" s="3" t="s">
        <v>4800</v>
      </c>
      <c r="D692" s="1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>((Table1[[#This Row],[deadline]]/60)/60/24)+DATE(1970,1,1)</f>
        <v>42622.25</v>
      </c>
      <c r="K692">
        <v>1469718841</v>
      </c>
      <c r="L692" s="11">
        <f>((Table1[[#This Row],[launched_at]]/60)/60/24)+DATE(1970,1,1)</f>
        <v>42579.634733796294</v>
      </c>
      <c r="M692">
        <f>MONTH(Table1[[#This Row],[Date Created Conversion]])</f>
        <v>7</v>
      </c>
      <c r="N692">
        <f>YEAR(Table1[[#This Row],[Date Created Conversion]])</f>
        <v>2016</v>
      </c>
      <c r="O692" t="b">
        <v>0</v>
      </c>
      <c r="P692">
        <v>34</v>
      </c>
      <c r="Q692" t="b">
        <v>0</v>
      </c>
      <c r="R692" t="s">
        <v>8273</v>
      </c>
      <c r="S692" s="6">
        <f>Table1[[#This Row],[pledged]]/Table1[[#This Row],[goal]]</f>
        <v>0.1234</v>
      </c>
      <c r="T692" s="8">
        <f>IF(Table1[[#This Row],[pledged]]=0,"no backers",Table1[[#This Row],[pledged]]/Table1[[#This Row],[backers_count]])</f>
        <v>72.588235294117652</v>
      </c>
      <c r="U692" t="str">
        <f>LEFT(Table1[[#This Row],[Category and Sub-Category]],FIND("/",Table1[[#This Row],[Category and Sub-Category]])-1)</f>
        <v>technology</v>
      </c>
      <c r="V692" t="str">
        <f>RIGHT(Table1[[#This Row],[Category and Sub-Category]],LEN(Table1[[#This Row],[Category and Sub-Category]])-FIND("/",Table1[[#This Row],[Category and Sub-Category]]))</f>
        <v>wearables</v>
      </c>
    </row>
    <row r="693" spans="1:22" ht="43.2" x14ac:dyDescent="0.3">
      <c r="A693">
        <v>691</v>
      </c>
      <c r="B693" s="3" t="s">
        <v>692</v>
      </c>
      <c r="C693" s="3" t="s">
        <v>4801</v>
      </c>
      <c r="D693" s="12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>((Table1[[#This Row],[deadline]]/60)/60/24)+DATE(1970,1,1)</f>
        <v>42186.028310185182</v>
      </c>
      <c r="K693">
        <v>1433292046</v>
      </c>
      <c r="L693" s="11">
        <f>((Table1[[#This Row],[launched_at]]/60)/60/24)+DATE(1970,1,1)</f>
        <v>42158.028310185182</v>
      </c>
      <c r="M693">
        <f>MONTH(Table1[[#This Row],[Date Created Conversion]])</f>
        <v>6</v>
      </c>
      <c r="N693">
        <f>YEAR(Table1[[#This Row],[Date Created Conversion]])</f>
        <v>2015</v>
      </c>
      <c r="O693" t="b">
        <v>0</v>
      </c>
      <c r="P693">
        <v>10</v>
      </c>
      <c r="Q693" t="b">
        <v>0</v>
      </c>
      <c r="R693" t="s">
        <v>8273</v>
      </c>
      <c r="S693" s="6">
        <f>Table1[[#This Row],[pledged]]/Table1[[#This Row],[goal]]</f>
        <v>5.1999999999999998E-3</v>
      </c>
      <c r="T693" s="8">
        <f>IF(Table1[[#This Row],[pledged]]=0,"no backers",Table1[[#This Row],[pledged]]/Table1[[#This Row],[backers_count]])</f>
        <v>26</v>
      </c>
      <c r="U693" t="str">
        <f>LEFT(Table1[[#This Row],[Category and Sub-Category]],FIND("/",Table1[[#This Row],[Category and Sub-Category]])-1)</f>
        <v>technology</v>
      </c>
      <c r="V693" t="str">
        <f>RIGHT(Table1[[#This Row],[Category and Sub-Category]],LEN(Table1[[#This Row],[Category and Sub-Category]])-FIND("/",Table1[[#This Row],[Category and Sub-Category]]))</f>
        <v>wearables</v>
      </c>
    </row>
    <row r="694" spans="1:22" ht="43.2" x14ac:dyDescent="0.3">
      <c r="A694">
        <v>692</v>
      </c>
      <c r="B694" s="3" t="s">
        <v>693</v>
      </c>
      <c r="C694" s="3" t="s">
        <v>4802</v>
      </c>
      <c r="D694" s="12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>((Table1[[#This Row],[deadline]]/60)/60/24)+DATE(1970,1,1)</f>
        <v>42726.37572916667</v>
      </c>
      <c r="K694">
        <v>1479805263</v>
      </c>
      <c r="L694" s="11">
        <f>((Table1[[#This Row],[launched_at]]/60)/60/24)+DATE(1970,1,1)</f>
        <v>42696.37572916667</v>
      </c>
      <c r="M694">
        <f>MONTH(Table1[[#This Row],[Date Created Conversion]])</f>
        <v>11</v>
      </c>
      <c r="N694">
        <f>YEAR(Table1[[#This Row],[Date Created Conversion]])</f>
        <v>2016</v>
      </c>
      <c r="O694" t="b">
        <v>0</v>
      </c>
      <c r="P694">
        <v>201</v>
      </c>
      <c r="Q694" t="b">
        <v>0</v>
      </c>
      <c r="R694" t="s">
        <v>8273</v>
      </c>
      <c r="S694" s="6">
        <f>Table1[[#This Row],[pledged]]/Table1[[#This Row],[goal]]</f>
        <v>6.5299999999999997E-2</v>
      </c>
      <c r="T694" s="8">
        <f>IF(Table1[[#This Row],[pledged]]=0,"no backers",Table1[[#This Row],[pledged]]/Table1[[#This Row],[backers_count]])</f>
        <v>6.4975124378109452</v>
      </c>
      <c r="U694" t="str">
        <f>LEFT(Table1[[#This Row],[Category and Sub-Category]],FIND("/",Table1[[#This Row],[Category and Sub-Category]])-1)</f>
        <v>technology</v>
      </c>
      <c r="V694" t="str">
        <f>RIGHT(Table1[[#This Row],[Category and Sub-Category]],LEN(Table1[[#This Row],[Category and Sub-Category]])-FIND("/",Table1[[#This Row],[Category and Sub-Category]]))</f>
        <v>wearables</v>
      </c>
    </row>
    <row r="695" spans="1:22" ht="43.2" x14ac:dyDescent="0.3">
      <c r="A695">
        <v>693</v>
      </c>
      <c r="B695" s="3" t="s">
        <v>694</v>
      </c>
      <c r="C695" s="3" t="s">
        <v>4803</v>
      </c>
      <c r="D695" s="12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>((Table1[[#This Row],[deadline]]/60)/60/24)+DATE(1970,1,1)</f>
        <v>42124.808182870373</v>
      </c>
      <c r="K695">
        <v>1427829827</v>
      </c>
      <c r="L695" s="11">
        <f>((Table1[[#This Row],[launched_at]]/60)/60/24)+DATE(1970,1,1)</f>
        <v>42094.808182870373</v>
      </c>
      <c r="M695">
        <f>MONTH(Table1[[#This Row],[Date Created Conversion]])</f>
        <v>3</v>
      </c>
      <c r="N695">
        <f>YEAR(Table1[[#This Row],[Date Created Conversion]])</f>
        <v>2015</v>
      </c>
      <c r="O695" t="b">
        <v>0</v>
      </c>
      <c r="P695">
        <v>296</v>
      </c>
      <c r="Q695" t="b">
        <v>0</v>
      </c>
      <c r="R695" t="s">
        <v>8273</v>
      </c>
      <c r="S695" s="6">
        <f>Table1[[#This Row],[pledged]]/Table1[[#This Row],[goal]]</f>
        <v>0.35338000000000003</v>
      </c>
      <c r="T695" s="8">
        <f>IF(Table1[[#This Row],[pledged]]=0,"no backers",Table1[[#This Row],[pledged]]/Table1[[#This Row],[backers_count]])</f>
        <v>119.38513513513513</v>
      </c>
      <c r="U695" t="str">
        <f>LEFT(Table1[[#This Row],[Category and Sub-Category]],FIND("/",Table1[[#This Row],[Category and Sub-Category]])-1)</f>
        <v>technology</v>
      </c>
      <c r="V695" t="str">
        <f>RIGHT(Table1[[#This Row],[Category and Sub-Category]],LEN(Table1[[#This Row],[Category and Sub-Category]])-FIND("/",Table1[[#This Row],[Category and Sub-Category]]))</f>
        <v>wearables</v>
      </c>
    </row>
    <row r="696" spans="1:22" ht="43.2" x14ac:dyDescent="0.3">
      <c r="A696">
        <v>694</v>
      </c>
      <c r="B696" s="3" t="s">
        <v>695</v>
      </c>
      <c r="C696" s="3" t="s">
        <v>4804</v>
      </c>
      <c r="D696" s="12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>((Table1[[#This Row],[deadline]]/60)/60/24)+DATE(1970,1,1)</f>
        <v>42767.663877314815</v>
      </c>
      <c r="K696">
        <v>1483372559</v>
      </c>
      <c r="L696" s="11">
        <f>((Table1[[#This Row],[launched_at]]/60)/60/24)+DATE(1970,1,1)</f>
        <v>42737.663877314815</v>
      </c>
      <c r="M696">
        <f>MONTH(Table1[[#This Row],[Date Created Conversion]])</f>
        <v>1</v>
      </c>
      <c r="N696">
        <f>YEAR(Table1[[#This Row],[Date Created Conversion]])</f>
        <v>2017</v>
      </c>
      <c r="O696" t="b">
        <v>0</v>
      </c>
      <c r="P696">
        <v>7</v>
      </c>
      <c r="Q696" t="b">
        <v>0</v>
      </c>
      <c r="R696" t="s">
        <v>8273</v>
      </c>
      <c r="S696" s="6">
        <f>Table1[[#This Row],[pledged]]/Table1[[#This Row],[goal]]</f>
        <v>3.933333333333333E-3</v>
      </c>
      <c r="T696" s="8">
        <f>IF(Table1[[#This Row],[pledged]]=0,"no backers",Table1[[#This Row],[pledged]]/Table1[[#This Row],[backers_count]])</f>
        <v>84.285714285714292</v>
      </c>
      <c r="U696" t="str">
        <f>LEFT(Table1[[#This Row],[Category and Sub-Category]],FIND("/",Table1[[#This Row],[Category and Sub-Category]])-1)</f>
        <v>technology</v>
      </c>
      <c r="V696" t="str">
        <f>RIGHT(Table1[[#This Row],[Category and Sub-Category]],LEN(Table1[[#This Row],[Category and Sub-Category]])-FIND("/",Table1[[#This Row],[Category and Sub-Category]]))</f>
        <v>wearables</v>
      </c>
    </row>
    <row r="697" spans="1:22" ht="57.6" x14ac:dyDescent="0.3">
      <c r="A697">
        <v>695</v>
      </c>
      <c r="B697" s="3" t="s">
        <v>696</v>
      </c>
      <c r="C697" s="3" t="s">
        <v>4805</v>
      </c>
      <c r="D697" s="12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>((Table1[[#This Row],[deadline]]/60)/60/24)+DATE(1970,1,1)</f>
        <v>41943.521064814813</v>
      </c>
      <c r="K697">
        <v>1412166620</v>
      </c>
      <c r="L697" s="11">
        <f>((Table1[[#This Row],[launched_at]]/60)/60/24)+DATE(1970,1,1)</f>
        <v>41913.521064814813</v>
      </c>
      <c r="M697">
        <f>MONTH(Table1[[#This Row],[Date Created Conversion]])</f>
        <v>10</v>
      </c>
      <c r="N697">
        <f>YEAR(Table1[[#This Row],[Date Created Conversion]])</f>
        <v>2014</v>
      </c>
      <c r="O697" t="b">
        <v>0</v>
      </c>
      <c r="P697">
        <v>7</v>
      </c>
      <c r="Q697" t="b">
        <v>0</v>
      </c>
      <c r="R697" t="s">
        <v>8273</v>
      </c>
      <c r="S697" s="6">
        <f>Table1[[#This Row],[pledged]]/Table1[[#This Row],[goal]]</f>
        <v>1.06E-2</v>
      </c>
      <c r="T697" s="8">
        <f>IF(Table1[[#This Row],[pledged]]=0,"no backers",Table1[[#This Row],[pledged]]/Table1[[#This Row],[backers_count]])</f>
        <v>90.857142857142861</v>
      </c>
      <c r="U697" t="str">
        <f>LEFT(Table1[[#This Row],[Category and Sub-Category]],FIND("/",Table1[[#This Row],[Category and Sub-Category]])-1)</f>
        <v>technology</v>
      </c>
      <c r="V697" t="str">
        <f>RIGHT(Table1[[#This Row],[Category and Sub-Category]],LEN(Table1[[#This Row],[Category and Sub-Category]])-FIND("/",Table1[[#This Row],[Category and Sub-Category]]))</f>
        <v>wearables</v>
      </c>
    </row>
    <row r="698" spans="1:22" ht="28.8" x14ac:dyDescent="0.3">
      <c r="A698">
        <v>696</v>
      </c>
      <c r="B698" s="3" t="s">
        <v>697</v>
      </c>
      <c r="C698" s="3" t="s">
        <v>4806</v>
      </c>
      <c r="D698" s="12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>((Table1[[#This Row],[deadline]]/60)/60/24)+DATE(1970,1,1)</f>
        <v>41845.927106481482</v>
      </c>
      <c r="K698">
        <v>1403734502</v>
      </c>
      <c r="L698" s="11">
        <f>((Table1[[#This Row],[launched_at]]/60)/60/24)+DATE(1970,1,1)</f>
        <v>41815.927106481482</v>
      </c>
      <c r="M698">
        <f>MONTH(Table1[[#This Row],[Date Created Conversion]])</f>
        <v>6</v>
      </c>
      <c r="N698">
        <f>YEAR(Table1[[#This Row],[Date Created Conversion]])</f>
        <v>2014</v>
      </c>
      <c r="O698" t="b">
        <v>0</v>
      </c>
      <c r="P698">
        <v>1</v>
      </c>
      <c r="Q698" t="b">
        <v>0</v>
      </c>
      <c r="R698" t="s">
        <v>8273</v>
      </c>
      <c r="S698" s="6">
        <f>Table1[[#This Row],[pledged]]/Table1[[#This Row],[goal]]</f>
        <v>5.7142857142857145E-6</v>
      </c>
      <c r="T698" s="8">
        <f>IF(Table1[[#This Row],[pledged]]=0,"no backers",Table1[[#This Row],[pledged]]/Table1[[#This Row],[backers_count]])</f>
        <v>1</v>
      </c>
      <c r="U698" t="str">
        <f>LEFT(Table1[[#This Row],[Category and Sub-Category]],FIND("/",Table1[[#This Row],[Category and Sub-Category]])-1)</f>
        <v>technology</v>
      </c>
      <c r="V698" t="str">
        <f>RIGHT(Table1[[#This Row],[Category and Sub-Category]],LEN(Table1[[#This Row],[Category and Sub-Category]])-FIND("/",Table1[[#This Row],[Category and Sub-Category]]))</f>
        <v>wearables</v>
      </c>
    </row>
    <row r="699" spans="1:22" ht="43.2" x14ac:dyDescent="0.3">
      <c r="A699">
        <v>697</v>
      </c>
      <c r="B699" s="3" t="s">
        <v>698</v>
      </c>
      <c r="C699" s="3" t="s">
        <v>4807</v>
      </c>
      <c r="D699" s="12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>((Table1[[#This Row],[deadline]]/60)/60/24)+DATE(1970,1,1)</f>
        <v>42403.523020833338</v>
      </c>
      <c r="K699">
        <v>1453206789</v>
      </c>
      <c r="L699" s="11">
        <f>((Table1[[#This Row],[launched_at]]/60)/60/24)+DATE(1970,1,1)</f>
        <v>42388.523020833338</v>
      </c>
      <c r="M699">
        <f>MONTH(Table1[[#This Row],[Date Created Conversion]])</f>
        <v>1</v>
      </c>
      <c r="N699">
        <f>YEAR(Table1[[#This Row],[Date Created Conversion]])</f>
        <v>2016</v>
      </c>
      <c r="O699" t="b">
        <v>0</v>
      </c>
      <c r="P699">
        <v>114</v>
      </c>
      <c r="Q699" t="b">
        <v>0</v>
      </c>
      <c r="R699" t="s">
        <v>8273</v>
      </c>
      <c r="S699" s="6">
        <f>Table1[[#This Row],[pledged]]/Table1[[#This Row],[goal]]</f>
        <v>0.46379999999999999</v>
      </c>
      <c r="T699" s="8">
        <f>IF(Table1[[#This Row],[pledged]]=0,"no backers",Table1[[#This Row],[pledged]]/Table1[[#This Row],[backers_count]])</f>
        <v>20.342105263157894</v>
      </c>
      <c r="U699" t="str">
        <f>LEFT(Table1[[#This Row],[Category and Sub-Category]],FIND("/",Table1[[#This Row],[Category and Sub-Category]])-1)</f>
        <v>technology</v>
      </c>
      <c r="V699" t="str">
        <f>RIGHT(Table1[[#This Row],[Category and Sub-Category]],LEN(Table1[[#This Row],[Category and Sub-Category]])-FIND("/",Table1[[#This Row],[Category and Sub-Category]]))</f>
        <v>wearables</v>
      </c>
    </row>
    <row r="700" spans="1:22" ht="43.2" x14ac:dyDescent="0.3">
      <c r="A700">
        <v>698</v>
      </c>
      <c r="B700" s="3" t="s">
        <v>699</v>
      </c>
      <c r="C700" s="3" t="s">
        <v>4808</v>
      </c>
      <c r="D700" s="12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>((Table1[[#This Row],[deadline]]/60)/60/24)+DATE(1970,1,1)</f>
        <v>41900.083333333336</v>
      </c>
      <c r="K700">
        <v>1408141245</v>
      </c>
      <c r="L700" s="11">
        <f>((Table1[[#This Row],[launched_at]]/60)/60/24)+DATE(1970,1,1)</f>
        <v>41866.931076388886</v>
      </c>
      <c r="M700">
        <f>MONTH(Table1[[#This Row],[Date Created Conversion]])</f>
        <v>8</v>
      </c>
      <c r="N700">
        <f>YEAR(Table1[[#This Row],[Date Created Conversion]])</f>
        <v>2014</v>
      </c>
      <c r="O700" t="b">
        <v>0</v>
      </c>
      <c r="P700">
        <v>29</v>
      </c>
      <c r="Q700" t="b">
        <v>0</v>
      </c>
      <c r="R700" t="s">
        <v>8273</v>
      </c>
      <c r="S700" s="6">
        <f>Table1[[#This Row],[pledged]]/Table1[[#This Row],[goal]]</f>
        <v>0.15390000000000001</v>
      </c>
      <c r="T700" s="8">
        <f>IF(Table1[[#This Row],[pledged]]=0,"no backers",Table1[[#This Row],[pledged]]/Table1[[#This Row],[backers_count]])</f>
        <v>530.68965517241384</v>
      </c>
      <c r="U700" t="str">
        <f>LEFT(Table1[[#This Row],[Category and Sub-Category]],FIND("/",Table1[[#This Row],[Category and Sub-Category]])-1)</f>
        <v>technology</v>
      </c>
      <c r="V700" t="str">
        <f>RIGHT(Table1[[#This Row],[Category and Sub-Category]],LEN(Table1[[#This Row],[Category and Sub-Category]])-FIND("/",Table1[[#This Row],[Category and Sub-Category]]))</f>
        <v>wearables</v>
      </c>
    </row>
    <row r="701" spans="1:22" ht="43.2" x14ac:dyDescent="0.3">
      <c r="A701">
        <v>699</v>
      </c>
      <c r="B701" s="3" t="s">
        <v>700</v>
      </c>
      <c r="C701" s="3" t="s">
        <v>4809</v>
      </c>
      <c r="D701" s="12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>((Table1[[#This Row],[deadline]]/60)/60/24)+DATE(1970,1,1)</f>
        <v>41600.666666666664</v>
      </c>
      <c r="K701">
        <v>1381923548</v>
      </c>
      <c r="L701" s="11">
        <f>((Table1[[#This Row],[launched_at]]/60)/60/24)+DATE(1970,1,1)</f>
        <v>41563.485509259262</v>
      </c>
      <c r="M701">
        <f>MONTH(Table1[[#This Row],[Date Created Conversion]])</f>
        <v>10</v>
      </c>
      <c r="N701">
        <f>YEAR(Table1[[#This Row],[Date Created Conversion]])</f>
        <v>2013</v>
      </c>
      <c r="O701" t="b">
        <v>0</v>
      </c>
      <c r="P701">
        <v>890</v>
      </c>
      <c r="Q701" t="b">
        <v>0</v>
      </c>
      <c r="R701" t="s">
        <v>8273</v>
      </c>
      <c r="S701" s="6">
        <f>Table1[[#This Row],[pledged]]/Table1[[#This Row],[goal]]</f>
        <v>0.824221076923077</v>
      </c>
      <c r="T701" s="8">
        <f>IF(Table1[[#This Row],[pledged]]=0,"no backers",Table1[[#This Row],[pledged]]/Table1[[#This Row],[backers_count]])</f>
        <v>120.39184269662923</v>
      </c>
      <c r="U701" t="str">
        <f>LEFT(Table1[[#This Row],[Category and Sub-Category]],FIND("/",Table1[[#This Row],[Category and Sub-Category]])-1)</f>
        <v>technology</v>
      </c>
      <c r="V701" t="str">
        <f>RIGHT(Table1[[#This Row],[Category and Sub-Category]],LEN(Table1[[#This Row],[Category and Sub-Category]])-FIND("/",Table1[[#This Row],[Category and Sub-Category]]))</f>
        <v>wearables</v>
      </c>
    </row>
    <row r="702" spans="1:22" ht="43.2" x14ac:dyDescent="0.3">
      <c r="A702">
        <v>700</v>
      </c>
      <c r="B702" s="3" t="s">
        <v>701</v>
      </c>
      <c r="C702" s="3" t="s">
        <v>4810</v>
      </c>
      <c r="D702" s="1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>((Table1[[#This Row],[deadline]]/60)/60/24)+DATE(1970,1,1)</f>
        <v>42745.688437500001</v>
      </c>
      <c r="K702">
        <v>1481473881</v>
      </c>
      <c r="L702" s="11">
        <f>((Table1[[#This Row],[launched_at]]/60)/60/24)+DATE(1970,1,1)</f>
        <v>42715.688437500001</v>
      </c>
      <c r="M702">
        <f>MONTH(Table1[[#This Row],[Date Created Conversion]])</f>
        <v>12</v>
      </c>
      <c r="N702">
        <f>YEAR(Table1[[#This Row],[Date Created Conversion]])</f>
        <v>2016</v>
      </c>
      <c r="O702" t="b">
        <v>0</v>
      </c>
      <c r="P702">
        <v>31</v>
      </c>
      <c r="Q702" t="b">
        <v>0</v>
      </c>
      <c r="R702" t="s">
        <v>8273</v>
      </c>
      <c r="S702" s="6">
        <f>Table1[[#This Row],[pledged]]/Table1[[#This Row],[goal]]</f>
        <v>2.6866666666666667E-2</v>
      </c>
      <c r="T702" s="8">
        <f>IF(Table1[[#This Row],[pledged]]=0,"no backers",Table1[[#This Row],[pledged]]/Table1[[#This Row],[backers_count]])</f>
        <v>13</v>
      </c>
      <c r="U702" t="str">
        <f>LEFT(Table1[[#This Row],[Category and Sub-Category]],FIND("/",Table1[[#This Row],[Category and Sub-Category]])-1)</f>
        <v>technology</v>
      </c>
      <c r="V702" t="str">
        <f>RIGHT(Table1[[#This Row],[Category and Sub-Category]],LEN(Table1[[#This Row],[Category and Sub-Category]])-FIND("/",Table1[[#This Row],[Category and Sub-Category]]))</f>
        <v>wearables</v>
      </c>
    </row>
    <row r="703" spans="1:22" ht="43.2" x14ac:dyDescent="0.3">
      <c r="A703">
        <v>701</v>
      </c>
      <c r="B703" s="3" t="s">
        <v>702</v>
      </c>
      <c r="C703" s="3" t="s">
        <v>4811</v>
      </c>
      <c r="D703" s="12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>((Table1[[#This Row],[deadline]]/60)/60/24)+DATE(1970,1,1)</f>
        <v>41843.662962962961</v>
      </c>
      <c r="K703">
        <v>1403538880</v>
      </c>
      <c r="L703" s="11">
        <f>((Table1[[#This Row],[launched_at]]/60)/60/24)+DATE(1970,1,1)</f>
        <v>41813.662962962961</v>
      </c>
      <c r="M703">
        <f>MONTH(Table1[[#This Row],[Date Created Conversion]])</f>
        <v>6</v>
      </c>
      <c r="N703">
        <f>YEAR(Table1[[#This Row],[Date Created Conversion]])</f>
        <v>2014</v>
      </c>
      <c r="O703" t="b">
        <v>0</v>
      </c>
      <c r="P703">
        <v>21</v>
      </c>
      <c r="Q703" t="b">
        <v>0</v>
      </c>
      <c r="R703" t="s">
        <v>8273</v>
      </c>
      <c r="S703" s="6">
        <f>Table1[[#This Row],[pledged]]/Table1[[#This Row],[goal]]</f>
        <v>0.26600000000000001</v>
      </c>
      <c r="T703" s="8">
        <f>IF(Table1[[#This Row],[pledged]]=0,"no backers",Table1[[#This Row],[pledged]]/Table1[[#This Row],[backers_count]])</f>
        <v>291.33333333333331</v>
      </c>
      <c r="U703" t="str">
        <f>LEFT(Table1[[#This Row],[Category and Sub-Category]],FIND("/",Table1[[#This Row],[Category and Sub-Category]])-1)</f>
        <v>technology</v>
      </c>
      <c r="V703" t="str">
        <f>RIGHT(Table1[[#This Row],[Category and Sub-Category]],LEN(Table1[[#This Row],[Category and Sub-Category]])-FIND("/",Table1[[#This Row],[Category and Sub-Category]]))</f>
        <v>wearables</v>
      </c>
    </row>
    <row r="704" spans="1:22" ht="43.2" x14ac:dyDescent="0.3">
      <c r="A704">
        <v>702</v>
      </c>
      <c r="B704" s="3" t="s">
        <v>703</v>
      </c>
      <c r="C704" s="3" t="s">
        <v>4812</v>
      </c>
      <c r="D704" s="12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>((Table1[[#This Row],[deadline]]/60)/60/24)+DATE(1970,1,1)</f>
        <v>42698.768368055549</v>
      </c>
      <c r="K704">
        <v>1477416387</v>
      </c>
      <c r="L704" s="11">
        <f>((Table1[[#This Row],[launched_at]]/60)/60/24)+DATE(1970,1,1)</f>
        <v>42668.726701388892</v>
      </c>
      <c r="M704">
        <f>MONTH(Table1[[#This Row],[Date Created Conversion]])</f>
        <v>10</v>
      </c>
      <c r="N704">
        <f>YEAR(Table1[[#This Row],[Date Created Conversion]])</f>
        <v>2016</v>
      </c>
      <c r="O704" t="b">
        <v>0</v>
      </c>
      <c r="P704">
        <v>37</v>
      </c>
      <c r="Q704" t="b">
        <v>0</v>
      </c>
      <c r="R704" t="s">
        <v>8273</v>
      </c>
      <c r="S704" s="6">
        <f>Table1[[#This Row],[pledged]]/Table1[[#This Row],[goal]]</f>
        <v>0.30813400000000002</v>
      </c>
      <c r="T704" s="8">
        <f>IF(Table1[[#This Row],[pledged]]=0,"no backers",Table1[[#This Row],[pledged]]/Table1[[#This Row],[backers_count]])</f>
        <v>124.9191891891892</v>
      </c>
      <c r="U704" t="str">
        <f>LEFT(Table1[[#This Row],[Category and Sub-Category]],FIND("/",Table1[[#This Row],[Category and Sub-Category]])-1)</f>
        <v>technology</v>
      </c>
      <c r="V704" t="str">
        <f>RIGHT(Table1[[#This Row],[Category and Sub-Category]],LEN(Table1[[#This Row],[Category and Sub-Category]])-FIND("/",Table1[[#This Row],[Category and Sub-Category]]))</f>
        <v>wearables</v>
      </c>
    </row>
    <row r="705" spans="1:22" ht="43.2" x14ac:dyDescent="0.3">
      <c r="A705">
        <v>703</v>
      </c>
      <c r="B705" s="3" t="s">
        <v>704</v>
      </c>
      <c r="C705" s="3" t="s">
        <v>4813</v>
      </c>
      <c r="D705" s="12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>((Table1[[#This Row],[deadline]]/60)/60/24)+DATE(1970,1,1)</f>
        <v>42766.98055555555</v>
      </c>
      <c r="K705">
        <v>1481150949</v>
      </c>
      <c r="L705" s="11">
        <f>((Table1[[#This Row],[launched_at]]/60)/60/24)+DATE(1970,1,1)</f>
        <v>42711.950798611113</v>
      </c>
      <c r="M705">
        <f>MONTH(Table1[[#This Row],[Date Created Conversion]])</f>
        <v>12</v>
      </c>
      <c r="N705">
        <f>YEAR(Table1[[#This Row],[Date Created Conversion]])</f>
        <v>2016</v>
      </c>
      <c r="O705" t="b">
        <v>0</v>
      </c>
      <c r="P705">
        <v>7</v>
      </c>
      <c r="Q705" t="b">
        <v>0</v>
      </c>
      <c r="R705" t="s">
        <v>8273</v>
      </c>
      <c r="S705" s="6">
        <f>Table1[[#This Row],[pledged]]/Table1[[#This Row],[goal]]</f>
        <v>5.5800000000000002E-2</v>
      </c>
      <c r="T705" s="8">
        <f>IF(Table1[[#This Row],[pledged]]=0,"no backers",Table1[[#This Row],[pledged]]/Table1[[#This Row],[backers_count]])</f>
        <v>119.57142857142857</v>
      </c>
      <c r="U705" t="str">
        <f>LEFT(Table1[[#This Row],[Category and Sub-Category]],FIND("/",Table1[[#This Row],[Category and Sub-Category]])-1)</f>
        <v>technology</v>
      </c>
      <c r="V705" t="str">
        <f>RIGHT(Table1[[#This Row],[Category and Sub-Category]],LEN(Table1[[#This Row],[Category and Sub-Category]])-FIND("/",Table1[[#This Row],[Category and Sub-Category]]))</f>
        <v>wearables</v>
      </c>
    </row>
    <row r="706" spans="1:22" ht="43.2" x14ac:dyDescent="0.3">
      <c r="A706">
        <v>704</v>
      </c>
      <c r="B706" s="3" t="s">
        <v>705</v>
      </c>
      <c r="C706" s="3" t="s">
        <v>4814</v>
      </c>
      <c r="D706" s="12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>((Table1[[#This Row],[deadline]]/60)/60/24)+DATE(1970,1,1)</f>
        <v>42786.192916666667</v>
      </c>
      <c r="K706">
        <v>1482381468</v>
      </c>
      <c r="L706" s="11">
        <f>((Table1[[#This Row],[launched_at]]/60)/60/24)+DATE(1970,1,1)</f>
        <v>42726.192916666667</v>
      </c>
      <c r="M706">
        <f>MONTH(Table1[[#This Row],[Date Created Conversion]])</f>
        <v>12</v>
      </c>
      <c r="N706">
        <f>YEAR(Table1[[#This Row],[Date Created Conversion]])</f>
        <v>2016</v>
      </c>
      <c r="O706" t="b">
        <v>0</v>
      </c>
      <c r="P706">
        <v>4</v>
      </c>
      <c r="Q706" t="b">
        <v>0</v>
      </c>
      <c r="R706" t="s">
        <v>8273</v>
      </c>
      <c r="S706" s="6">
        <f>Table1[[#This Row],[pledged]]/Table1[[#This Row],[goal]]</f>
        <v>8.7454545454545458E-3</v>
      </c>
      <c r="T706" s="8">
        <f>IF(Table1[[#This Row],[pledged]]=0,"no backers",Table1[[#This Row],[pledged]]/Table1[[#This Row],[backers_count]])</f>
        <v>120.25</v>
      </c>
      <c r="U706" t="str">
        <f>LEFT(Table1[[#This Row],[Category and Sub-Category]],FIND("/",Table1[[#This Row],[Category and Sub-Category]])-1)</f>
        <v>technology</v>
      </c>
      <c r="V706" t="str">
        <f>RIGHT(Table1[[#This Row],[Category and Sub-Category]],LEN(Table1[[#This Row],[Category and Sub-Category]])-FIND("/",Table1[[#This Row],[Category and Sub-Category]]))</f>
        <v>wearables</v>
      </c>
    </row>
    <row r="707" spans="1:22" ht="28.8" x14ac:dyDescent="0.3">
      <c r="A707">
        <v>705</v>
      </c>
      <c r="B707" s="3" t="s">
        <v>706</v>
      </c>
      <c r="C707" s="3" t="s">
        <v>4815</v>
      </c>
      <c r="D707" s="12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>((Table1[[#This Row],[deadline]]/60)/60/24)+DATE(1970,1,1)</f>
        <v>42756.491643518515</v>
      </c>
      <c r="K707">
        <v>1482407278</v>
      </c>
      <c r="L707" s="11">
        <f>((Table1[[#This Row],[launched_at]]/60)/60/24)+DATE(1970,1,1)</f>
        <v>42726.491643518515</v>
      </c>
      <c r="M707">
        <f>MONTH(Table1[[#This Row],[Date Created Conversion]])</f>
        <v>12</v>
      </c>
      <c r="N707">
        <f>YEAR(Table1[[#This Row],[Date Created Conversion]])</f>
        <v>2016</v>
      </c>
      <c r="O707" t="b">
        <v>0</v>
      </c>
      <c r="P707">
        <v>5</v>
      </c>
      <c r="Q707" t="b">
        <v>0</v>
      </c>
      <c r="R707" t="s">
        <v>8273</v>
      </c>
      <c r="S707" s="6">
        <f>Table1[[#This Row],[pledged]]/Table1[[#This Row],[goal]]</f>
        <v>9.7699999999999992E-3</v>
      </c>
      <c r="T707" s="8">
        <f>IF(Table1[[#This Row],[pledged]]=0,"no backers",Table1[[#This Row],[pledged]]/Table1[[#This Row],[backers_count]])</f>
        <v>195.4</v>
      </c>
      <c r="U707" t="str">
        <f>LEFT(Table1[[#This Row],[Category and Sub-Category]],FIND("/",Table1[[#This Row],[Category and Sub-Category]])-1)</f>
        <v>technology</v>
      </c>
      <c r="V707" t="str">
        <f>RIGHT(Table1[[#This Row],[Category and Sub-Category]],LEN(Table1[[#This Row],[Category and Sub-Category]])-FIND("/",Table1[[#This Row],[Category and Sub-Category]]))</f>
        <v>wearables</v>
      </c>
    </row>
    <row r="708" spans="1:22" ht="43.2" x14ac:dyDescent="0.3">
      <c r="A708">
        <v>706</v>
      </c>
      <c r="B708" s="3" t="s">
        <v>707</v>
      </c>
      <c r="C708" s="3" t="s">
        <v>4816</v>
      </c>
      <c r="D708" s="12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>((Table1[[#This Row],[deadline]]/60)/60/24)+DATE(1970,1,1)</f>
        <v>42718.777083333334</v>
      </c>
      <c r="K708">
        <v>1478130783</v>
      </c>
      <c r="L708" s="11">
        <f>((Table1[[#This Row],[launched_at]]/60)/60/24)+DATE(1970,1,1)</f>
        <v>42676.995173611111</v>
      </c>
      <c r="M708">
        <f>MONTH(Table1[[#This Row],[Date Created Conversion]])</f>
        <v>11</v>
      </c>
      <c r="N708">
        <f>YEAR(Table1[[#This Row],[Date Created Conversion]])</f>
        <v>2016</v>
      </c>
      <c r="O708" t="b">
        <v>0</v>
      </c>
      <c r="P708">
        <v>0</v>
      </c>
      <c r="Q708" t="b">
        <v>0</v>
      </c>
      <c r="R708" t="s">
        <v>8273</v>
      </c>
      <c r="S708" s="6">
        <f>Table1[[#This Row],[pledged]]/Table1[[#This Row],[goal]]</f>
        <v>0</v>
      </c>
      <c r="T708" s="8" t="str">
        <f>IF(Table1[[#This Row],[pledged]]=0,"no backers",Table1[[#This Row],[pledged]]/Table1[[#This Row],[backers_count]])</f>
        <v>no backers</v>
      </c>
      <c r="U708" t="str">
        <f>LEFT(Table1[[#This Row],[Category and Sub-Category]],FIND("/",Table1[[#This Row],[Category and Sub-Category]])-1)</f>
        <v>technology</v>
      </c>
      <c r="V708" t="str">
        <f>RIGHT(Table1[[#This Row],[Category and Sub-Category]],LEN(Table1[[#This Row],[Category and Sub-Category]])-FIND("/",Table1[[#This Row],[Category and Sub-Category]]))</f>
        <v>wearables</v>
      </c>
    </row>
    <row r="709" spans="1:22" ht="43.2" x14ac:dyDescent="0.3">
      <c r="A709">
        <v>707</v>
      </c>
      <c r="B709" s="3" t="s">
        <v>708</v>
      </c>
      <c r="C709" s="3" t="s">
        <v>4817</v>
      </c>
      <c r="D709" s="12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>((Table1[[#This Row],[deadline]]/60)/60/24)+DATE(1970,1,1)</f>
        <v>42736.663506944446</v>
      </c>
      <c r="K709">
        <v>1479830127</v>
      </c>
      <c r="L709" s="11">
        <f>((Table1[[#This Row],[launched_at]]/60)/60/24)+DATE(1970,1,1)</f>
        <v>42696.663506944446</v>
      </c>
      <c r="M709">
        <f>MONTH(Table1[[#This Row],[Date Created Conversion]])</f>
        <v>11</v>
      </c>
      <c r="N709">
        <f>YEAR(Table1[[#This Row],[Date Created Conversion]])</f>
        <v>2016</v>
      </c>
      <c r="O709" t="b">
        <v>0</v>
      </c>
      <c r="P709">
        <v>456</v>
      </c>
      <c r="Q709" t="b">
        <v>0</v>
      </c>
      <c r="R709" t="s">
        <v>8273</v>
      </c>
      <c r="S709" s="6">
        <f>Table1[[#This Row],[pledged]]/Table1[[#This Row],[goal]]</f>
        <v>0.78927352941176465</v>
      </c>
      <c r="T709" s="8">
        <f>IF(Table1[[#This Row],[pledged]]=0,"no backers",Table1[[#This Row],[pledged]]/Table1[[#This Row],[backers_count]])</f>
        <v>117.69868421052631</v>
      </c>
      <c r="U709" t="str">
        <f>LEFT(Table1[[#This Row],[Category and Sub-Category]],FIND("/",Table1[[#This Row],[Category and Sub-Category]])-1)</f>
        <v>technology</v>
      </c>
      <c r="V709" t="str">
        <f>RIGHT(Table1[[#This Row],[Category and Sub-Category]],LEN(Table1[[#This Row],[Category and Sub-Category]])-FIND("/",Table1[[#This Row],[Category and Sub-Category]]))</f>
        <v>wearables</v>
      </c>
    </row>
    <row r="710" spans="1:22" ht="43.2" x14ac:dyDescent="0.3">
      <c r="A710">
        <v>708</v>
      </c>
      <c r="B710" s="3" t="s">
        <v>709</v>
      </c>
      <c r="C710" s="3" t="s">
        <v>4818</v>
      </c>
      <c r="D710" s="12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>((Table1[[#This Row],[deadline]]/60)/60/24)+DATE(1970,1,1)</f>
        <v>41895.581018518518</v>
      </c>
      <c r="K710">
        <v>1405432600</v>
      </c>
      <c r="L710" s="11">
        <f>((Table1[[#This Row],[launched_at]]/60)/60/24)+DATE(1970,1,1)</f>
        <v>41835.581018518518</v>
      </c>
      <c r="M710">
        <f>MONTH(Table1[[#This Row],[Date Created Conversion]])</f>
        <v>7</v>
      </c>
      <c r="N710">
        <f>YEAR(Table1[[#This Row],[Date Created Conversion]])</f>
        <v>2014</v>
      </c>
      <c r="O710" t="b">
        <v>0</v>
      </c>
      <c r="P710">
        <v>369</v>
      </c>
      <c r="Q710" t="b">
        <v>0</v>
      </c>
      <c r="R710" t="s">
        <v>8273</v>
      </c>
      <c r="S710" s="6">
        <f>Table1[[#This Row],[pledged]]/Table1[[#This Row],[goal]]</f>
        <v>0.22092500000000001</v>
      </c>
      <c r="T710" s="8">
        <f>IF(Table1[[#This Row],[pledged]]=0,"no backers",Table1[[#This Row],[pledged]]/Table1[[#This Row],[backers_count]])</f>
        <v>23.948509485094849</v>
      </c>
      <c r="U710" t="str">
        <f>LEFT(Table1[[#This Row],[Category and Sub-Category]],FIND("/",Table1[[#This Row],[Category and Sub-Category]])-1)</f>
        <v>technology</v>
      </c>
      <c r="V710" t="str">
        <f>RIGHT(Table1[[#This Row],[Category and Sub-Category]],LEN(Table1[[#This Row],[Category and Sub-Category]])-FIND("/",Table1[[#This Row],[Category and Sub-Category]]))</f>
        <v>wearables</v>
      </c>
    </row>
    <row r="711" spans="1:22" ht="28.8" x14ac:dyDescent="0.3">
      <c r="A711">
        <v>709</v>
      </c>
      <c r="B711" s="3" t="s">
        <v>710</v>
      </c>
      <c r="C711" s="3" t="s">
        <v>4819</v>
      </c>
      <c r="D711" s="12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>((Table1[[#This Row],[deadline]]/60)/60/24)+DATE(1970,1,1)</f>
        <v>41978.041192129633</v>
      </c>
      <c r="K711">
        <v>1415149159</v>
      </c>
      <c r="L711" s="11">
        <f>((Table1[[#This Row],[launched_at]]/60)/60/24)+DATE(1970,1,1)</f>
        <v>41948.041192129633</v>
      </c>
      <c r="M711">
        <f>MONTH(Table1[[#This Row],[Date Created Conversion]])</f>
        <v>11</v>
      </c>
      <c r="N711">
        <f>YEAR(Table1[[#This Row],[Date Created Conversion]])</f>
        <v>2014</v>
      </c>
      <c r="O711" t="b">
        <v>0</v>
      </c>
      <c r="P711">
        <v>2</v>
      </c>
      <c r="Q711" t="b">
        <v>0</v>
      </c>
      <c r="R711" t="s">
        <v>8273</v>
      </c>
      <c r="S711" s="6">
        <f>Table1[[#This Row],[pledged]]/Table1[[#This Row],[goal]]</f>
        <v>4.0666666666666663E-3</v>
      </c>
      <c r="T711" s="8">
        <f>IF(Table1[[#This Row],[pledged]]=0,"no backers",Table1[[#This Row],[pledged]]/Table1[[#This Row],[backers_count]])</f>
        <v>30.5</v>
      </c>
      <c r="U711" t="str">
        <f>LEFT(Table1[[#This Row],[Category and Sub-Category]],FIND("/",Table1[[#This Row],[Category and Sub-Category]])-1)</f>
        <v>technology</v>
      </c>
      <c r="V711" t="str">
        <f>RIGHT(Table1[[#This Row],[Category and Sub-Category]],LEN(Table1[[#This Row],[Category and Sub-Category]])-FIND("/",Table1[[#This Row],[Category and Sub-Category]]))</f>
        <v>wearables</v>
      </c>
    </row>
    <row r="712" spans="1:22" ht="28.8" x14ac:dyDescent="0.3">
      <c r="A712">
        <v>710</v>
      </c>
      <c r="B712" s="3" t="s">
        <v>711</v>
      </c>
      <c r="C712" s="3" t="s">
        <v>4820</v>
      </c>
      <c r="D712" s="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>((Table1[[#This Row],[deadline]]/60)/60/24)+DATE(1970,1,1)</f>
        <v>41871.030555555553</v>
      </c>
      <c r="K712">
        <v>1405640302</v>
      </c>
      <c r="L712" s="11">
        <f>((Table1[[#This Row],[launched_at]]/60)/60/24)+DATE(1970,1,1)</f>
        <v>41837.984976851854</v>
      </c>
      <c r="M712">
        <f>MONTH(Table1[[#This Row],[Date Created Conversion]])</f>
        <v>7</v>
      </c>
      <c r="N712">
        <f>YEAR(Table1[[#This Row],[Date Created Conversion]])</f>
        <v>2014</v>
      </c>
      <c r="O712" t="b">
        <v>0</v>
      </c>
      <c r="P712">
        <v>0</v>
      </c>
      <c r="Q712" t="b">
        <v>0</v>
      </c>
      <c r="R712" t="s">
        <v>8273</v>
      </c>
      <c r="S712" s="6">
        <f>Table1[[#This Row],[pledged]]/Table1[[#This Row],[goal]]</f>
        <v>0</v>
      </c>
      <c r="T712" s="8" t="str">
        <f>IF(Table1[[#This Row],[pledged]]=0,"no backers",Table1[[#This Row],[pledged]]/Table1[[#This Row],[backers_count]])</f>
        <v>no backers</v>
      </c>
      <c r="U712" t="str">
        <f>LEFT(Table1[[#This Row],[Category and Sub-Category]],FIND("/",Table1[[#This Row],[Category and Sub-Category]])-1)</f>
        <v>technology</v>
      </c>
      <c r="V712" t="str">
        <f>RIGHT(Table1[[#This Row],[Category and Sub-Category]],LEN(Table1[[#This Row],[Category and Sub-Category]])-FIND("/",Table1[[#This Row],[Category and Sub-Category]]))</f>
        <v>wearables</v>
      </c>
    </row>
    <row r="713" spans="1:22" ht="57.6" x14ac:dyDescent="0.3">
      <c r="A713">
        <v>711</v>
      </c>
      <c r="B713" s="3" t="s">
        <v>712</v>
      </c>
      <c r="C713" s="3" t="s">
        <v>4821</v>
      </c>
      <c r="D713" s="12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>((Table1[[#This Row],[deadline]]/60)/60/24)+DATE(1970,1,1)</f>
        <v>42718.500787037032</v>
      </c>
      <c r="K713">
        <v>1478257268</v>
      </c>
      <c r="L713" s="11">
        <f>((Table1[[#This Row],[launched_at]]/60)/60/24)+DATE(1970,1,1)</f>
        <v>42678.459120370375</v>
      </c>
      <c r="M713">
        <f>MONTH(Table1[[#This Row],[Date Created Conversion]])</f>
        <v>11</v>
      </c>
      <c r="N713">
        <f>YEAR(Table1[[#This Row],[Date Created Conversion]])</f>
        <v>2016</v>
      </c>
      <c r="O713" t="b">
        <v>0</v>
      </c>
      <c r="P713">
        <v>338</v>
      </c>
      <c r="Q713" t="b">
        <v>0</v>
      </c>
      <c r="R713" t="s">
        <v>8273</v>
      </c>
      <c r="S713" s="6">
        <f>Table1[[#This Row],[pledged]]/Table1[[#This Row],[goal]]</f>
        <v>0.33790999999999999</v>
      </c>
      <c r="T713" s="8">
        <f>IF(Table1[[#This Row],[pledged]]=0,"no backers",Table1[[#This Row],[pledged]]/Table1[[#This Row],[backers_count]])</f>
        <v>99.973372781065095</v>
      </c>
      <c r="U713" t="str">
        <f>LEFT(Table1[[#This Row],[Category and Sub-Category]],FIND("/",Table1[[#This Row],[Category and Sub-Category]])-1)</f>
        <v>technology</v>
      </c>
      <c r="V713" t="str">
        <f>RIGHT(Table1[[#This Row],[Category and Sub-Category]],LEN(Table1[[#This Row],[Category and Sub-Category]])-FIND("/",Table1[[#This Row],[Category and Sub-Category]]))</f>
        <v>wearables</v>
      </c>
    </row>
    <row r="714" spans="1:22" ht="57.6" x14ac:dyDescent="0.3">
      <c r="A714">
        <v>712</v>
      </c>
      <c r="B714" s="3" t="s">
        <v>713</v>
      </c>
      <c r="C714" s="3" t="s">
        <v>4822</v>
      </c>
      <c r="D714" s="12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>((Table1[[#This Row],[deadline]]/60)/60/24)+DATE(1970,1,1)</f>
        <v>42414.680925925932</v>
      </c>
      <c r="K714">
        <v>1452874832</v>
      </c>
      <c r="L714" s="11">
        <f>((Table1[[#This Row],[launched_at]]/60)/60/24)+DATE(1970,1,1)</f>
        <v>42384.680925925932</v>
      </c>
      <c r="M714">
        <f>MONTH(Table1[[#This Row],[Date Created Conversion]])</f>
        <v>1</v>
      </c>
      <c r="N714">
        <f>YEAR(Table1[[#This Row],[Date Created Conversion]])</f>
        <v>2016</v>
      </c>
      <c r="O714" t="b">
        <v>0</v>
      </c>
      <c r="P714">
        <v>4</v>
      </c>
      <c r="Q714" t="b">
        <v>0</v>
      </c>
      <c r="R714" t="s">
        <v>8273</v>
      </c>
      <c r="S714" s="6">
        <f>Table1[[#This Row],[pledged]]/Table1[[#This Row],[goal]]</f>
        <v>2.1649484536082476E-3</v>
      </c>
      <c r="T714" s="8">
        <f>IF(Table1[[#This Row],[pledged]]=0,"no backers",Table1[[#This Row],[pledged]]/Table1[[#This Row],[backers_count]])</f>
        <v>26.25</v>
      </c>
      <c r="U714" t="str">
        <f>LEFT(Table1[[#This Row],[Category and Sub-Category]],FIND("/",Table1[[#This Row],[Category and Sub-Category]])-1)</f>
        <v>technology</v>
      </c>
      <c r="V714" t="str">
        <f>RIGHT(Table1[[#This Row],[Category and Sub-Category]],LEN(Table1[[#This Row],[Category and Sub-Category]])-FIND("/",Table1[[#This Row],[Category and Sub-Category]]))</f>
        <v>wearables</v>
      </c>
    </row>
    <row r="715" spans="1:22" ht="43.2" x14ac:dyDescent="0.3">
      <c r="A715">
        <v>713</v>
      </c>
      <c r="B715" s="3" t="s">
        <v>714</v>
      </c>
      <c r="C715" s="3" t="s">
        <v>4823</v>
      </c>
      <c r="D715" s="12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>((Table1[[#This Row],[deadline]]/60)/60/24)+DATE(1970,1,1)</f>
        <v>42526.529305555552</v>
      </c>
      <c r="K715">
        <v>1462538532</v>
      </c>
      <c r="L715" s="11">
        <f>((Table1[[#This Row],[launched_at]]/60)/60/24)+DATE(1970,1,1)</f>
        <v>42496.529305555552</v>
      </c>
      <c r="M715">
        <f>MONTH(Table1[[#This Row],[Date Created Conversion]])</f>
        <v>5</v>
      </c>
      <c r="N715">
        <f>YEAR(Table1[[#This Row],[Date Created Conversion]])</f>
        <v>2016</v>
      </c>
      <c r="O715" t="b">
        <v>0</v>
      </c>
      <c r="P715">
        <v>1</v>
      </c>
      <c r="Q715" t="b">
        <v>0</v>
      </c>
      <c r="R715" t="s">
        <v>8273</v>
      </c>
      <c r="S715" s="6">
        <f>Table1[[#This Row],[pledged]]/Table1[[#This Row],[goal]]</f>
        <v>7.9600000000000001E-3</v>
      </c>
      <c r="T715" s="8">
        <f>IF(Table1[[#This Row],[pledged]]=0,"no backers",Table1[[#This Row],[pledged]]/Table1[[#This Row],[backers_count]])</f>
        <v>199</v>
      </c>
      <c r="U715" t="str">
        <f>LEFT(Table1[[#This Row],[Category and Sub-Category]],FIND("/",Table1[[#This Row],[Category and Sub-Category]])-1)</f>
        <v>technology</v>
      </c>
      <c r="V715" t="str">
        <f>RIGHT(Table1[[#This Row],[Category and Sub-Category]],LEN(Table1[[#This Row],[Category and Sub-Category]])-FIND("/",Table1[[#This Row],[Category and Sub-Category]]))</f>
        <v>wearables</v>
      </c>
    </row>
    <row r="716" spans="1:22" ht="43.2" x14ac:dyDescent="0.3">
      <c r="A716">
        <v>714</v>
      </c>
      <c r="B716" s="3" t="s">
        <v>715</v>
      </c>
      <c r="C716" s="3" t="s">
        <v>4824</v>
      </c>
      <c r="D716" s="12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>((Table1[[#This Row],[deadline]]/60)/60/24)+DATE(1970,1,1)</f>
        <v>42794.787986111114</v>
      </c>
      <c r="K716">
        <v>1483124082</v>
      </c>
      <c r="L716" s="11">
        <f>((Table1[[#This Row],[launched_at]]/60)/60/24)+DATE(1970,1,1)</f>
        <v>42734.787986111114</v>
      </c>
      <c r="M716">
        <f>MONTH(Table1[[#This Row],[Date Created Conversion]])</f>
        <v>12</v>
      </c>
      <c r="N716">
        <f>YEAR(Table1[[#This Row],[Date Created Conversion]])</f>
        <v>2016</v>
      </c>
      <c r="O716" t="b">
        <v>0</v>
      </c>
      <c r="P716">
        <v>28</v>
      </c>
      <c r="Q716" t="b">
        <v>0</v>
      </c>
      <c r="R716" t="s">
        <v>8273</v>
      </c>
      <c r="S716" s="6">
        <f>Table1[[#This Row],[pledged]]/Table1[[#This Row],[goal]]</f>
        <v>0.14993333333333334</v>
      </c>
      <c r="T716" s="8">
        <f>IF(Table1[[#This Row],[pledged]]=0,"no backers",Table1[[#This Row],[pledged]]/Table1[[#This Row],[backers_count]])</f>
        <v>80.321428571428569</v>
      </c>
      <c r="U716" t="str">
        <f>LEFT(Table1[[#This Row],[Category and Sub-Category]],FIND("/",Table1[[#This Row],[Category and Sub-Category]])-1)</f>
        <v>technology</v>
      </c>
      <c r="V716" t="str">
        <f>RIGHT(Table1[[#This Row],[Category and Sub-Category]],LEN(Table1[[#This Row],[Category and Sub-Category]])-FIND("/",Table1[[#This Row],[Category and Sub-Category]]))</f>
        <v>wearables</v>
      </c>
    </row>
    <row r="717" spans="1:22" ht="57.6" x14ac:dyDescent="0.3">
      <c r="A717">
        <v>715</v>
      </c>
      <c r="B717" s="3" t="s">
        <v>716</v>
      </c>
      <c r="C717" s="3" t="s">
        <v>4825</v>
      </c>
      <c r="D717" s="12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>((Table1[[#This Row],[deadline]]/60)/60/24)+DATE(1970,1,1)</f>
        <v>42313.132407407407</v>
      </c>
      <c r="K717">
        <v>1443233440</v>
      </c>
      <c r="L717" s="11">
        <f>((Table1[[#This Row],[launched_at]]/60)/60/24)+DATE(1970,1,1)</f>
        <v>42273.090740740736</v>
      </c>
      <c r="M717">
        <f>MONTH(Table1[[#This Row],[Date Created Conversion]])</f>
        <v>9</v>
      </c>
      <c r="N717">
        <f>YEAR(Table1[[#This Row],[Date Created Conversion]])</f>
        <v>2015</v>
      </c>
      <c r="O717" t="b">
        <v>0</v>
      </c>
      <c r="P717">
        <v>12</v>
      </c>
      <c r="Q717" t="b">
        <v>0</v>
      </c>
      <c r="R717" t="s">
        <v>8273</v>
      </c>
      <c r="S717" s="6">
        <f>Table1[[#This Row],[pledged]]/Table1[[#This Row],[goal]]</f>
        <v>5.0509090909090906E-2</v>
      </c>
      <c r="T717" s="8">
        <f>IF(Table1[[#This Row],[pledged]]=0,"no backers",Table1[[#This Row],[pledged]]/Table1[[#This Row],[backers_count]])</f>
        <v>115.75</v>
      </c>
      <c r="U717" t="str">
        <f>LEFT(Table1[[#This Row],[Category and Sub-Category]],FIND("/",Table1[[#This Row],[Category and Sub-Category]])-1)</f>
        <v>technology</v>
      </c>
      <c r="V717" t="str">
        <f>RIGHT(Table1[[#This Row],[Category and Sub-Category]],LEN(Table1[[#This Row],[Category and Sub-Category]])-FIND("/",Table1[[#This Row],[Category and Sub-Category]]))</f>
        <v>wearables</v>
      </c>
    </row>
    <row r="718" spans="1:22" ht="43.2" x14ac:dyDescent="0.3">
      <c r="A718">
        <v>716</v>
      </c>
      <c r="B718" s="3" t="s">
        <v>717</v>
      </c>
      <c r="C718" s="3" t="s">
        <v>4826</v>
      </c>
      <c r="D718" s="12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>((Table1[[#This Row],[deadline]]/60)/60/24)+DATE(1970,1,1)</f>
        <v>41974</v>
      </c>
      <c r="K718">
        <v>1414511307</v>
      </c>
      <c r="L718" s="11">
        <f>((Table1[[#This Row],[launched_at]]/60)/60/24)+DATE(1970,1,1)</f>
        <v>41940.658645833333</v>
      </c>
      <c r="M718">
        <f>MONTH(Table1[[#This Row],[Date Created Conversion]])</f>
        <v>10</v>
      </c>
      <c r="N718">
        <f>YEAR(Table1[[#This Row],[Date Created Conversion]])</f>
        <v>2014</v>
      </c>
      <c r="O718" t="b">
        <v>0</v>
      </c>
      <c r="P718">
        <v>16</v>
      </c>
      <c r="Q718" t="b">
        <v>0</v>
      </c>
      <c r="R718" t="s">
        <v>8273</v>
      </c>
      <c r="S718" s="6">
        <f>Table1[[#This Row],[pledged]]/Table1[[#This Row],[goal]]</f>
        <v>0.10214285714285715</v>
      </c>
      <c r="T718" s="8">
        <f>IF(Table1[[#This Row],[pledged]]=0,"no backers",Table1[[#This Row],[pledged]]/Table1[[#This Row],[backers_count]])</f>
        <v>44.6875</v>
      </c>
      <c r="U718" t="str">
        <f>LEFT(Table1[[#This Row],[Category and Sub-Category]],FIND("/",Table1[[#This Row],[Category and Sub-Category]])-1)</f>
        <v>technology</v>
      </c>
      <c r="V718" t="str">
        <f>RIGHT(Table1[[#This Row],[Category and Sub-Category]],LEN(Table1[[#This Row],[Category and Sub-Category]])-FIND("/",Table1[[#This Row],[Category and Sub-Category]]))</f>
        <v>wearables</v>
      </c>
    </row>
    <row r="719" spans="1:22" x14ac:dyDescent="0.3">
      <c r="A719">
        <v>717</v>
      </c>
      <c r="B719" s="3" t="s">
        <v>718</v>
      </c>
      <c r="C719" s="3" t="s">
        <v>4827</v>
      </c>
      <c r="D719" s="12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>((Table1[[#This Row],[deadline]]/60)/60/24)+DATE(1970,1,1)</f>
        <v>41887.854189814818</v>
      </c>
      <c r="K719">
        <v>1407357002</v>
      </c>
      <c r="L719" s="11">
        <f>((Table1[[#This Row],[launched_at]]/60)/60/24)+DATE(1970,1,1)</f>
        <v>41857.854189814818</v>
      </c>
      <c r="M719">
        <f>MONTH(Table1[[#This Row],[Date Created Conversion]])</f>
        <v>8</v>
      </c>
      <c r="N719">
        <f>YEAR(Table1[[#This Row],[Date Created Conversion]])</f>
        <v>2014</v>
      </c>
      <c r="O719" t="b">
        <v>0</v>
      </c>
      <c r="P719">
        <v>4</v>
      </c>
      <c r="Q719" t="b">
        <v>0</v>
      </c>
      <c r="R719" t="s">
        <v>8273</v>
      </c>
      <c r="S719" s="6">
        <f>Table1[[#This Row],[pledged]]/Table1[[#This Row],[goal]]</f>
        <v>3.0500000000000002E-3</v>
      </c>
      <c r="T719" s="8">
        <f>IF(Table1[[#This Row],[pledged]]=0,"no backers",Table1[[#This Row],[pledged]]/Table1[[#This Row],[backers_count]])</f>
        <v>76.25</v>
      </c>
      <c r="U719" t="str">
        <f>LEFT(Table1[[#This Row],[Category and Sub-Category]],FIND("/",Table1[[#This Row],[Category and Sub-Category]])-1)</f>
        <v>technology</v>
      </c>
      <c r="V719" t="str">
        <f>RIGHT(Table1[[#This Row],[Category and Sub-Category]],LEN(Table1[[#This Row],[Category and Sub-Category]])-FIND("/",Table1[[#This Row],[Category and Sub-Category]]))</f>
        <v>wearables</v>
      </c>
    </row>
    <row r="720" spans="1:22" ht="43.2" x14ac:dyDescent="0.3">
      <c r="A720">
        <v>718</v>
      </c>
      <c r="B720" s="3" t="s">
        <v>719</v>
      </c>
      <c r="C720" s="3" t="s">
        <v>4828</v>
      </c>
      <c r="D720" s="12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>((Table1[[#This Row],[deadline]]/60)/60/24)+DATE(1970,1,1)</f>
        <v>42784.249305555553</v>
      </c>
      <c r="K720">
        <v>1484684247</v>
      </c>
      <c r="L720" s="11">
        <f>((Table1[[#This Row],[launched_at]]/60)/60/24)+DATE(1970,1,1)</f>
        <v>42752.845451388886</v>
      </c>
      <c r="M720">
        <f>MONTH(Table1[[#This Row],[Date Created Conversion]])</f>
        <v>1</v>
      </c>
      <c r="N720">
        <f>YEAR(Table1[[#This Row],[Date Created Conversion]])</f>
        <v>2017</v>
      </c>
      <c r="O720" t="b">
        <v>0</v>
      </c>
      <c r="P720">
        <v>4</v>
      </c>
      <c r="Q720" t="b">
        <v>0</v>
      </c>
      <c r="R720" t="s">
        <v>8273</v>
      </c>
      <c r="S720" s="6">
        <f>Table1[[#This Row],[pledged]]/Table1[[#This Row],[goal]]</f>
        <v>7.4999999999999997E-3</v>
      </c>
      <c r="T720" s="8">
        <f>IF(Table1[[#This Row],[pledged]]=0,"no backers",Table1[[#This Row],[pledged]]/Table1[[#This Row],[backers_count]])</f>
        <v>22.5</v>
      </c>
      <c r="U720" t="str">
        <f>LEFT(Table1[[#This Row],[Category and Sub-Category]],FIND("/",Table1[[#This Row],[Category and Sub-Category]])-1)</f>
        <v>technology</v>
      </c>
      <c r="V720" t="str">
        <f>RIGHT(Table1[[#This Row],[Category and Sub-Category]],LEN(Table1[[#This Row],[Category and Sub-Category]])-FIND("/",Table1[[#This Row],[Category and Sub-Category]]))</f>
        <v>wearables</v>
      </c>
    </row>
    <row r="721" spans="1:22" ht="43.2" x14ac:dyDescent="0.3">
      <c r="A721">
        <v>719</v>
      </c>
      <c r="B721" s="3" t="s">
        <v>720</v>
      </c>
      <c r="C721" s="3" t="s">
        <v>4829</v>
      </c>
      <c r="D721" s="12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>((Table1[[#This Row],[deadline]]/60)/60/24)+DATE(1970,1,1)</f>
        <v>42423.040231481486</v>
      </c>
      <c r="K721">
        <v>1454979476</v>
      </c>
      <c r="L721" s="11">
        <f>((Table1[[#This Row],[launched_at]]/60)/60/24)+DATE(1970,1,1)</f>
        <v>42409.040231481486</v>
      </c>
      <c r="M721">
        <f>MONTH(Table1[[#This Row],[Date Created Conversion]])</f>
        <v>2</v>
      </c>
      <c r="N721">
        <f>YEAR(Table1[[#This Row],[Date Created Conversion]])</f>
        <v>2016</v>
      </c>
      <c r="O721" t="b">
        <v>0</v>
      </c>
      <c r="P721">
        <v>10</v>
      </c>
      <c r="Q721" t="b">
        <v>0</v>
      </c>
      <c r="R721" t="s">
        <v>8273</v>
      </c>
      <c r="S721" s="6">
        <f>Table1[[#This Row],[pledged]]/Table1[[#This Row],[goal]]</f>
        <v>1.2933333333333333E-2</v>
      </c>
      <c r="T721" s="8">
        <f>IF(Table1[[#This Row],[pledged]]=0,"no backers",Table1[[#This Row],[pledged]]/Table1[[#This Row],[backers_count]])</f>
        <v>19.399999999999999</v>
      </c>
      <c r="U721" t="str">
        <f>LEFT(Table1[[#This Row],[Category and Sub-Category]],FIND("/",Table1[[#This Row],[Category and Sub-Category]])-1)</f>
        <v>technology</v>
      </c>
      <c r="V721" t="str">
        <f>RIGHT(Table1[[#This Row],[Category and Sub-Category]],LEN(Table1[[#This Row],[Category and Sub-Category]])-FIND("/",Table1[[#This Row],[Category and Sub-Category]]))</f>
        <v>wearables</v>
      </c>
    </row>
    <row r="722" spans="1:22" ht="43.2" x14ac:dyDescent="0.3">
      <c r="A722">
        <v>720</v>
      </c>
      <c r="B722" s="3" t="s">
        <v>721</v>
      </c>
      <c r="C722" s="3" t="s">
        <v>4830</v>
      </c>
      <c r="D722" s="1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>((Table1[[#This Row],[deadline]]/60)/60/24)+DATE(1970,1,1)</f>
        <v>40937.649201388893</v>
      </c>
      <c r="K722">
        <v>1325432091</v>
      </c>
      <c r="L722" s="11">
        <f>((Table1[[#This Row],[launched_at]]/60)/60/24)+DATE(1970,1,1)</f>
        <v>40909.649201388893</v>
      </c>
      <c r="M722">
        <f>MONTH(Table1[[#This Row],[Date Created Conversion]])</f>
        <v>1</v>
      </c>
      <c r="N722">
        <f>YEAR(Table1[[#This Row],[Date Created Conversion]])</f>
        <v>2012</v>
      </c>
      <c r="O722" t="b">
        <v>0</v>
      </c>
      <c r="P722">
        <v>41</v>
      </c>
      <c r="Q722" t="b">
        <v>1</v>
      </c>
      <c r="R722" t="s">
        <v>8274</v>
      </c>
      <c r="S722" s="6">
        <f>Table1[[#This Row],[pledged]]/Table1[[#This Row],[goal]]</f>
        <v>1.4394736842105262</v>
      </c>
      <c r="T722" s="8">
        <f>IF(Table1[[#This Row],[pledged]]=0,"no backers",Table1[[#This Row],[pledged]]/Table1[[#This Row],[backers_count]])</f>
        <v>66.707317073170728</v>
      </c>
      <c r="U722" t="str">
        <f>LEFT(Table1[[#This Row],[Category and Sub-Category]],FIND("/",Table1[[#This Row],[Category and Sub-Category]])-1)</f>
        <v>publishing</v>
      </c>
      <c r="V722" t="str">
        <f>RIGHT(Table1[[#This Row],[Category and Sub-Category]],LEN(Table1[[#This Row],[Category and Sub-Category]])-FIND("/",Table1[[#This Row],[Category and Sub-Category]]))</f>
        <v>nonfiction</v>
      </c>
    </row>
    <row r="723" spans="1:22" ht="57.6" x14ac:dyDescent="0.3">
      <c r="A723">
        <v>721</v>
      </c>
      <c r="B723" s="3" t="s">
        <v>722</v>
      </c>
      <c r="C723" s="3" t="s">
        <v>4831</v>
      </c>
      <c r="D723" s="12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>((Table1[[#This Row],[deadline]]/60)/60/24)+DATE(1970,1,1)</f>
        <v>41852.571840277778</v>
      </c>
      <c r="K723">
        <v>1403012607</v>
      </c>
      <c r="L723" s="11">
        <f>((Table1[[#This Row],[launched_at]]/60)/60/24)+DATE(1970,1,1)</f>
        <v>41807.571840277778</v>
      </c>
      <c r="M723">
        <f>MONTH(Table1[[#This Row],[Date Created Conversion]])</f>
        <v>6</v>
      </c>
      <c r="N723">
        <f>YEAR(Table1[[#This Row],[Date Created Conversion]])</f>
        <v>2014</v>
      </c>
      <c r="O723" t="b">
        <v>0</v>
      </c>
      <c r="P723">
        <v>119</v>
      </c>
      <c r="Q723" t="b">
        <v>1</v>
      </c>
      <c r="R723" t="s">
        <v>8274</v>
      </c>
      <c r="S723" s="6">
        <f>Table1[[#This Row],[pledged]]/Table1[[#This Row],[goal]]</f>
        <v>1.2210975609756098</v>
      </c>
      <c r="T723" s="8">
        <f>IF(Table1[[#This Row],[pledged]]=0,"no backers",Table1[[#This Row],[pledged]]/Table1[[#This Row],[backers_count]])</f>
        <v>84.142857142857139</v>
      </c>
      <c r="U723" t="str">
        <f>LEFT(Table1[[#This Row],[Category and Sub-Category]],FIND("/",Table1[[#This Row],[Category and Sub-Category]])-1)</f>
        <v>publishing</v>
      </c>
      <c r="V723" t="str">
        <f>RIGHT(Table1[[#This Row],[Category and Sub-Category]],LEN(Table1[[#This Row],[Category and Sub-Category]])-FIND("/",Table1[[#This Row],[Category and Sub-Category]]))</f>
        <v>nonfiction</v>
      </c>
    </row>
    <row r="724" spans="1:22" ht="43.2" x14ac:dyDescent="0.3">
      <c r="A724">
        <v>722</v>
      </c>
      <c r="B724" s="3" t="s">
        <v>723</v>
      </c>
      <c r="C724" s="3" t="s">
        <v>4832</v>
      </c>
      <c r="D724" s="12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>((Table1[[#This Row],[deadline]]/60)/60/24)+DATE(1970,1,1)</f>
        <v>41007.76363425926</v>
      </c>
      <c r="K724">
        <v>1331320778</v>
      </c>
      <c r="L724" s="11">
        <f>((Table1[[#This Row],[launched_at]]/60)/60/24)+DATE(1970,1,1)</f>
        <v>40977.805300925924</v>
      </c>
      <c r="M724">
        <f>MONTH(Table1[[#This Row],[Date Created Conversion]])</f>
        <v>3</v>
      </c>
      <c r="N724">
        <f>YEAR(Table1[[#This Row],[Date Created Conversion]])</f>
        <v>2012</v>
      </c>
      <c r="O724" t="b">
        <v>0</v>
      </c>
      <c r="P724">
        <v>153</v>
      </c>
      <c r="Q724" t="b">
        <v>1</v>
      </c>
      <c r="R724" t="s">
        <v>8274</v>
      </c>
      <c r="S724" s="6">
        <f>Table1[[#This Row],[pledged]]/Table1[[#This Row],[goal]]</f>
        <v>1.3202400000000001</v>
      </c>
      <c r="T724" s="8">
        <f>IF(Table1[[#This Row],[pledged]]=0,"no backers",Table1[[#This Row],[pledged]]/Table1[[#This Row],[backers_count]])</f>
        <v>215.72549019607843</v>
      </c>
      <c r="U724" t="str">
        <f>LEFT(Table1[[#This Row],[Category and Sub-Category]],FIND("/",Table1[[#This Row],[Category and Sub-Category]])-1)</f>
        <v>publishing</v>
      </c>
      <c r="V724" t="str">
        <f>RIGHT(Table1[[#This Row],[Category and Sub-Category]],LEN(Table1[[#This Row],[Category and Sub-Category]])-FIND("/",Table1[[#This Row],[Category and Sub-Category]]))</f>
        <v>nonfiction</v>
      </c>
    </row>
    <row r="725" spans="1:22" ht="28.8" x14ac:dyDescent="0.3">
      <c r="A725">
        <v>723</v>
      </c>
      <c r="B725" s="3" t="s">
        <v>724</v>
      </c>
      <c r="C725" s="3" t="s">
        <v>4833</v>
      </c>
      <c r="D725" s="12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>((Table1[[#This Row],[deadline]]/60)/60/24)+DATE(1970,1,1)</f>
        <v>42215.165972222225</v>
      </c>
      <c r="K725">
        <v>1435606549</v>
      </c>
      <c r="L725" s="11">
        <f>((Table1[[#This Row],[launched_at]]/60)/60/24)+DATE(1970,1,1)</f>
        <v>42184.816539351858</v>
      </c>
      <c r="M725">
        <f>MONTH(Table1[[#This Row],[Date Created Conversion]])</f>
        <v>6</v>
      </c>
      <c r="N725">
        <f>YEAR(Table1[[#This Row],[Date Created Conversion]])</f>
        <v>2015</v>
      </c>
      <c r="O725" t="b">
        <v>0</v>
      </c>
      <c r="P725">
        <v>100</v>
      </c>
      <c r="Q725" t="b">
        <v>1</v>
      </c>
      <c r="R725" t="s">
        <v>8274</v>
      </c>
      <c r="S725" s="6">
        <f>Table1[[#This Row],[pledged]]/Table1[[#This Row],[goal]]</f>
        <v>1.0938000000000001</v>
      </c>
      <c r="T725" s="8">
        <f>IF(Table1[[#This Row],[pledged]]=0,"no backers",Table1[[#This Row],[pledged]]/Table1[[#This Row],[backers_count]])</f>
        <v>54.69</v>
      </c>
      <c r="U725" t="str">
        <f>LEFT(Table1[[#This Row],[Category and Sub-Category]],FIND("/",Table1[[#This Row],[Category and Sub-Category]])-1)</f>
        <v>publishing</v>
      </c>
      <c r="V725" t="str">
        <f>RIGHT(Table1[[#This Row],[Category and Sub-Category]],LEN(Table1[[#This Row],[Category and Sub-Category]])-FIND("/",Table1[[#This Row],[Category and Sub-Category]]))</f>
        <v>nonfiction</v>
      </c>
    </row>
    <row r="726" spans="1:22" ht="43.2" x14ac:dyDescent="0.3">
      <c r="A726">
        <v>724</v>
      </c>
      <c r="B726" s="3" t="s">
        <v>725</v>
      </c>
      <c r="C726" s="3" t="s">
        <v>4834</v>
      </c>
      <c r="D726" s="12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>((Table1[[#This Row],[deadline]]/60)/60/24)+DATE(1970,1,1)</f>
        <v>40724.638460648144</v>
      </c>
      <c r="K726">
        <v>1306855163</v>
      </c>
      <c r="L726" s="11">
        <f>((Table1[[#This Row],[launched_at]]/60)/60/24)+DATE(1970,1,1)</f>
        <v>40694.638460648144</v>
      </c>
      <c r="M726">
        <f>MONTH(Table1[[#This Row],[Date Created Conversion]])</f>
        <v>5</v>
      </c>
      <c r="N726">
        <f>YEAR(Table1[[#This Row],[Date Created Conversion]])</f>
        <v>2011</v>
      </c>
      <c r="O726" t="b">
        <v>0</v>
      </c>
      <c r="P726">
        <v>143</v>
      </c>
      <c r="Q726" t="b">
        <v>1</v>
      </c>
      <c r="R726" t="s">
        <v>8274</v>
      </c>
      <c r="S726" s="6">
        <f>Table1[[#This Row],[pledged]]/Table1[[#This Row],[goal]]</f>
        <v>1.0547157142857144</v>
      </c>
      <c r="T726" s="8">
        <f>IF(Table1[[#This Row],[pledged]]=0,"no backers",Table1[[#This Row],[pledged]]/Table1[[#This Row],[backers_count]])</f>
        <v>51.62944055944056</v>
      </c>
      <c r="U726" t="str">
        <f>LEFT(Table1[[#This Row],[Category and Sub-Category]],FIND("/",Table1[[#This Row],[Category and Sub-Category]])-1)</f>
        <v>publishing</v>
      </c>
      <c r="V726" t="str">
        <f>RIGHT(Table1[[#This Row],[Category and Sub-Category]],LEN(Table1[[#This Row],[Category and Sub-Category]])-FIND("/",Table1[[#This Row],[Category and Sub-Category]]))</f>
        <v>nonfiction</v>
      </c>
    </row>
    <row r="727" spans="1:22" ht="43.2" x14ac:dyDescent="0.3">
      <c r="A727">
        <v>725</v>
      </c>
      <c r="B727" s="3" t="s">
        <v>726</v>
      </c>
      <c r="C727" s="3" t="s">
        <v>4835</v>
      </c>
      <c r="D727" s="12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>((Table1[[#This Row],[deadline]]/60)/60/24)+DATE(1970,1,1)</f>
        <v>42351.626296296294</v>
      </c>
      <c r="K727">
        <v>1447426912</v>
      </c>
      <c r="L727" s="11">
        <f>((Table1[[#This Row],[launched_at]]/60)/60/24)+DATE(1970,1,1)</f>
        <v>42321.626296296294</v>
      </c>
      <c r="M727">
        <f>MONTH(Table1[[#This Row],[Date Created Conversion]])</f>
        <v>11</v>
      </c>
      <c r="N727">
        <f>YEAR(Table1[[#This Row],[Date Created Conversion]])</f>
        <v>2015</v>
      </c>
      <c r="O727" t="b">
        <v>0</v>
      </c>
      <c r="P727">
        <v>140</v>
      </c>
      <c r="Q727" t="b">
        <v>1</v>
      </c>
      <c r="R727" t="s">
        <v>8274</v>
      </c>
      <c r="S727" s="6">
        <f>Table1[[#This Row],[pledged]]/Table1[[#This Row],[goal]]</f>
        <v>1.0035000000000001</v>
      </c>
      <c r="T727" s="8">
        <f>IF(Table1[[#This Row],[pledged]]=0,"no backers",Table1[[#This Row],[pledged]]/Table1[[#This Row],[backers_count]])</f>
        <v>143.35714285714286</v>
      </c>
      <c r="U727" t="str">
        <f>LEFT(Table1[[#This Row],[Category and Sub-Category]],FIND("/",Table1[[#This Row],[Category and Sub-Category]])-1)</f>
        <v>publishing</v>
      </c>
      <c r="V727" t="str">
        <f>RIGHT(Table1[[#This Row],[Category and Sub-Category]],LEN(Table1[[#This Row],[Category and Sub-Category]])-FIND("/",Table1[[#This Row],[Category and Sub-Category]]))</f>
        <v>nonfiction</v>
      </c>
    </row>
    <row r="728" spans="1:22" ht="43.2" x14ac:dyDescent="0.3">
      <c r="A728">
        <v>726</v>
      </c>
      <c r="B728" s="3" t="s">
        <v>727</v>
      </c>
      <c r="C728" s="3" t="s">
        <v>4836</v>
      </c>
      <c r="D728" s="12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>((Table1[[#This Row],[deadline]]/60)/60/24)+DATE(1970,1,1)</f>
        <v>41376.042673611111</v>
      </c>
      <c r="K728">
        <v>1363136487</v>
      </c>
      <c r="L728" s="11">
        <f>((Table1[[#This Row],[launched_at]]/60)/60/24)+DATE(1970,1,1)</f>
        <v>41346.042673611111</v>
      </c>
      <c r="M728">
        <f>MONTH(Table1[[#This Row],[Date Created Conversion]])</f>
        <v>3</v>
      </c>
      <c r="N728">
        <f>YEAR(Table1[[#This Row],[Date Created Conversion]])</f>
        <v>2013</v>
      </c>
      <c r="O728" t="b">
        <v>0</v>
      </c>
      <c r="P728">
        <v>35</v>
      </c>
      <c r="Q728" t="b">
        <v>1</v>
      </c>
      <c r="R728" t="s">
        <v>8274</v>
      </c>
      <c r="S728" s="6">
        <f>Table1[[#This Row],[pledged]]/Table1[[#This Row],[goal]]</f>
        <v>1.014</v>
      </c>
      <c r="T728" s="8">
        <f>IF(Table1[[#This Row],[pledged]]=0,"no backers",Table1[[#This Row],[pledged]]/Table1[[#This Row],[backers_count]])</f>
        <v>72.428571428571431</v>
      </c>
      <c r="U728" t="str">
        <f>LEFT(Table1[[#This Row],[Category and Sub-Category]],FIND("/",Table1[[#This Row],[Category and Sub-Category]])-1)</f>
        <v>publishing</v>
      </c>
      <c r="V728" t="str">
        <f>RIGHT(Table1[[#This Row],[Category and Sub-Category]],LEN(Table1[[#This Row],[Category and Sub-Category]])-FIND("/",Table1[[#This Row],[Category and Sub-Category]]))</f>
        <v>nonfiction</v>
      </c>
    </row>
    <row r="729" spans="1:22" ht="57.6" x14ac:dyDescent="0.3">
      <c r="A729">
        <v>727</v>
      </c>
      <c r="B729" s="3" t="s">
        <v>728</v>
      </c>
      <c r="C729" s="3" t="s">
        <v>4837</v>
      </c>
      <c r="D729" s="12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>((Table1[[#This Row],[deadline]]/60)/60/24)+DATE(1970,1,1)</f>
        <v>41288.888888888891</v>
      </c>
      <c r="K729">
        <v>1354580949</v>
      </c>
      <c r="L729" s="11">
        <f>((Table1[[#This Row],[launched_at]]/60)/60/24)+DATE(1970,1,1)</f>
        <v>41247.020243055551</v>
      </c>
      <c r="M729">
        <f>MONTH(Table1[[#This Row],[Date Created Conversion]])</f>
        <v>12</v>
      </c>
      <c r="N729">
        <f>YEAR(Table1[[#This Row],[Date Created Conversion]])</f>
        <v>2012</v>
      </c>
      <c r="O729" t="b">
        <v>0</v>
      </c>
      <c r="P729">
        <v>149</v>
      </c>
      <c r="Q729" t="b">
        <v>1</v>
      </c>
      <c r="R729" t="s">
        <v>8274</v>
      </c>
      <c r="S729" s="6">
        <f>Table1[[#This Row],[pledged]]/Table1[[#This Row],[goal]]</f>
        <v>1.5551428571428572</v>
      </c>
      <c r="T729" s="8">
        <f>IF(Table1[[#This Row],[pledged]]=0,"no backers",Table1[[#This Row],[pledged]]/Table1[[#This Row],[backers_count]])</f>
        <v>36.530201342281877</v>
      </c>
      <c r="U729" t="str">
        <f>LEFT(Table1[[#This Row],[Category and Sub-Category]],FIND("/",Table1[[#This Row],[Category and Sub-Category]])-1)</f>
        <v>publishing</v>
      </c>
      <c r="V729" t="str">
        <f>RIGHT(Table1[[#This Row],[Category and Sub-Category]],LEN(Table1[[#This Row],[Category and Sub-Category]])-FIND("/",Table1[[#This Row],[Category and Sub-Category]]))</f>
        <v>nonfiction</v>
      </c>
    </row>
    <row r="730" spans="1:22" ht="43.2" x14ac:dyDescent="0.3">
      <c r="A730">
        <v>728</v>
      </c>
      <c r="B730" s="3" t="s">
        <v>729</v>
      </c>
      <c r="C730" s="3" t="s">
        <v>4838</v>
      </c>
      <c r="D730" s="12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>((Table1[[#This Row],[deadline]]/60)/60/24)+DATE(1970,1,1)</f>
        <v>40776.837465277778</v>
      </c>
      <c r="K730">
        <v>1310069157</v>
      </c>
      <c r="L730" s="11">
        <f>((Table1[[#This Row],[launched_at]]/60)/60/24)+DATE(1970,1,1)</f>
        <v>40731.837465277778</v>
      </c>
      <c r="M730">
        <f>MONTH(Table1[[#This Row],[Date Created Conversion]])</f>
        <v>7</v>
      </c>
      <c r="N730">
        <f>YEAR(Table1[[#This Row],[Date Created Conversion]])</f>
        <v>2011</v>
      </c>
      <c r="O730" t="b">
        <v>0</v>
      </c>
      <c r="P730">
        <v>130</v>
      </c>
      <c r="Q730" t="b">
        <v>1</v>
      </c>
      <c r="R730" t="s">
        <v>8274</v>
      </c>
      <c r="S730" s="6">
        <f>Table1[[#This Row],[pledged]]/Table1[[#This Row],[goal]]</f>
        <v>1.05566</v>
      </c>
      <c r="T730" s="8">
        <f>IF(Table1[[#This Row],[pledged]]=0,"no backers",Table1[[#This Row],[pledged]]/Table1[[#This Row],[backers_count]])</f>
        <v>60.903461538461535</v>
      </c>
      <c r="U730" t="str">
        <f>LEFT(Table1[[#This Row],[Category and Sub-Category]],FIND("/",Table1[[#This Row],[Category and Sub-Category]])-1)</f>
        <v>publishing</v>
      </c>
      <c r="V730" t="str">
        <f>RIGHT(Table1[[#This Row],[Category and Sub-Category]],LEN(Table1[[#This Row],[Category and Sub-Category]])-FIND("/",Table1[[#This Row],[Category and Sub-Category]]))</f>
        <v>nonfiction</v>
      </c>
    </row>
    <row r="731" spans="1:22" ht="43.2" x14ac:dyDescent="0.3">
      <c r="A731">
        <v>729</v>
      </c>
      <c r="B731" s="3" t="s">
        <v>730</v>
      </c>
      <c r="C731" s="3" t="s">
        <v>4839</v>
      </c>
      <c r="D731" s="12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>((Table1[[#This Row],[deadline]]/60)/60/24)+DATE(1970,1,1)</f>
        <v>41171.185891203706</v>
      </c>
      <c r="K731">
        <v>1342844861</v>
      </c>
      <c r="L731" s="11">
        <f>((Table1[[#This Row],[launched_at]]/60)/60/24)+DATE(1970,1,1)</f>
        <v>41111.185891203706</v>
      </c>
      <c r="M731">
        <f>MONTH(Table1[[#This Row],[Date Created Conversion]])</f>
        <v>7</v>
      </c>
      <c r="N731">
        <f>YEAR(Table1[[#This Row],[Date Created Conversion]])</f>
        <v>2012</v>
      </c>
      <c r="O731" t="b">
        <v>0</v>
      </c>
      <c r="P731">
        <v>120</v>
      </c>
      <c r="Q731" t="b">
        <v>1</v>
      </c>
      <c r="R731" t="s">
        <v>8274</v>
      </c>
      <c r="S731" s="6">
        <f>Table1[[#This Row],[pledged]]/Table1[[#This Row],[goal]]</f>
        <v>1.3065</v>
      </c>
      <c r="T731" s="8">
        <f>IF(Table1[[#This Row],[pledged]]=0,"no backers",Table1[[#This Row],[pledged]]/Table1[[#This Row],[backers_count]])</f>
        <v>43.55</v>
      </c>
      <c r="U731" t="str">
        <f>LEFT(Table1[[#This Row],[Category and Sub-Category]],FIND("/",Table1[[#This Row],[Category and Sub-Category]])-1)</f>
        <v>publishing</v>
      </c>
      <c r="V731" t="str">
        <f>RIGHT(Table1[[#This Row],[Category and Sub-Category]],LEN(Table1[[#This Row],[Category and Sub-Category]])-FIND("/",Table1[[#This Row],[Category and Sub-Category]]))</f>
        <v>nonfiction</v>
      </c>
    </row>
    <row r="732" spans="1:22" ht="28.8" x14ac:dyDescent="0.3">
      <c r="A732">
        <v>730</v>
      </c>
      <c r="B732" s="3" t="s">
        <v>731</v>
      </c>
      <c r="C732" s="3" t="s">
        <v>4840</v>
      </c>
      <c r="D732" s="1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>((Table1[[#This Row],[deadline]]/60)/60/24)+DATE(1970,1,1)</f>
        <v>40884.745266203703</v>
      </c>
      <c r="K732">
        <v>1320688391</v>
      </c>
      <c r="L732" s="11">
        <f>((Table1[[#This Row],[launched_at]]/60)/60/24)+DATE(1970,1,1)</f>
        <v>40854.745266203703</v>
      </c>
      <c r="M732">
        <f>MONTH(Table1[[#This Row],[Date Created Conversion]])</f>
        <v>11</v>
      </c>
      <c r="N732">
        <f>YEAR(Table1[[#This Row],[Date Created Conversion]])</f>
        <v>2011</v>
      </c>
      <c r="O732" t="b">
        <v>0</v>
      </c>
      <c r="P732">
        <v>265</v>
      </c>
      <c r="Q732" t="b">
        <v>1</v>
      </c>
      <c r="R732" t="s">
        <v>8274</v>
      </c>
      <c r="S732" s="6">
        <f>Table1[[#This Row],[pledged]]/Table1[[#This Row],[goal]]</f>
        <v>1.3219000000000001</v>
      </c>
      <c r="T732" s="8">
        <f>IF(Table1[[#This Row],[pledged]]=0,"no backers",Table1[[#This Row],[pledged]]/Table1[[#This Row],[backers_count]])</f>
        <v>99.766037735849054</v>
      </c>
      <c r="U732" t="str">
        <f>LEFT(Table1[[#This Row],[Category and Sub-Category]],FIND("/",Table1[[#This Row],[Category and Sub-Category]])-1)</f>
        <v>publishing</v>
      </c>
      <c r="V732" t="str">
        <f>RIGHT(Table1[[#This Row],[Category and Sub-Category]],LEN(Table1[[#This Row],[Category and Sub-Category]])-FIND("/",Table1[[#This Row],[Category and Sub-Category]]))</f>
        <v>nonfiction</v>
      </c>
    </row>
    <row r="733" spans="1:22" ht="43.2" x14ac:dyDescent="0.3">
      <c r="A733">
        <v>731</v>
      </c>
      <c r="B733" s="3" t="s">
        <v>732</v>
      </c>
      <c r="C733" s="3" t="s">
        <v>4841</v>
      </c>
      <c r="D733" s="12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>((Table1[[#This Row],[deadline]]/60)/60/24)+DATE(1970,1,1)</f>
        <v>40930.25</v>
      </c>
      <c r="K733">
        <v>1322852747</v>
      </c>
      <c r="L733" s="11">
        <f>((Table1[[#This Row],[launched_at]]/60)/60/24)+DATE(1970,1,1)</f>
        <v>40879.795682870368</v>
      </c>
      <c r="M733">
        <f>MONTH(Table1[[#This Row],[Date Created Conversion]])</f>
        <v>12</v>
      </c>
      <c r="N733">
        <f>YEAR(Table1[[#This Row],[Date Created Conversion]])</f>
        <v>2011</v>
      </c>
      <c r="O733" t="b">
        <v>0</v>
      </c>
      <c r="P733">
        <v>71</v>
      </c>
      <c r="Q733" t="b">
        <v>1</v>
      </c>
      <c r="R733" t="s">
        <v>8274</v>
      </c>
      <c r="S733" s="6">
        <f>Table1[[#This Row],[pledged]]/Table1[[#This Row],[goal]]</f>
        <v>1.26</v>
      </c>
      <c r="T733" s="8">
        <f>IF(Table1[[#This Row],[pledged]]=0,"no backers",Table1[[#This Row],[pledged]]/Table1[[#This Row],[backers_count]])</f>
        <v>88.732394366197184</v>
      </c>
      <c r="U733" t="str">
        <f>LEFT(Table1[[#This Row],[Category and Sub-Category]],FIND("/",Table1[[#This Row],[Category and Sub-Category]])-1)</f>
        <v>publishing</v>
      </c>
      <c r="V733" t="str">
        <f>RIGHT(Table1[[#This Row],[Category and Sub-Category]],LEN(Table1[[#This Row],[Category and Sub-Category]])-FIND("/",Table1[[#This Row],[Category and Sub-Category]]))</f>
        <v>nonfiction</v>
      </c>
    </row>
    <row r="734" spans="1:22" ht="43.2" x14ac:dyDescent="0.3">
      <c r="A734">
        <v>732</v>
      </c>
      <c r="B734" s="3" t="s">
        <v>733</v>
      </c>
      <c r="C734" s="3" t="s">
        <v>4842</v>
      </c>
      <c r="D734" s="12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>((Table1[[#This Row],[deadline]]/60)/60/24)+DATE(1970,1,1)</f>
        <v>41546.424317129626</v>
      </c>
      <c r="K734">
        <v>1375265461</v>
      </c>
      <c r="L734" s="11">
        <f>((Table1[[#This Row],[launched_at]]/60)/60/24)+DATE(1970,1,1)</f>
        <v>41486.424317129626</v>
      </c>
      <c r="M734">
        <f>MONTH(Table1[[#This Row],[Date Created Conversion]])</f>
        <v>7</v>
      </c>
      <c r="N734">
        <f>YEAR(Table1[[#This Row],[Date Created Conversion]])</f>
        <v>2013</v>
      </c>
      <c r="O734" t="b">
        <v>0</v>
      </c>
      <c r="P734">
        <v>13</v>
      </c>
      <c r="Q734" t="b">
        <v>1</v>
      </c>
      <c r="R734" t="s">
        <v>8274</v>
      </c>
      <c r="S734" s="6">
        <f>Table1[[#This Row],[pledged]]/Table1[[#This Row],[goal]]</f>
        <v>1.6</v>
      </c>
      <c r="T734" s="8">
        <f>IF(Table1[[#This Row],[pledged]]=0,"no backers",Table1[[#This Row],[pledged]]/Table1[[#This Row],[backers_count]])</f>
        <v>4.9230769230769234</v>
      </c>
      <c r="U734" t="str">
        <f>LEFT(Table1[[#This Row],[Category and Sub-Category]],FIND("/",Table1[[#This Row],[Category and Sub-Category]])-1)</f>
        <v>publishing</v>
      </c>
      <c r="V734" t="str">
        <f>RIGHT(Table1[[#This Row],[Category and Sub-Category]],LEN(Table1[[#This Row],[Category and Sub-Category]])-FIND("/",Table1[[#This Row],[Category and Sub-Category]]))</f>
        <v>nonfiction</v>
      </c>
    </row>
    <row r="735" spans="1:22" ht="57.6" x14ac:dyDescent="0.3">
      <c r="A735">
        <v>733</v>
      </c>
      <c r="B735" s="3" t="s">
        <v>734</v>
      </c>
      <c r="C735" s="3" t="s">
        <v>4843</v>
      </c>
      <c r="D735" s="12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>((Table1[[#This Row],[deadline]]/60)/60/24)+DATE(1970,1,1)</f>
        <v>41628.420046296298</v>
      </c>
      <c r="K735">
        <v>1384941892</v>
      </c>
      <c r="L735" s="11">
        <f>((Table1[[#This Row],[launched_at]]/60)/60/24)+DATE(1970,1,1)</f>
        <v>41598.420046296298</v>
      </c>
      <c r="M735">
        <f>MONTH(Table1[[#This Row],[Date Created Conversion]])</f>
        <v>11</v>
      </c>
      <c r="N735">
        <f>YEAR(Table1[[#This Row],[Date Created Conversion]])</f>
        <v>2013</v>
      </c>
      <c r="O735" t="b">
        <v>0</v>
      </c>
      <c r="P735">
        <v>169</v>
      </c>
      <c r="Q735" t="b">
        <v>1</v>
      </c>
      <c r="R735" t="s">
        <v>8274</v>
      </c>
      <c r="S735" s="6">
        <f>Table1[[#This Row],[pledged]]/Table1[[#This Row],[goal]]</f>
        <v>1.2048000000000001</v>
      </c>
      <c r="T735" s="8">
        <f>IF(Table1[[#This Row],[pledged]]=0,"no backers",Table1[[#This Row],[pledged]]/Table1[[#This Row],[backers_count]])</f>
        <v>17.822485207100591</v>
      </c>
      <c r="U735" t="str">
        <f>LEFT(Table1[[#This Row],[Category and Sub-Category]],FIND("/",Table1[[#This Row],[Category and Sub-Category]])-1)</f>
        <v>publishing</v>
      </c>
      <c r="V735" t="str">
        <f>RIGHT(Table1[[#This Row],[Category and Sub-Category]],LEN(Table1[[#This Row],[Category and Sub-Category]])-FIND("/",Table1[[#This Row],[Category and Sub-Category]]))</f>
        <v>nonfiction</v>
      </c>
    </row>
    <row r="736" spans="1:22" ht="43.2" x14ac:dyDescent="0.3">
      <c r="A736">
        <v>734</v>
      </c>
      <c r="B736" s="3" t="s">
        <v>735</v>
      </c>
      <c r="C736" s="3" t="s">
        <v>4844</v>
      </c>
      <c r="D736" s="12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>((Table1[[#This Row],[deadline]]/60)/60/24)+DATE(1970,1,1)</f>
        <v>42133.208333333328</v>
      </c>
      <c r="K736">
        <v>1428465420</v>
      </c>
      <c r="L736" s="11">
        <f>((Table1[[#This Row],[launched_at]]/60)/60/24)+DATE(1970,1,1)</f>
        <v>42102.164583333331</v>
      </c>
      <c r="M736">
        <f>MONTH(Table1[[#This Row],[Date Created Conversion]])</f>
        <v>4</v>
      </c>
      <c r="N736">
        <f>YEAR(Table1[[#This Row],[Date Created Conversion]])</f>
        <v>2015</v>
      </c>
      <c r="O736" t="b">
        <v>0</v>
      </c>
      <c r="P736">
        <v>57</v>
      </c>
      <c r="Q736" t="b">
        <v>1</v>
      </c>
      <c r="R736" t="s">
        <v>8274</v>
      </c>
      <c r="S736" s="6">
        <f>Table1[[#This Row],[pledged]]/Table1[[#This Row],[goal]]</f>
        <v>1.2552941176470589</v>
      </c>
      <c r="T736" s="8">
        <f>IF(Table1[[#This Row],[pledged]]=0,"no backers",Table1[[#This Row],[pledged]]/Table1[[#This Row],[backers_count]])</f>
        <v>187.19298245614036</v>
      </c>
      <c r="U736" t="str">
        <f>LEFT(Table1[[#This Row],[Category and Sub-Category]],FIND("/",Table1[[#This Row],[Category and Sub-Category]])-1)</f>
        <v>publishing</v>
      </c>
      <c r="V736" t="str">
        <f>RIGHT(Table1[[#This Row],[Category and Sub-Category]],LEN(Table1[[#This Row],[Category and Sub-Category]])-FIND("/",Table1[[#This Row],[Category and Sub-Category]]))</f>
        <v>nonfiction</v>
      </c>
    </row>
    <row r="737" spans="1:22" ht="43.2" x14ac:dyDescent="0.3">
      <c r="A737">
        <v>735</v>
      </c>
      <c r="B737" s="3" t="s">
        <v>736</v>
      </c>
      <c r="C737" s="3" t="s">
        <v>4845</v>
      </c>
      <c r="D737" s="12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>((Table1[[#This Row],[deadline]]/60)/60/24)+DATE(1970,1,1)</f>
        <v>41977.027083333334</v>
      </c>
      <c r="K737">
        <v>1414975346</v>
      </c>
      <c r="L737" s="11">
        <f>((Table1[[#This Row],[launched_at]]/60)/60/24)+DATE(1970,1,1)</f>
        <v>41946.029467592591</v>
      </c>
      <c r="M737">
        <f>MONTH(Table1[[#This Row],[Date Created Conversion]])</f>
        <v>11</v>
      </c>
      <c r="N737">
        <f>YEAR(Table1[[#This Row],[Date Created Conversion]])</f>
        <v>2014</v>
      </c>
      <c r="O737" t="b">
        <v>0</v>
      </c>
      <c r="P737">
        <v>229</v>
      </c>
      <c r="Q737" t="b">
        <v>1</v>
      </c>
      <c r="R737" t="s">
        <v>8274</v>
      </c>
      <c r="S737" s="6">
        <f>Table1[[#This Row],[pledged]]/Table1[[#This Row],[goal]]</f>
        <v>1.1440638297872341</v>
      </c>
      <c r="T737" s="8">
        <f>IF(Table1[[#This Row],[pledged]]=0,"no backers",Table1[[#This Row],[pledged]]/Table1[[#This Row],[backers_count]])</f>
        <v>234.80786026200875</v>
      </c>
      <c r="U737" t="str">
        <f>LEFT(Table1[[#This Row],[Category and Sub-Category]],FIND("/",Table1[[#This Row],[Category and Sub-Category]])-1)</f>
        <v>publishing</v>
      </c>
      <c r="V737" t="str">
        <f>RIGHT(Table1[[#This Row],[Category and Sub-Category]],LEN(Table1[[#This Row],[Category and Sub-Category]])-FIND("/",Table1[[#This Row],[Category and Sub-Category]]))</f>
        <v>nonfiction</v>
      </c>
    </row>
    <row r="738" spans="1:22" ht="43.2" x14ac:dyDescent="0.3">
      <c r="A738">
        <v>736</v>
      </c>
      <c r="B738" s="3" t="s">
        <v>737</v>
      </c>
      <c r="C738" s="3" t="s">
        <v>4846</v>
      </c>
      <c r="D738" s="12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>((Table1[[#This Row],[deadline]]/60)/60/24)+DATE(1970,1,1)</f>
        <v>41599.207638888889</v>
      </c>
      <c r="K738">
        <v>1383327440</v>
      </c>
      <c r="L738" s="11">
        <f>((Table1[[#This Row],[launched_at]]/60)/60/24)+DATE(1970,1,1)</f>
        <v>41579.734259259261</v>
      </c>
      <c r="M738">
        <f>MONTH(Table1[[#This Row],[Date Created Conversion]])</f>
        <v>11</v>
      </c>
      <c r="N738">
        <f>YEAR(Table1[[#This Row],[Date Created Conversion]])</f>
        <v>2013</v>
      </c>
      <c r="O738" t="b">
        <v>0</v>
      </c>
      <c r="P738">
        <v>108</v>
      </c>
      <c r="Q738" t="b">
        <v>1</v>
      </c>
      <c r="R738" t="s">
        <v>8274</v>
      </c>
      <c r="S738" s="6">
        <f>Table1[[#This Row],[pledged]]/Table1[[#This Row],[goal]]</f>
        <v>3.151388888888889</v>
      </c>
      <c r="T738" s="8">
        <f>IF(Table1[[#This Row],[pledged]]=0,"no backers",Table1[[#This Row],[pledged]]/Table1[[#This Row],[backers_count]])</f>
        <v>105.04629629629629</v>
      </c>
      <c r="U738" t="str">
        <f>LEFT(Table1[[#This Row],[Category and Sub-Category]],FIND("/",Table1[[#This Row],[Category and Sub-Category]])-1)</f>
        <v>publishing</v>
      </c>
      <c r="V738" t="str">
        <f>RIGHT(Table1[[#This Row],[Category and Sub-Category]],LEN(Table1[[#This Row],[Category and Sub-Category]])-FIND("/",Table1[[#This Row],[Category and Sub-Category]]))</f>
        <v>nonfiction</v>
      </c>
    </row>
    <row r="739" spans="1:22" ht="43.2" x14ac:dyDescent="0.3">
      <c r="A739">
        <v>737</v>
      </c>
      <c r="B739" s="3" t="s">
        <v>738</v>
      </c>
      <c r="C739" s="3" t="s">
        <v>4847</v>
      </c>
      <c r="D739" s="12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>((Table1[[#This Row],[deadline]]/60)/60/24)+DATE(1970,1,1)</f>
        <v>41684.833333333336</v>
      </c>
      <c r="K739">
        <v>1390890987</v>
      </c>
      <c r="L739" s="11">
        <f>((Table1[[#This Row],[launched_at]]/60)/60/24)+DATE(1970,1,1)</f>
        <v>41667.275312500002</v>
      </c>
      <c r="M739">
        <f>MONTH(Table1[[#This Row],[Date Created Conversion]])</f>
        <v>1</v>
      </c>
      <c r="N739">
        <f>YEAR(Table1[[#This Row],[Date Created Conversion]])</f>
        <v>2014</v>
      </c>
      <c r="O739" t="b">
        <v>0</v>
      </c>
      <c r="P739">
        <v>108</v>
      </c>
      <c r="Q739" t="b">
        <v>1</v>
      </c>
      <c r="R739" t="s">
        <v>8274</v>
      </c>
      <c r="S739" s="6">
        <f>Table1[[#This Row],[pledged]]/Table1[[#This Row],[goal]]</f>
        <v>1.224</v>
      </c>
      <c r="T739" s="8">
        <f>IF(Table1[[#This Row],[pledged]]=0,"no backers",Table1[[#This Row],[pledged]]/Table1[[#This Row],[backers_count]])</f>
        <v>56.666666666666664</v>
      </c>
      <c r="U739" t="str">
        <f>LEFT(Table1[[#This Row],[Category and Sub-Category]],FIND("/",Table1[[#This Row],[Category and Sub-Category]])-1)</f>
        <v>publishing</v>
      </c>
      <c r="V739" t="str">
        <f>RIGHT(Table1[[#This Row],[Category and Sub-Category]],LEN(Table1[[#This Row],[Category and Sub-Category]])-FIND("/",Table1[[#This Row],[Category and Sub-Category]]))</f>
        <v>nonfiction</v>
      </c>
    </row>
    <row r="740" spans="1:22" ht="28.8" x14ac:dyDescent="0.3">
      <c r="A740">
        <v>738</v>
      </c>
      <c r="B740" s="3" t="s">
        <v>739</v>
      </c>
      <c r="C740" s="3" t="s">
        <v>4848</v>
      </c>
      <c r="D740" s="12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>((Table1[[#This Row],[deadline]]/60)/60/24)+DATE(1970,1,1)</f>
        <v>41974.207638888889</v>
      </c>
      <c r="K740">
        <v>1414765794</v>
      </c>
      <c r="L740" s="11">
        <f>((Table1[[#This Row],[launched_at]]/60)/60/24)+DATE(1970,1,1)</f>
        <v>41943.604097222218</v>
      </c>
      <c r="M740">
        <f>MONTH(Table1[[#This Row],[Date Created Conversion]])</f>
        <v>10</v>
      </c>
      <c r="N740">
        <f>YEAR(Table1[[#This Row],[Date Created Conversion]])</f>
        <v>2014</v>
      </c>
      <c r="O740" t="b">
        <v>0</v>
      </c>
      <c r="P740">
        <v>41</v>
      </c>
      <c r="Q740" t="b">
        <v>1</v>
      </c>
      <c r="R740" t="s">
        <v>8274</v>
      </c>
      <c r="S740" s="6">
        <f>Table1[[#This Row],[pledged]]/Table1[[#This Row],[goal]]</f>
        <v>1.0673333333333332</v>
      </c>
      <c r="T740" s="8">
        <f>IF(Table1[[#This Row],[pledged]]=0,"no backers",Table1[[#This Row],[pledged]]/Table1[[#This Row],[backers_count]])</f>
        <v>39.048780487804876</v>
      </c>
      <c r="U740" t="str">
        <f>LEFT(Table1[[#This Row],[Category and Sub-Category]],FIND("/",Table1[[#This Row],[Category and Sub-Category]])-1)</f>
        <v>publishing</v>
      </c>
      <c r="V740" t="str">
        <f>RIGHT(Table1[[#This Row],[Category and Sub-Category]],LEN(Table1[[#This Row],[Category and Sub-Category]])-FIND("/",Table1[[#This Row],[Category and Sub-Category]]))</f>
        <v>nonfiction</v>
      </c>
    </row>
    <row r="741" spans="1:22" ht="43.2" x14ac:dyDescent="0.3">
      <c r="A741">
        <v>739</v>
      </c>
      <c r="B741" s="3" t="s">
        <v>740</v>
      </c>
      <c r="C741" s="3" t="s">
        <v>4849</v>
      </c>
      <c r="D741" s="12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>((Table1[[#This Row],[deadline]]/60)/60/24)+DATE(1970,1,1)</f>
        <v>41862.502650462964</v>
      </c>
      <c r="K741">
        <v>1404907429</v>
      </c>
      <c r="L741" s="11">
        <f>((Table1[[#This Row],[launched_at]]/60)/60/24)+DATE(1970,1,1)</f>
        <v>41829.502650462964</v>
      </c>
      <c r="M741">
        <f>MONTH(Table1[[#This Row],[Date Created Conversion]])</f>
        <v>7</v>
      </c>
      <c r="N741">
        <f>YEAR(Table1[[#This Row],[Date Created Conversion]])</f>
        <v>2014</v>
      </c>
      <c r="O741" t="b">
        <v>0</v>
      </c>
      <c r="P741">
        <v>139</v>
      </c>
      <c r="Q741" t="b">
        <v>1</v>
      </c>
      <c r="R741" t="s">
        <v>8274</v>
      </c>
      <c r="S741" s="6">
        <f>Table1[[#This Row],[pledged]]/Table1[[#This Row],[goal]]</f>
        <v>1.5833333333333333</v>
      </c>
      <c r="T741" s="8">
        <f>IF(Table1[[#This Row],[pledged]]=0,"no backers",Table1[[#This Row],[pledged]]/Table1[[#This Row],[backers_count]])</f>
        <v>68.345323741007192</v>
      </c>
      <c r="U741" t="str">
        <f>LEFT(Table1[[#This Row],[Category and Sub-Category]],FIND("/",Table1[[#This Row],[Category and Sub-Category]])-1)</f>
        <v>publishing</v>
      </c>
      <c r="V741" t="str">
        <f>RIGHT(Table1[[#This Row],[Category and Sub-Category]],LEN(Table1[[#This Row],[Category and Sub-Category]])-FIND("/",Table1[[#This Row],[Category and Sub-Category]]))</f>
        <v>nonfiction</v>
      </c>
    </row>
    <row r="742" spans="1:22" ht="57.6" x14ac:dyDescent="0.3">
      <c r="A742">
        <v>740</v>
      </c>
      <c r="B742" s="3" t="s">
        <v>741</v>
      </c>
      <c r="C742" s="3" t="s">
        <v>4850</v>
      </c>
      <c r="D742" s="1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>((Table1[[#This Row],[deadline]]/60)/60/24)+DATE(1970,1,1)</f>
        <v>42176.146782407406</v>
      </c>
      <c r="K742">
        <v>1433647882</v>
      </c>
      <c r="L742" s="11">
        <f>((Table1[[#This Row],[launched_at]]/60)/60/24)+DATE(1970,1,1)</f>
        <v>42162.146782407406</v>
      </c>
      <c r="M742">
        <f>MONTH(Table1[[#This Row],[Date Created Conversion]])</f>
        <v>6</v>
      </c>
      <c r="N742">
        <f>YEAR(Table1[[#This Row],[Date Created Conversion]])</f>
        <v>2015</v>
      </c>
      <c r="O742" t="b">
        <v>0</v>
      </c>
      <c r="P742">
        <v>19</v>
      </c>
      <c r="Q742" t="b">
        <v>1</v>
      </c>
      <c r="R742" t="s">
        <v>8274</v>
      </c>
      <c r="S742" s="6">
        <f>Table1[[#This Row],[pledged]]/Table1[[#This Row],[goal]]</f>
        <v>1.0740000000000001</v>
      </c>
      <c r="T742" s="8">
        <f>IF(Table1[[#This Row],[pledged]]=0,"no backers",Table1[[#This Row],[pledged]]/Table1[[#This Row],[backers_count]])</f>
        <v>169.57894736842104</v>
      </c>
      <c r="U742" t="str">
        <f>LEFT(Table1[[#This Row],[Category and Sub-Category]],FIND("/",Table1[[#This Row],[Category and Sub-Category]])-1)</f>
        <v>publishing</v>
      </c>
      <c r="V742" t="str">
        <f>RIGHT(Table1[[#This Row],[Category and Sub-Category]],LEN(Table1[[#This Row],[Category and Sub-Category]])-FIND("/",Table1[[#This Row],[Category and Sub-Category]]))</f>
        <v>nonfiction</v>
      </c>
    </row>
    <row r="743" spans="1:22" ht="28.8" x14ac:dyDescent="0.3">
      <c r="A743">
        <v>741</v>
      </c>
      <c r="B743" s="3" t="s">
        <v>742</v>
      </c>
      <c r="C743" s="3" t="s">
        <v>4851</v>
      </c>
      <c r="D743" s="12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>((Table1[[#This Row],[deadline]]/60)/60/24)+DATE(1970,1,1)</f>
        <v>41436.648217592592</v>
      </c>
      <c r="K743">
        <v>1367940806</v>
      </c>
      <c r="L743" s="11">
        <f>((Table1[[#This Row],[launched_at]]/60)/60/24)+DATE(1970,1,1)</f>
        <v>41401.648217592592</v>
      </c>
      <c r="M743">
        <f>MONTH(Table1[[#This Row],[Date Created Conversion]])</f>
        <v>5</v>
      </c>
      <c r="N743">
        <f>YEAR(Table1[[#This Row],[Date Created Conversion]])</f>
        <v>2013</v>
      </c>
      <c r="O743" t="b">
        <v>0</v>
      </c>
      <c r="P743">
        <v>94</v>
      </c>
      <c r="Q743" t="b">
        <v>1</v>
      </c>
      <c r="R743" t="s">
        <v>8274</v>
      </c>
      <c r="S743" s="6">
        <f>Table1[[#This Row],[pledged]]/Table1[[#This Row],[goal]]</f>
        <v>1.0226</v>
      </c>
      <c r="T743" s="8">
        <f>IF(Table1[[#This Row],[pledged]]=0,"no backers",Table1[[#This Row],[pledged]]/Table1[[#This Row],[backers_count]])</f>
        <v>141.42340425531913</v>
      </c>
      <c r="U743" t="str">
        <f>LEFT(Table1[[#This Row],[Category and Sub-Category]],FIND("/",Table1[[#This Row],[Category and Sub-Category]])-1)</f>
        <v>publishing</v>
      </c>
      <c r="V743" t="str">
        <f>RIGHT(Table1[[#This Row],[Category and Sub-Category]],LEN(Table1[[#This Row],[Category and Sub-Category]])-FIND("/",Table1[[#This Row],[Category and Sub-Category]]))</f>
        <v>nonfiction</v>
      </c>
    </row>
    <row r="744" spans="1:22" ht="57.6" x14ac:dyDescent="0.3">
      <c r="A744">
        <v>742</v>
      </c>
      <c r="B744" s="3" t="s">
        <v>743</v>
      </c>
      <c r="C744" s="3" t="s">
        <v>4852</v>
      </c>
      <c r="D744" s="12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>((Table1[[#This Row],[deadline]]/60)/60/24)+DATE(1970,1,1)</f>
        <v>41719.876296296294</v>
      </c>
      <c r="K744">
        <v>1392847312</v>
      </c>
      <c r="L744" s="11">
        <f>((Table1[[#This Row],[launched_at]]/60)/60/24)+DATE(1970,1,1)</f>
        <v>41689.917962962965</v>
      </c>
      <c r="M744">
        <f>MONTH(Table1[[#This Row],[Date Created Conversion]])</f>
        <v>2</v>
      </c>
      <c r="N744">
        <f>YEAR(Table1[[#This Row],[Date Created Conversion]])</f>
        <v>2014</v>
      </c>
      <c r="O744" t="b">
        <v>0</v>
      </c>
      <c r="P744">
        <v>23</v>
      </c>
      <c r="Q744" t="b">
        <v>1</v>
      </c>
      <c r="R744" t="s">
        <v>8274</v>
      </c>
      <c r="S744" s="6">
        <f>Table1[[#This Row],[pledged]]/Table1[[#This Row],[goal]]</f>
        <v>1.1071428571428572</v>
      </c>
      <c r="T744" s="8">
        <f>IF(Table1[[#This Row],[pledged]]=0,"no backers",Table1[[#This Row],[pledged]]/Table1[[#This Row],[backers_count]])</f>
        <v>67.391304347826093</v>
      </c>
      <c r="U744" t="str">
        <f>LEFT(Table1[[#This Row],[Category and Sub-Category]],FIND("/",Table1[[#This Row],[Category and Sub-Category]])-1)</f>
        <v>publishing</v>
      </c>
      <c r="V744" t="str">
        <f>RIGHT(Table1[[#This Row],[Category and Sub-Category]],LEN(Table1[[#This Row],[Category and Sub-Category]])-FIND("/",Table1[[#This Row],[Category and Sub-Category]]))</f>
        <v>nonfiction</v>
      </c>
    </row>
    <row r="745" spans="1:22" ht="43.2" x14ac:dyDescent="0.3">
      <c r="A745">
        <v>743</v>
      </c>
      <c r="B745" s="3" t="s">
        <v>744</v>
      </c>
      <c r="C745" s="3" t="s">
        <v>4853</v>
      </c>
      <c r="D745" s="12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>((Table1[[#This Row],[deadline]]/60)/60/24)+DATE(1970,1,1)</f>
        <v>41015.875</v>
      </c>
      <c r="K745">
        <v>1332435685</v>
      </c>
      <c r="L745" s="11">
        <f>((Table1[[#This Row],[launched_at]]/60)/60/24)+DATE(1970,1,1)</f>
        <v>40990.709317129629</v>
      </c>
      <c r="M745">
        <f>MONTH(Table1[[#This Row],[Date Created Conversion]])</f>
        <v>3</v>
      </c>
      <c r="N745">
        <f>YEAR(Table1[[#This Row],[Date Created Conversion]])</f>
        <v>2012</v>
      </c>
      <c r="O745" t="b">
        <v>0</v>
      </c>
      <c r="P745">
        <v>15</v>
      </c>
      <c r="Q745" t="b">
        <v>1</v>
      </c>
      <c r="R745" t="s">
        <v>8274</v>
      </c>
      <c r="S745" s="6">
        <f>Table1[[#This Row],[pledged]]/Table1[[#This Row],[goal]]</f>
        <v>1.48</v>
      </c>
      <c r="T745" s="8">
        <f>IF(Table1[[#This Row],[pledged]]=0,"no backers",Table1[[#This Row],[pledged]]/Table1[[#This Row],[backers_count]])</f>
        <v>54.266666666666666</v>
      </c>
      <c r="U745" t="str">
        <f>LEFT(Table1[[#This Row],[Category and Sub-Category]],FIND("/",Table1[[#This Row],[Category and Sub-Category]])-1)</f>
        <v>publishing</v>
      </c>
      <c r="V745" t="str">
        <f>RIGHT(Table1[[#This Row],[Category and Sub-Category]],LEN(Table1[[#This Row],[Category and Sub-Category]])-FIND("/",Table1[[#This Row],[Category and Sub-Category]]))</f>
        <v>nonfiction</v>
      </c>
    </row>
    <row r="746" spans="1:22" ht="43.2" x14ac:dyDescent="0.3">
      <c r="A746">
        <v>744</v>
      </c>
      <c r="B746" s="3" t="s">
        <v>745</v>
      </c>
      <c r="C746" s="3" t="s">
        <v>4854</v>
      </c>
      <c r="D746" s="12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>((Table1[[#This Row],[deadline]]/60)/60/24)+DATE(1970,1,1)</f>
        <v>41256.95721064815</v>
      </c>
      <c r="K746">
        <v>1352847503</v>
      </c>
      <c r="L746" s="11">
        <f>((Table1[[#This Row],[launched_at]]/60)/60/24)+DATE(1970,1,1)</f>
        <v>41226.95721064815</v>
      </c>
      <c r="M746">
        <f>MONTH(Table1[[#This Row],[Date Created Conversion]])</f>
        <v>11</v>
      </c>
      <c r="N746">
        <f>YEAR(Table1[[#This Row],[Date Created Conversion]])</f>
        <v>2012</v>
      </c>
      <c r="O746" t="b">
        <v>0</v>
      </c>
      <c r="P746">
        <v>62</v>
      </c>
      <c r="Q746" t="b">
        <v>1</v>
      </c>
      <c r="R746" t="s">
        <v>8274</v>
      </c>
      <c r="S746" s="6">
        <f>Table1[[#This Row],[pledged]]/Table1[[#This Row],[goal]]</f>
        <v>1.0232000000000001</v>
      </c>
      <c r="T746" s="8">
        <f>IF(Table1[[#This Row],[pledged]]=0,"no backers",Table1[[#This Row],[pledged]]/Table1[[#This Row],[backers_count]])</f>
        <v>82.516129032258064</v>
      </c>
      <c r="U746" t="str">
        <f>LEFT(Table1[[#This Row],[Category and Sub-Category]],FIND("/",Table1[[#This Row],[Category and Sub-Category]])-1)</f>
        <v>publishing</v>
      </c>
      <c r="V746" t="str">
        <f>RIGHT(Table1[[#This Row],[Category and Sub-Category]],LEN(Table1[[#This Row],[Category and Sub-Category]])-FIND("/",Table1[[#This Row],[Category and Sub-Category]]))</f>
        <v>nonfiction</v>
      </c>
    </row>
    <row r="747" spans="1:22" ht="43.2" x14ac:dyDescent="0.3">
      <c r="A747">
        <v>745</v>
      </c>
      <c r="B747" s="3" t="s">
        <v>746</v>
      </c>
      <c r="C747" s="3" t="s">
        <v>4855</v>
      </c>
      <c r="D747" s="12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>((Table1[[#This Row],[deadline]]/60)/60/24)+DATE(1970,1,1)</f>
        <v>41397.572280092594</v>
      </c>
      <c r="K747">
        <v>1364996645</v>
      </c>
      <c r="L747" s="11">
        <f>((Table1[[#This Row],[launched_at]]/60)/60/24)+DATE(1970,1,1)</f>
        <v>41367.572280092594</v>
      </c>
      <c r="M747">
        <f>MONTH(Table1[[#This Row],[Date Created Conversion]])</f>
        <v>4</v>
      </c>
      <c r="N747">
        <f>YEAR(Table1[[#This Row],[Date Created Conversion]])</f>
        <v>2013</v>
      </c>
      <c r="O747" t="b">
        <v>0</v>
      </c>
      <c r="P747">
        <v>74</v>
      </c>
      <c r="Q747" t="b">
        <v>1</v>
      </c>
      <c r="R747" t="s">
        <v>8274</v>
      </c>
      <c r="S747" s="6">
        <f>Table1[[#This Row],[pledged]]/Table1[[#This Row],[goal]]</f>
        <v>1.7909909909909909</v>
      </c>
      <c r="T747" s="8">
        <f>IF(Table1[[#This Row],[pledged]]=0,"no backers",Table1[[#This Row],[pledged]]/Table1[[#This Row],[backers_count]])</f>
        <v>53.729729729729726</v>
      </c>
      <c r="U747" t="str">
        <f>LEFT(Table1[[#This Row],[Category and Sub-Category]],FIND("/",Table1[[#This Row],[Category and Sub-Category]])-1)</f>
        <v>publishing</v>
      </c>
      <c r="V747" t="str">
        <f>RIGHT(Table1[[#This Row],[Category and Sub-Category]],LEN(Table1[[#This Row],[Category and Sub-Category]])-FIND("/",Table1[[#This Row],[Category and Sub-Category]]))</f>
        <v>nonfiction</v>
      </c>
    </row>
    <row r="748" spans="1:22" ht="28.8" x14ac:dyDescent="0.3">
      <c r="A748">
        <v>746</v>
      </c>
      <c r="B748" s="3" t="s">
        <v>747</v>
      </c>
      <c r="C748" s="3" t="s">
        <v>4856</v>
      </c>
      <c r="D748" s="12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>((Table1[[#This Row],[deadline]]/60)/60/24)+DATE(1970,1,1)</f>
        <v>41175.165972222225</v>
      </c>
      <c r="K748">
        <v>1346806909</v>
      </c>
      <c r="L748" s="11">
        <f>((Table1[[#This Row],[launched_at]]/60)/60/24)+DATE(1970,1,1)</f>
        <v>41157.042928240742</v>
      </c>
      <c r="M748">
        <f>MONTH(Table1[[#This Row],[Date Created Conversion]])</f>
        <v>9</v>
      </c>
      <c r="N748">
        <f>YEAR(Table1[[#This Row],[Date Created Conversion]])</f>
        <v>2012</v>
      </c>
      <c r="O748" t="b">
        <v>0</v>
      </c>
      <c r="P748">
        <v>97</v>
      </c>
      <c r="Q748" t="b">
        <v>1</v>
      </c>
      <c r="R748" t="s">
        <v>8274</v>
      </c>
      <c r="S748" s="6">
        <f>Table1[[#This Row],[pledged]]/Table1[[#This Row],[goal]]</f>
        <v>1.1108135252761968</v>
      </c>
      <c r="T748" s="8">
        <f>IF(Table1[[#This Row],[pledged]]=0,"no backers",Table1[[#This Row],[pledged]]/Table1[[#This Row],[backers_count]])</f>
        <v>34.206185567010309</v>
      </c>
      <c r="U748" t="str">
        <f>LEFT(Table1[[#This Row],[Category and Sub-Category]],FIND("/",Table1[[#This Row],[Category and Sub-Category]])-1)</f>
        <v>publishing</v>
      </c>
      <c r="V748" t="str">
        <f>RIGHT(Table1[[#This Row],[Category and Sub-Category]],LEN(Table1[[#This Row],[Category and Sub-Category]])-FIND("/",Table1[[#This Row],[Category and Sub-Category]]))</f>
        <v>nonfiction</v>
      </c>
    </row>
    <row r="749" spans="1:22" ht="43.2" x14ac:dyDescent="0.3">
      <c r="A749">
        <v>747</v>
      </c>
      <c r="B749" s="3" t="s">
        <v>748</v>
      </c>
      <c r="C749" s="3" t="s">
        <v>4857</v>
      </c>
      <c r="D749" s="12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>((Table1[[#This Row],[deadline]]/60)/60/24)+DATE(1970,1,1)</f>
        <v>42019.454166666663</v>
      </c>
      <c r="K749">
        <v>1418649019</v>
      </c>
      <c r="L749" s="11">
        <f>((Table1[[#This Row],[launched_at]]/60)/60/24)+DATE(1970,1,1)</f>
        <v>41988.548831018517</v>
      </c>
      <c r="M749">
        <f>MONTH(Table1[[#This Row],[Date Created Conversion]])</f>
        <v>12</v>
      </c>
      <c r="N749">
        <f>YEAR(Table1[[#This Row],[Date Created Conversion]])</f>
        <v>2014</v>
      </c>
      <c r="O749" t="b">
        <v>0</v>
      </c>
      <c r="P749">
        <v>55</v>
      </c>
      <c r="Q749" t="b">
        <v>1</v>
      </c>
      <c r="R749" t="s">
        <v>8274</v>
      </c>
      <c r="S749" s="6">
        <f>Table1[[#This Row],[pledged]]/Table1[[#This Row],[goal]]</f>
        <v>1.0004285714285714</v>
      </c>
      <c r="T749" s="8">
        <f>IF(Table1[[#This Row],[pledged]]=0,"no backers",Table1[[#This Row],[pledged]]/Table1[[#This Row],[backers_count]])</f>
        <v>127.32727272727273</v>
      </c>
      <c r="U749" t="str">
        <f>LEFT(Table1[[#This Row],[Category and Sub-Category]],FIND("/",Table1[[#This Row],[Category and Sub-Category]])-1)</f>
        <v>publishing</v>
      </c>
      <c r="V749" t="str">
        <f>RIGHT(Table1[[#This Row],[Category and Sub-Category]],LEN(Table1[[#This Row],[Category and Sub-Category]])-FIND("/",Table1[[#This Row],[Category and Sub-Category]]))</f>
        <v>nonfiction</v>
      </c>
    </row>
    <row r="750" spans="1:22" ht="43.2" x14ac:dyDescent="0.3">
      <c r="A750">
        <v>748</v>
      </c>
      <c r="B750" s="3" t="s">
        <v>749</v>
      </c>
      <c r="C750" s="3" t="s">
        <v>4858</v>
      </c>
      <c r="D750" s="12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>((Table1[[#This Row],[deadline]]/60)/60/24)+DATE(1970,1,1)</f>
        <v>41861.846828703703</v>
      </c>
      <c r="K750">
        <v>1405109966</v>
      </c>
      <c r="L750" s="11">
        <f>((Table1[[#This Row],[launched_at]]/60)/60/24)+DATE(1970,1,1)</f>
        <v>41831.846828703703</v>
      </c>
      <c r="M750">
        <f>MONTH(Table1[[#This Row],[Date Created Conversion]])</f>
        <v>7</v>
      </c>
      <c r="N750">
        <f>YEAR(Table1[[#This Row],[Date Created Conversion]])</f>
        <v>2014</v>
      </c>
      <c r="O750" t="b">
        <v>0</v>
      </c>
      <c r="P750">
        <v>44</v>
      </c>
      <c r="Q750" t="b">
        <v>1</v>
      </c>
      <c r="R750" t="s">
        <v>8274</v>
      </c>
      <c r="S750" s="6">
        <f>Table1[[#This Row],[pledged]]/Table1[[#This Row],[goal]]</f>
        <v>1.0024999999999999</v>
      </c>
      <c r="T750" s="8">
        <f>IF(Table1[[#This Row],[pledged]]=0,"no backers",Table1[[#This Row],[pledged]]/Table1[[#This Row],[backers_count]])</f>
        <v>45.56818181818182</v>
      </c>
      <c r="U750" t="str">
        <f>LEFT(Table1[[#This Row],[Category and Sub-Category]],FIND("/",Table1[[#This Row],[Category and Sub-Category]])-1)</f>
        <v>publishing</v>
      </c>
      <c r="V750" t="str">
        <f>RIGHT(Table1[[#This Row],[Category and Sub-Category]],LEN(Table1[[#This Row],[Category and Sub-Category]])-FIND("/",Table1[[#This Row],[Category and Sub-Category]]))</f>
        <v>nonfiction</v>
      </c>
    </row>
    <row r="751" spans="1:22" ht="43.2" x14ac:dyDescent="0.3">
      <c r="A751">
        <v>749</v>
      </c>
      <c r="B751" s="3" t="s">
        <v>750</v>
      </c>
      <c r="C751" s="3" t="s">
        <v>4859</v>
      </c>
      <c r="D751" s="12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>((Table1[[#This Row],[deadline]]/60)/60/24)+DATE(1970,1,1)</f>
        <v>42763.94131944445</v>
      </c>
      <c r="K751">
        <v>1483050930</v>
      </c>
      <c r="L751" s="11">
        <f>((Table1[[#This Row],[launched_at]]/60)/60/24)+DATE(1970,1,1)</f>
        <v>42733.94131944445</v>
      </c>
      <c r="M751">
        <f>MONTH(Table1[[#This Row],[Date Created Conversion]])</f>
        <v>12</v>
      </c>
      <c r="N751">
        <f>YEAR(Table1[[#This Row],[Date Created Conversion]])</f>
        <v>2016</v>
      </c>
      <c r="O751" t="b">
        <v>0</v>
      </c>
      <c r="P751">
        <v>110</v>
      </c>
      <c r="Q751" t="b">
        <v>1</v>
      </c>
      <c r="R751" t="s">
        <v>8274</v>
      </c>
      <c r="S751" s="6">
        <f>Table1[[#This Row],[pledged]]/Table1[[#This Row],[goal]]</f>
        <v>1.0556000000000001</v>
      </c>
      <c r="T751" s="8">
        <f>IF(Table1[[#This Row],[pledged]]=0,"no backers",Table1[[#This Row],[pledged]]/Table1[[#This Row],[backers_count]])</f>
        <v>95.963636363636368</v>
      </c>
      <c r="U751" t="str">
        <f>LEFT(Table1[[#This Row],[Category and Sub-Category]],FIND("/",Table1[[#This Row],[Category and Sub-Category]])-1)</f>
        <v>publishing</v>
      </c>
      <c r="V751" t="str">
        <f>RIGHT(Table1[[#This Row],[Category and Sub-Category]],LEN(Table1[[#This Row],[Category and Sub-Category]])-FIND("/",Table1[[#This Row],[Category and Sub-Category]]))</f>
        <v>nonfiction</v>
      </c>
    </row>
    <row r="752" spans="1:22" ht="43.2" x14ac:dyDescent="0.3">
      <c r="A752">
        <v>750</v>
      </c>
      <c r="B752" s="3" t="s">
        <v>751</v>
      </c>
      <c r="C752" s="3" t="s">
        <v>4860</v>
      </c>
      <c r="D752" s="1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>((Table1[[#This Row],[deadline]]/60)/60/24)+DATE(1970,1,1)</f>
        <v>41329.878148148149</v>
      </c>
      <c r="K752">
        <v>1359147872</v>
      </c>
      <c r="L752" s="11">
        <f>((Table1[[#This Row],[launched_at]]/60)/60/24)+DATE(1970,1,1)</f>
        <v>41299.878148148149</v>
      </c>
      <c r="M752">
        <f>MONTH(Table1[[#This Row],[Date Created Conversion]])</f>
        <v>1</v>
      </c>
      <c r="N752">
        <f>YEAR(Table1[[#This Row],[Date Created Conversion]])</f>
        <v>2013</v>
      </c>
      <c r="O752" t="b">
        <v>0</v>
      </c>
      <c r="P752">
        <v>59</v>
      </c>
      <c r="Q752" t="b">
        <v>1</v>
      </c>
      <c r="R752" t="s">
        <v>8274</v>
      </c>
      <c r="S752" s="6">
        <f>Table1[[#This Row],[pledged]]/Table1[[#This Row],[goal]]</f>
        <v>1.0258775877587758</v>
      </c>
      <c r="T752" s="8">
        <f>IF(Table1[[#This Row],[pledged]]=0,"no backers",Table1[[#This Row],[pledged]]/Table1[[#This Row],[backers_count]])</f>
        <v>77.271186440677965</v>
      </c>
      <c r="U752" t="str">
        <f>LEFT(Table1[[#This Row],[Category and Sub-Category]],FIND("/",Table1[[#This Row],[Category and Sub-Category]])-1)</f>
        <v>publishing</v>
      </c>
      <c r="V752" t="str">
        <f>RIGHT(Table1[[#This Row],[Category and Sub-Category]],LEN(Table1[[#This Row],[Category and Sub-Category]])-FIND("/",Table1[[#This Row],[Category and Sub-Category]]))</f>
        <v>nonfiction</v>
      </c>
    </row>
    <row r="753" spans="1:22" ht="43.2" x14ac:dyDescent="0.3">
      <c r="A753">
        <v>751</v>
      </c>
      <c r="B753" s="3" t="s">
        <v>752</v>
      </c>
      <c r="C753" s="3" t="s">
        <v>4861</v>
      </c>
      <c r="D753" s="12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>((Table1[[#This Row],[deadline]]/60)/60/24)+DATE(1970,1,1)</f>
        <v>40759.630497685182</v>
      </c>
      <c r="K753">
        <v>1308496075</v>
      </c>
      <c r="L753" s="11">
        <f>((Table1[[#This Row],[launched_at]]/60)/60/24)+DATE(1970,1,1)</f>
        <v>40713.630497685182</v>
      </c>
      <c r="M753">
        <f>MONTH(Table1[[#This Row],[Date Created Conversion]])</f>
        <v>6</v>
      </c>
      <c r="N753">
        <f>YEAR(Table1[[#This Row],[Date Created Conversion]])</f>
        <v>2011</v>
      </c>
      <c r="O753" t="b">
        <v>0</v>
      </c>
      <c r="P753">
        <v>62</v>
      </c>
      <c r="Q753" t="b">
        <v>1</v>
      </c>
      <c r="R753" t="s">
        <v>8274</v>
      </c>
      <c r="S753" s="6">
        <f>Table1[[#This Row],[pledged]]/Table1[[#This Row],[goal]]</f>
        <v>1.1850000000000001</v>
      </c>
      <c r="T753" s="8">
        <f>IF(Table1[[#This Row],[pledged]]=0,"no backers",Table1[[#This Row],[pledged]]/Table1[[#This Row],[backers_count]])</f>
        <v>57.338709677419352</v>
      </c>
      <c r="U753" t="str">
        <f>LEFT(Table1[[#This Row],[Category and Sub-Category]],FIND("/",Table1[[#This Row],[Category and Sub-Category]])-1)</f>
        <v>publishing</v>
      </c>
      <c r="V753" t="str">
        <f>RIGHT(Table1[[#This Row],[Category and Sub-Category]],LEN(Table1[[#This Row],[Category and Sub-Category]])-FIND("/",Table1[[#This Row],[Category and Sub-Category]]))</f>
        <v>nonfiction</v>
      </c>
    </row>
    <row r="754" spans="1:22" ht="57.6" x14ac:dyDescent="0.3">
      <c r="A754">
        <v>752</v>
      </c>
      <c r="B754" s="3" t="s">
        <v>753</v>
      </c>
      <c r="C754" s="3" t="s">
        <v>4862</v>
      </c>
      <c r="D754" s="12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>((Table1[[#This Row],[deadline]]/60)/60/24)+DATE(1970,1,1)</f>
        <v>42659.458333333328</v>
      </c>
      <c r="K754">
        <v>1474884417</v>
      </c>
      <c r="L754" s="11">
        <f>((Table1[[#This Row],[launched_at]]/60)/60/24)+DATE(1970,1,1)</f>
        <v>42639.421493055561</v>
      </c>
      <c r="M754">
        <f>MONTH(Table1[[#This Row],[Date Created Conversion]])</f>
        <v>9</v>
      </c>
      <c r="N754">
        <f>YEAR(Table1[[#This Row],[Date Created Conversion]])</f>
        <v>2016</v>
      </c>
      <c r="O754" t="b">
        <v>0</v>
      </c>
      <c r="P754">
        <v>105</v>
      </c>
      <c r="Q754" t="b">
        <v>1</v>
      </c>
      <c r="R754" t="s">
        <v>8274</v>
      </c>
      <c r="S754" s="6">
        <f>Table1[[#This Row],[pledged]]/Table1[[#This Row],[goal]]</f>
        <v>1.117</v>
      </c>
      <c r="T754" s="8">
        <f>IF(Table1[[#This Row],[pledged]]=0,"no backers",Table1[[#This Row],[pledged]]/Table1[[#This Row],[backers_count]])</f>
        <v>53.19047619047619</v>
      </c>
      <c r="U754" t="str">
        <f>LEFT(Table1[[#This Row],[Category and Sub-Category]],FIND("/",Table1[[#This Row],[Category and Sub-Category]])-1)</f>
        <v>publishing</v>
      </c>
      <c r="V754" t="str">
        <f>RIGHT(Table1[[#This Row],[Category and Sub-Category]],LEN(Table1[[#This Row],[Category and Sub-Category]])-FIND("/",Table1[[#This Row],[Category and Sub-Category]]))</f>
        <v>nonfiction</v>
      </c>
    </row>
    <row r="755" spans="1:22" ht="43.2" x14ac:dyDescent="0.3">
      <c r="A755">
        <v>753</v>
      </c>
      <c r="B755" s="3" t="s">
        <v>754</v>
      </c>
      <c r="C755" s="3" t="s">
        <v>4863</v>
      </c>
      <c r="D755" s="12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>((Table1[[#This Row],[deadline]]/60)/60/24)+DATE(1970,1,1)</f>
        <v>42049.590173611112</v>
      </c>
      <c r="K755">
        <v>1421330991</v>
      </c>
      <c r="L755" s="11">
        <f>((Table1[[#This Row],[launched_at]]/60)/60/24)+DATE(1970,1,1)</f>
        <v>42019.590173611112</v>
      </c>
      <c r="M755">
        <f>MONTH(Table1[[#This Row],[Date Created Conversion]])</f>
        <v>1</v>
      </c>
      <c r="N755">
        <f>YEAR(Table1[[#This Row],[Date Created Conversion]])</f>
        <v>2015</v>
      </c>
      <c r="O755" t="b">
        <v>0</v>
      </c>
      <c r="P755">
        <v>26</v>
      </c>
      <c r="Q755" t="b">
        <v>1</v>
      </c>
      <c r="R755" t="s">
        <v>8274</v>
      </c>
      <c r="S755" s="6">
        <f>Table1[[#This Row],[pledged]]/Table1[[#This Row],[goal]]</f>
        <v>1.28</v>
      </c>
      <c r="T755" s="8">
        <f>IF(Table1[[#This Row],[pledged]]=0,"no backers",Table1[[#This Row],[pledged]]/Table1[[#This Row],[backers_count]])</f>
        <v>492.30769230769232</v>
      </c>
      <c r="U755" t="str">
        <f>LEFT(Table1[[#This Row],[Category and Sub-Category]],FIND("/",Table1[[#This Row],[Category and Sub-Category]])-1)</f>
        <v>publishing</v>
      </c>
      <c r="V755" t="str">
        <f>RIGHT(Table1[[#This Row],[Category and Sub-Category]],LEN(Table1[[#This Row],[Category and Sub-Category]])-FIND("/",Table1[[#This Row],[Category and Sub-Category]]))</f>
        <v>nonfiction</v>
      </c>
    </row>
    <row r="756" spans="1:22" ht="43.2" x14ac:dyDescent="0.3">
      <c r="A756">
        <v>754</v>
      </c>
      <c r="B756" s="3" t="s">
        <v>755</v>
      </c>
      <c r="C756" s="3" t="s">
        <v>4864</v>
      </c>
      <c r="D756" s="12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>((Table1[[#This Row],[deadline]]/60)/60/24)+DATE(1970,1,1)</f>
        <v>41279.749085648145</v>
      </c>
      <c r="K756">
        <v>1354816721</v>
      </c>
      <c r="L756" s="11">
        <f>((Table1[[#This Row],[launched_at]]/60)/60/24)+DATE(1970,1,1)</f>
        <v>41249.749085648145</v>
      </c>
      <c r="M756">
        <f>MONTH(Table1[[#This Row],[Date Created Conversion]])</f>
        <v>12</v>
      </c>
      <c r="N756">
        <f>YEAR(Table1[[#This Row],[Date Created Conversion]])</f>
        <v>2012</v>
      </c>
      <c r="O756" t="b">
        <v>0</v>
      </c>
      <c r="P756">
        <v>49</v>
      </c>
      <c r="Q756" t="b">
        <v>1</v>
      </c>
      <c r="R756" t="s">
        <v>8274</v>
      </c>
      <c r="S756" s="6">
        <f>Table1[[#This Row],[pledged]]/Table1[[#This Row],[goal]]</f>
        <v>1.0375000000000001</v>
      </c>
      <c r="T756" s="8">
        <f>IF(Table1[[#This Row],[pledged]]=0,"no backers",Table1[[#This Row],[pledged]]/Table1[[#This Row],[backers_count]])</f>
        <v>42.346938775510203</v>
      </c>
      <c r="U756" t="str">
        <f>LEFT(Table1[[#This Row],[Category and Sub-Category]],FIND("/",Table1[[#This Row],[Category and Sub-Category]])-1)</f>
        <v>publishing</v>
      </c>
      <c r="V756" t="str">
        <f>RIGHT(Table1[[#This Row],[Category and Sub-Category]],LEN(Table1[[#This Row],[Category and Sub-Category]])-FIND("/",Table1[[#This Row],[Category and Sub-Category]]))</f>
        <v>nonfiction</v>
      </c>
    </row>
    <row r="757" spans="1:22" ht="43.2" x14ac:dyDescent="0.3">
      <c r="A757">
        <v>755</v>
      </c>
      <c r="B757" s="3" t="s">
        <v>756</v>
      </c>
      <c r="C757" s="3" t="s">
        <v>4865</v>
      </c>
      <c r="D757" s="12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>((Table1[[#This Row],[deadline]]/60)/60/24)+DATE(1970,1,1)</f>
        <v>41414.02847222222</v>
      </c>
      <c r="K757">
        <v>1366381877</v>
      </c>
      <c r="L757" s="11">
        <f>((Table1[[#This Row],[launched_at]]/60)/60/24)+DATE(1970,1,1)</f>
        <v>41383.605057870373</v>
      </c>
      <c r="M757">
        <f>MONTH(Table1[[#This Row],[Date Created Conversion]])</f>
        <v>4</v>
      </c>
      <c r="N757">
        <f>YEAR(Table1[[#This Row],[Date Created Conversion]])</f>
        <v>2013</v>
      </c>
      <c r="O757" t="b">
        <v>0</v>
      </c>
      <c r="P757">
        <v>68</v>
      </c>
      <c r="Q757" t="b">
        <v>1</v>
      </c>
      <c r="R757" t="s">
        <v>8274</v>
      </c>
      <c r="S757" s="6">
        <f>Table1[[#This Row],[pledged]]/Table1[[#This Row],[goal]]</f>
        <v>1.0190760000000001</v>
      </c>
      <c r="T757" s="8">
        <f>IF(Table1[[#This Row],[pledged]]=0,"no backers",Table1[[#This Row],[pledged]]/Table1[[#This Row],[backers_count]])</f>
        <v>37.466029411764708</v>
      </c>
      <c r="U757" t="str">
        <f>LEFT(Table1[[#This Row],[Category and Sub-Category]],FIND("/",Table1[[#This Row],[Category and Sub-Category]])-1)</f>
        <v>publishing</v>
      </c>
      <c r="V757" t="str">
        <f>RIGHT(Table1[[#This Row],[Category and Sub-Category]],LEN(Table1[[#This Row],[Category and Sub-Category]])-FIND("/",Table1[[#This Row],[Category and Sub-Category]]))</f>
        <v>nonfiction</v>
      </c>
    </row>
    <row r="758" spans="1:22" ht="43.2" x14ac:dyDescent="0.3">
      <c r="A758">
        <v>756</v>
      </c>
      <c r="B758" s="3" t="s">
        <v>757</v>
      </c>
      <c r="C758" s="3" t="s">
        <v>4866</v>
      </c>
      <c r="D758" s="12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>((Table1[[#This Row],[deadline]]/60)/60/24)+DATE(1970,1,1)</f>
        <v>40651.725219907406</v>
      </c>
      <c r="K758">
        <v>1297880659</v>
      </c>
      <c r="L758" s="11">
        <f>((Table1[[#This Row],[launched_at]]/60)/60/24)+DATE(1970,1,1)</f>
        <v>40590.766886574071</v>
      </c>
      <c r="M758">
        <f>MONTH(Table1[[#This Row],[Date Created Conversion]])</f>
        <v>2</v>
      </c>
      <c r="N758">
        <f>YEAR(Table1[[#This Row],[Date Created Conversion]])</f>
        <v>2011</v>
      </c>
      <c r="O758" t="b">
        <v>0</v>
      </c>
      <c r="P758">
        <v>22</v>
      </c>
      <c r="Q758" t="b">
        <v>1</v>
      </c>
      <c r="R758" t="s">
        <v>8274</v>
      </c>
      <c r="S758" s="6">
        <f>Table1[[#This Row],[pledged]]/Table1[[#This Row],[goal]]</f>
        <v>1.177142857142857</v>
      </c>
      <c r="T758" s="8">
        <f>IF(Table1[[#This Row],[pledged]]=0,"no backers",Table1[[#This Row],[pledged]]/Table1[[#This Row],[backers_count]])</f>
        <v>37.454545454545453</v>
      </c>
      <c r="U758" t="str">
        <f>LEFT(Table1[[#This Row],[Category and Sub-Category]],FIND("/",Table1[[#This Row],[Category and Sub-Category]])-1)</f>
        <v>publishing</v>
      </c>
      <c r="V758" t="str">
        <f>RIGHT(Table1[[#This Row],[Category and Sub-Category]],LEN(Table1[[#This Row],[Category and Sub-Category]])-FIND("/",Table1[[#This Row],[Category and Sub-Category]]))</f>
        <v>nonfiction</v>
      </c>
    </row>
    <row r="759" spans="1:22" ht="43.2" x14ac:dyDescent="0.3">
      <c r="A759">
        <v>757</v>
      </c>
      <c r="B759" s="3" t="s">
        <v>758</v>
      </c>
      <c r="C759" s="3" t="s">
        <v>4867</v>
      </c>
      <c r="D759" s="12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>((Table1[[#This Row],[deadline]]/60)/60/24)+DATE(1970,1,1)</f>
        <v>41249.054560185185</v>
      </c>
      <c r="K759">
        <v>1353547114</v>
      </c>
      <c r="L759" s="11">
        <f>((Table1[[#This Row],[launched_at]]/60)/60/24)+DATE(1970,1,1)</f>
        <v>41235.054560185185</v>
      </c>
      <c r="M759">
        <f>MONTH(Table1[[#This Row],[Date Created Conversion]])</f>
        <v>11</v>
      </c>
      <c r="N759">
        <f>YEAR(Table1[[#This Row],[Date Created Conversion]])</f>
        <v>2012</v>
      </c>
      <c r="O759" t="b">
        <v>0</v>
      </c>
      <c r="P759">
        <v>18</v>
      </c>
      <c r="Q759" t="b">
        <v>1</v>
      </c>
      <c r="R759" t="s">
        <v>8274</v>
      </c>
      <c r="S759" s="6">
        <f>Table1[[#This Row],[pledged]]/Table1[[#This Row],[goal]]</f>
        <v>2.38</v>
      </c>
      <c r="T759" s="8">
        <f>IF(Table1[[#This Row],[pledged]]=0,"no backers",Table1[[#This Row],[pledged]]/Table1[[#This Row],[backers_count]])</f>
        <v>33.055555555555557</v>
      </c>
      <c r="U759" t="str">
        <f>LEFT(Table1[[#This Row],[Category and Sub-Category]],FIND("/",Table1[[#This Row],[Category and Sub-Category]])-1)</f>
        <v>publishing</v>
      </c>
      <c r="V759" t="str">
        <f>RIGHT(Table1[[#This Row],[Category and Sub-Category]],LEN(Table1[[#This Row],[Category and Sub-Category]])-FIND("/",Table1[[#This Row],[Category and Sub-Category]]))</f>
        <v>nonfiction</v>
      </c>
    </row>
    <row r="760" spans="1:22" ht="28.8" x14ac:dyDescent="0.3">
      <c r="A760">
        <v>758</v>
      </c>
      <c r="B760" s="3" t="s">
        <v>759</v>
      </c>
      <c r="C760" s="3" t="s">
        <v>4868</v>
      </c>
      <c r="D760" s="12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>((Table1[[#This Row],[deadline]]/60)/60/24)+DATE(1970,1,1)</f>
        <v>40459.836435185185</v>
      </c>
      <c r="K760">
        <v>1283976268</v>
      </c>
      <c r="L760" s="11">
        <f>((Table1[[#This Row],[launched_at]]/60)/60/24)+DATE(1970,1,1)</f>
        <v>40429.836435185185</v>
      </c>
      <c r="M760">
        <f>MONTH(Table1[[#This Row],[Date Created Conversion]])</f>
        <v>9</v>
      </c>
      <c r="N760">
        <f>YEAR(Table1[[#This Row],[Date Created Conversion]])</f>
        <v>2010</v>
      </c>
      <c r="O760" t="b">
        <v>0</v>
      </c>
      <c r="P760">
        <v>19</v>
      </c>
      <c r="Q760" t="b">
        <v>1</v>
      </c>
      <c r="R760" t="s">
        <v>8274</v>
      </c>
      <c r="S760" s="6">
        <f>Table1[[#This Row],[pledged]]/Table1[[#This Row],[goal]]</f>
        <v>1.02</v>
      </c>
      <c r="T760" s="8">
        <f>IF(Table1[[#This Row],[pledged]]=0,"no backers",Table1[[#This Row],[pledged]]/Table1[[#This Row],[backers_count]])</f>
        <v>134.21052631578948</v>
      </c>
      <c r="U760" t="str">
        <f>LEFT(Table1[[#This Row],[Category and Sub-Category]],FIND("/",Table1[[#This Row],[Category and Sub-Category]])-1)</f>
        <v>publishing</v>
      </c>
      <c r="V760" t="str">
        <f>RIGHT(Table1[[#This Row],[Category and Sub-Category]],LEN(Table1[[#This Row],[Category and Sub-Category]])-FIND("/",Table1[[#This Row],[Category and Sub-Category]]))</f>
        <v>nonfiction</v>
      </c>
    </row>
    <row r="761" spans="1:22" ht="43.2" x14ac:dyDescent="0.3">
      <c r="A761">
        <v>759</v>
      </c>
      <c r="B761" s="3" t="s">
        <v>760</v>
      </c>
      <c r="C761" s="3" t="s">
        <v>4869</v>
      </c>
      <c r="D761" s="12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>((Table1[[#This Row],[deadline]]/60)/60/24)+DATE(1970,1,1)</f>
        <v>41829.330312500002</v>
      </c>
      <c r="K761">
        <v>1401436539</v>
      </c>
      <c r="L761" s="11">
        <f>((Table1[[#This Row],[launched_at]]/60)/60/24)+DATE(1970,1,1)</f>
        <v>41789.330312500002</v>
      </c>
      <c r="M761">
        <f>MONTH(Table1[[#This Row],[Date Created Conversion]])</f>
        <v>5</v>
      </c>
      <c r="N761">
        <f>YEAR(Table1[[#This Row],[Date Created Conversion]])</f>
        <v>2014</v>
      </c>
      <c r="O761" t="b">
        <v>0</v>
      </c>
      <c r="P761">
        <v>99</v>
      </c>
      <c r="Q761" t="b">
        <v>1</v>
      </c>
      <c r="R761" t="s">
        <v>8274</v>
      </c>
      <c r="S761" s="6">
        <f>Table1[[#This Row],[pledged]]/Table1[[#This Row],[goal]]</f>
        <v>1.0192000000000001</v>
      </c>
      <c r="T761" s="8">
        <f>IF(Table1[[#This Row],[pledged]]=0,"no backers",Table1[[#This Row],[pledged]]/Table1[[#This Row],[backers_count]])</f>
        <v>51.474747474747474</v>
      </c>
      <c r="U761" t="str">
        <f>LEFT(Table1[[#This Row],[Category and Sub-Category]],FIND("/",Table1[[#This Row],[Category and Sub-Category]])-1)</f>
        <v>publishing</v>
      </c>
      <c r="V761" t="str">
        <f>RIGHT(Table1[[#This Row],[Category and Sub-Category]],LEN(Table1[[#This Row],[Category and Sub-Category]])-FIND("/",Table1[[#This Row],[Category and Sub-Category]]))</f>
        <v>nonfiction</v>
      </c>
    </row>
    <row r="762" spans="1:22" ht="43.2" x14ac:dyDescent="0.3">
      <c r="A762">
        <v>760</v>
      </c>
      <c r="B762" s="3" t="s">
        <v>761</v>
      </c>
      <c r="C762" s="3" t="s">
        <v>4870</v>
      </c>
      <c r="D762" s="1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>((Table1[[#This Row],[deadline]]/60)/60/24)+DATE(1970,1,1)</f>
        <v>42700.805706018517</v>
      </c>
      <c r="K762">
        <v>1477592413</v>
      </c>
      <c r="L762" s="11">
        <f>((Table1[[#This Row],[launched_at]]/60)/60/24)+DATE(1970,1,1)</f>
        <v>42670.764039351852</v>
      </c>
      <c r="M762">
        <f>MONTH(Table1[[#This Row],[Date Created Conversion]])</f>
        <v>10</v>
      </c>
      <c r="N762">
        <f>YEAR(Table1[[#This Row],[Date Created Conversion]])</f>
        <v>2016</v>
      </c>
      <c r="O762" t="b">
        <v>0</v>
      </c>
      <c r="P762">
        <v>0</v>
      </c>
      <c r="Q762" t="b">
        <v>0</v>
      </c>
      <c r="R762" t="s">
        <v>8275</v>
      </c>
      <c r="S762" s="6">
        <f>Table1[[#This Row],[pledged]]/Table1[[#This Row],[goal]]</f>
        <v>0</v>
      </c>
      <c r="T762" s="8" t="str">
        <f>IF(Table1[[#This Row],[pledged]]=0,"no backers",Table1[[#This Row],[pledged]]/Table1[[#This Row],[backers_count]])</f>
        <v>no backers</v>
      </c>
      <c r="U762" t="str">
        <f>LEFT(Table1[[#This Row],[Category and Sub-Category]],FIND("/",Table1[[#This Row],[Category and Sub-Category]])-1)</f>
        <v>publishing</v>
      </c>
      <c r="V762" t="str">
        <f>RIGHT(Table1[[#This Row],[Category and Sub-Category]],LEN(Table1[[#This Row],[Category and Sub-Category]])-FIND("/",Table1[[#This Row],[Category and Sub-Category]]))</f>
        <v>fiction</v>
      </c>
    </row>
    <row r="763" spans="1:22" ht="43.2" x14ac:dyDescent="0.3">
      <c r="A763">
        <v>761</v>
      </c>
      <c r="B763" s="3" t="s">
        <v>762</v>
      </c>
      <c r="C763" s="3" t="s">
        <v>4871</v>
      </c>
      <c r="D763" s="12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>((Table1[[#This Row],[deadline]]/60)/60/24)+DATE(1970,1,1)</f>
        <v>41672.751458333332</v>
      </c>
      <c r="K763">
        <v>1388772126</v>
      </c>
      <c r="L763" s="11">
        <f>((Table1[[#This Row],[launched_at]]/60)/60/24)+DATE(1970,1,1)</f>
        <v>41642.751458333332</v>
      </c>
      <c r="M763">
        <f>MONTH(Table1[[#This Row],[Date Created Conversion]])</f>
        <v>1</v>
      </c>
      <c r="N763">
        <f>YEAR(Table1[[#This Row],[Date Created Conversion]])</f>
        <v>2014</v>
      </c>
      <c r="O763" t="b">
        <v>0</v>
      </c>
      <c r="P763">
        <v>6</v>
      </c>
      <c r="Q763" t="b">
        <v>0</v>
      </c>
      <c r="R763" t="s">
        <v>8275</v>
      </c>
      <c r="S763" s="6">
        <f>Table1[[#This Row],[pledged]]/Table1[[#This Row],[goal]]</f>
        <v>4.7E-2</v>
      </c>
      <c r="T763" s="8">
        <f>IF(Table1[[#This Row],[pledged]]=0,"no backers",Table1[[#This Row],[pledged]]/Table1[[#This Row],[backers_count]])</f>
        <v>39.166666666666664</v>
      </c>
      <c r="U763" t="str">
        <f>LEFT(Table1[[#This Row],[Category and Sub-Category]],FIND("/",Table1[[#This Row],[Category and Sub-Category]])-1)</f>
        <v>publishing</v>
      </c>
      <c r="V763" t="str">
        <f>RIGHT(Table1[[#This Row],[Category and Sub-Category]],LEN(Table1[[#This Row],[Category and Sub-Category]])-FIND("/",Table1[[#This Row],[Category and Sub-Category]]))</f>
        <v>fiction</v>
      </c>
    </row>
    <row r="764" spans="1:22" ht="43.2" x14ac:dyDescent="0.3">
      <c r="A764">
        <v>762</v>
      </c>
      <c r="B764" s="3" t="s">
        <v>763</v>
      </c>
      <c r="C764" s="3" t="s">
        <v>4872</v>
      </c>
      <c r="D764" s="12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>((Table1[[#This Row],[deadline]]/60)/60/24)+DATE(1970,1,1)</f>
        <v>42708.25</v>
      </c>
      <c r="K764">
        <v>1479328570</v>
      </c>
      <c r="L764" s="11">
        <f>((Table1[[#This Row],[launched_at]]/60)/60/24)+DATE(1970,1,1)</f>
        <v>42690.858449074076</v>
      </c>
      <c r="M764">
        <f>MONTH(Table1[[#This Row],[Date Created Conversion]])</f>
        <v>11</v>
      </c>
      <c r="N764">
        <f>YEAR(Table1[[#This Row],[Date Created Conversion]])</f>
        <v>2016</v>
      </c>
      <c r="O764" t="b">
        <v>0</v>
      </c>
      <c r="P764">
        <v>0</v>
      </c>
      <c r="Q764" t="b">
        <v>0</v>
      </c>
      <c r="R764" t="s">
        <v>8275</v>
      </c>
      <c r="S764" s="6">
        <f>Table1[[#This Row],[pledged]]/Table1[[#This Row],[goal]]</f>
        <v>0</v>
      </c>
      <c r="T764" s="8" t="str">
        <f>IF(Table1[[#This Row],[pledged]]=0,"no backers",Table1[[#This Row],[pledged]]/Table1[[#This Row],[backers_count]])</f>
        <v>no backers</v>
      </c>
      <c r="U764" t="str">
        <f>LEFT(Table1[[#This Row],[Category and Sub-Category]],FIND("/",Table1[[#This Row],[Category and Sub-Category]])-1)</f>
        <v>publishing</v>
      </c>
      <c r="V764" t="str">
        <f>RIGHT(Table1[[#This Row],[Category and Sub-Category]],LEN(Table1[[#This Row],[Category and Sub-Category]])-FIND("/",Table1[[#This Row],[Category and Sub-Category]]))</f>
        <v>fiction</v>
      </c>
    </row>
    <row r="765" spans="1:22" ht="43.2" x14ac:dyDescent="0.3">
      <c r="A765">
        <v>763</v>
      </c>
      <c r="B765" s="3" t="s">
        <v>764</v>
      </c>
      <c r="C765" s="3" t="s">
        <v>4873</v>
      </c>
      <c r="D765" s="12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>((Table1[[#This Row],[deadline]]/60)/60/24)+DATE(1970,1,1)</f>
        <v>41501.446851851848</v>
      </c>
      <c r="K765">
        <v>1373971408</v>
      </c>
      <c r="L765" s="11">
        <f>((Table1[[#This Row],[launched_at]]/60)/60/24)+DATE(1970,1,1)</f>
        <v>41471.446851851848</v>
      </c>
      <c r="M765">
        <f>MONTH(Table1[[#This Row],[Date Created Conversion]])</f>
        <v>7</v>
      </c>
      <c r="N765">
        <f>YEAR(Table1[[#This Row],[Date Created Conversion]])</f>
        <v>2013</v>
      </c>
      <c r="O765" t="b">
        <v>0</v>
      </c>
      <c r="P765">
        <v>1</v>
      </c>
      <c r="Q765" t="b">
        <v>0</v>
      </c>
      <c r="R765" t="s">
        <v>8275</v>
      </c>
      <c r="S765" s="6">
        <f>Table1[[#This Row],[pledged]]/Table1[[#This Row],[goal]]</f>
        <v>1.1655011655011655E-3</v>
      </c>
      <c r="T765" s="8">
        <f>IF(Table1[[#This Row],[pledged]]=0,"no backers",Table1[[#This Row],[pledged]]/Table1[[#This Row],[backers_count]])</f>
        <v>5</v>
      </c>
      <c r="U765" t="str">
        <f>LEFT(Table1[[#This Row],[Category and Sub-Category]],FIND("/",Table1[[#This Row],[Category and Sub-Category]])-1)</f>
        <v>publishing</v>
      </c>
      <c r="V765" t="str">
        <f>RIGHT(Table1[[#This Row],[Category and Sub-Category]],LEN(Table1[[#This Row],[Category and Sub-Category]])-FIND("/",Table1[[#This Row],[Category and Sub-Category]]))</f>
        <v>fiction</v>
      </c>
    </row>
    <row r="766" spans="1:22" ht="43.2" x14ac:dyDescent="0.3">
      <c r="A766">
        <v>764</v>
      </c>
      <c r="B766" s="3" t="s">
        <v>765</v>
      </c>
      <c r="C766" s="3" t="s">
        <v>4874</v>
      </c>
      <c r="D766" s="12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>((Table1[[#This Row],[deadline]]/60)/60/24)+DATE(1970,1,1)</f>
        <v>42257.173159722224</v>
      </c>
      <c r="K766">
        <v>1439266161</v>
      </c>
      <c r="L766" s="11">
        <f>((Table1[[#This Row],[launched_at]]/60)/60/24)+DATE(1970,1,1)</f>
        <v>42227.173159722224</v>
      </c>
      <c r="M766">
        <f>MONTH(Table1[[#This Row],[Date Created Conversion]])</f>
        <v>8</v>
      </c>
      <c r="N766">
        <f>YEAR(Table1[[#This Row],[Date Created Conversion]])</f>
        <v>2015</v>
      </c>
      <c r="O766" t="b">
        <v>0</v>
      </c>
      <c r="P766">
        <v>0</v>
      </c>
      <c r="Q766" t="b">
        <v>0</v>
      </c>
      <c r="R766" t="s">
        <v>8275</v>
      </c>
      <c r="S766" s="6">
        <f>Table1[[#This Row],[pledged]]/Table1[[#This Row],[goal]]</f>
        <v>0</v>
      </c>
      <c r="T766" s="8" t="str">
        <f>IF(Table1[[#This Row],[pledged]]=0,"no backers",Table1[[#This Row],[pledged]]/Table1[[#This Row],[backers_count]])</f>
        <v>no backers</v>
      </c>
      <c r="U766" t="str">
        <f>LEFT(Table1[[#This Row],[Category and Sub-Category]],FIND("/",Table1[[#This Row],[Category and Sub-Category]])-1)</f>
        <v>publishing</v>
      </c>
      <c r="V766" t="str">
        <f>RIGHT(Table1[[#This Row],[Category and Sub-Category]],LEN(Table1[[#This Row],[Category and Sub-Category]])-FIND("/",Table1[[#This Row],[Category and Sub-Category]]))</f>
        <v>fiction</v>
      </c>
    </row>
    <row r="767" spans="1:22" ht="43.2" x14ac:dyDescent="0.3">
      <c r="A767">
        <v>765</v>
      </c>
      <c r="B767" s="3" t="s">
        <v>766</v>
      </c>
      <c r="C767" s="3" t="s">
        <v>4875</v>
      </c>
      <c r="D767" s="12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>((Table1[[#This Row],[deadline]]/60)/60/24)+DATE(1970,1,1)</f>
        <v>41931.542638888888</v>
      </c>
      <c r="K767">
        <v>1411131684</v>
      </c>
      <c r="L767" s="11">
        <f>((Table1[[#This Row],[launched_at]]/60)/60/24)+DATE(1970,1,1)</f>
        <v>41901.542638888888</v>
      </c>
      <c r="M767">
        <f>MONTH(Table1[[#This Row],[Date Created Conversion]])</f>
        <v>9</v>
      </c>
      <c r="N767">
        <f>YEAR(Table1[[#This Row],[Date Created Conversion]])</f>
        <v>2014</v>
      </c>
      <c r="O767" t="b">
        <v>0</v>
      </c>
      <c r="P767">
        <v>44</v>
      </c>
      <c r="Q767" t="b">
        <v>0</v>
      </c>
      <c r="R767" t="s">
        <v>8275</v>
      </c>
      <c r="S767" s="6">
        <f>Table1[[#This Row],[pledged]]/Table1[[#This Row],[goal]]</f>
        <v>0.36014285714285715</v>
      </c>
      <c r="T767" s="8">
        <f>IF(Table1[[#This Row],[pledged]]=0,"no backers",Table1[[#This Row],[pledged]]/Table1[[#This Row],[backers_count]])</f>
        <v>57.295454545454547</v>
      </c>
      <c r="U767" t="str">
        <f>LEFT(Table1[[#This Row],[Category and Sub-Category]],FIND("/",Table1[[#This Row],[Category and Sub-Category]])-1)</f>
        <v>publishing</v>
      </c>
      <c r="V767" t="str">
        <f>RIGHT(Table1[[#This Row],[Category and Sub-Category]],LEN(Table1[[#This Row],[Category and Sub-Category]])-FIND("/",Table1[[#This Row],[Category and Sub-Category]]))</f>
        <v>fiction</v>
      </c>
    </row>
    <row r="768" spans="1:22" ht="43.2" x14ac:dyDescent="0.3">
      <c r="A768">
        <v>766</v>
      </c>
      <c r="B768" s="3" t="s">
        <v>767</v>
      </c>
      <c r="C768" s="3" t="s">
        <v>4876</v>
      </c>
      <c r="D768" s="12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>((Table1[[#This Row],[deadline]]/60)/60/24)+DATE(1970,1,1)</f>
        <v>42051.783368055556</v>
      </c>
      <c r="K768">
        <v>1421520483</v>
      </c>
      <c r="L768" s="11">
        <f>((Table1[[#This Row],[launched_at]]/60)/60/24)+DATE(1970,1,1)</f>
        <v>42021.783368055556</v>
      </c>
      <c r="M768">
        <f>MONTH(Table1[[#This Row],[Date Created Conversion]])</f>
        <v>1</v>
      </c>
      <c r="N768">
        <f>YEAR(Table1[[#This Row],[Date Created Conversion]])</f>
        <v>2015</v>
      </c>
      <c r="O768" t="b">
        <v>0</v>
      </c>
      <c r="P768">
        <v>0</v>
      </c>
      <c r="Q768" t="b">
        <v>0</v>
      </c>
      <c r="R768" t="s">
        <v>8275</v>
      </c>
      <c r="S768" s="6">
        <f>Table1[[#This Row],[pledged]]/Table1[[#This Row],[goal]]</f>
        <v>0</v>
      </c>
      <c r="T768" s="8" t="str">
        <f>IF(Table1[[#This Row],[pledged]]=0,"no backers",Table1[[#This Row],[pledged]]/Table1[[#This Row],[backers_count]])</f>
        <v>no backers</v>
      </c>
      <c r="U768" t="str">
        <f>LEFT(Table1[[#This Row],[Category and Sub-Category]],FIND("/",Table1[[#This Row],[Category and Sub-Category]])-1)</f>
        <v>publishing</v>
      </c>
      <c r="V768" t="str">
        <f>RIGHT(Table1[[#This Row],[Category and Sub-Category]],LEN(Table1[[#This Row],[Category and Sub-Category]])-FIND("/",Table1[[#This Row],[Category and Sub-Category]]))</f>
        <v>fiction</v>
      </c>
    </row>
    <row r="769" spans="1:22" ht="57.6" x14ac:dyDescent="0.3">
      <c r="A769">
        <v>767</v>
      </c>
      <c r="B769" s="3" t="s">
        <v>768</v>
      </c>
      <c r="C769" s="3" t="s">
        <v>4877</v>
      </c>
      <c r="D769" s="12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>((Table1[[#This Row],[deadline]]/60)/60/24)+DATE(1970,1,1)</f>
        <v>42145.143634259264</v>
      </c>
      <c r="K769">
        <v>1429586810</v>
      </c>
      <c r="L769" s="11">
        <f>((Table1[[#This Row],[launched_at]]/60)/60/24)+DATE(1970,1,1)</f>
        <v>42115.143634259264</v>
      </c>
      <c r="M769">
        <f>MONTH(Table1[[#This Row],[Date Created Conversion]])</f>
        <v>4</v>
      </c>
      <c r="N769">
        <f>YEAR(Table1[[#This Row],[Date Created Conversion]])</f>
        <v>2015</v>
      </c>
      <c r="O769" t="b">
        <v>0</v>
      </c>
      <c r="P769">
        <v>3</v>
      </c>
      <c r="Q769" t="b">
        <v>0</v>
      </c>
      <c r="R769" t="s">
        <v>8275</v>
      </c>
      <c r="S769" s="6">
        <f>Table1[[#This Row],[pledged]]/Table1[[#This Row],[goal]]</f>
        <v>3.5400000000000001E-2</v>
      </c>
      <c r="T769" s="8">
        <f>IF(Table1[[#This Row],[pledged]]=0,"no backers",Table1[[#This Row],[pledged]]/Table1[[#This Row],[backers_count]])</f>
        <v>59</v>
      </c>
      <c r="U769" t="str">
        <f>LEFT(Table1[[#This Row],[Category and Sub-Category]],FIND("/",Table1[[#This Row],[Category and Sub-Category]])-1)</f>
        <v>publishing</v>
      </c>
      <c r="V769" t="str">
        <f>RIGHT(Table1[[#This Row],[Category and Sub-Category]],LEN(Table1[[#This Row],[Category and Sub-Category]])-FIND("/",Table1[[#This Row],[Category and Sub-Category]]))</f>
        <v>fiction</v>
      </c>
    </row>
    <row r="770" spans="1:22" ht="43.2" x14ac:dyDescent="0.3">
      <c r="A770">
        <v>768</v>
      </c>
      <c r="B770" s="3" t="s">
        <v>769</v>
      </c>
      <c r="C770" s="3" t="s">
        <v>4878</v>
      </c>
      <c r="D770" s="12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>((Table1[[#This Row],[deadline]]/60)/60/24)+DATE(1970,1,1)</f>
        <v>41624.207060185188</v>
      </c>
      <c r="K770">
        <v>1384577890</v>
      </c>
      <c r="L770" s="11">
        <f>((Table1[[#This Row],[launched_at]]/60)/60/24)+DATE(1970,1,1)</f>
        <v>41594.207060185188</v>
      </c>
      <c r="M770">
        <f>MONTH(Table1[[#This Row],[Date Created Conversion]])</f>
        <v>11</v>
      </c>
      <c r="N770">
        <f>YEAR(Table1[[#This Row],[Date Created Conversion]])</f>
        <v>2013</v>
      </c>
      <c r="O770" t="b">
        <v>0</v>
      </c>
      <c r="P770">
        <v>0</v>
      </c>
      <c r="Q770" t="b">
        <v>0</v>
      </c>
      <c r="R770" t="s">
        <v>8275</v>
      </c>
      <c r="S770" s="6">
        <f>Table1[[#This Row],[pledged]]/Table1[[#This Row],[goal]]</f>
        <v>0</v>
      </c>
      <c r="T770" s="8" t="str">
        <f>IF(Table1[[#This Row],[pledged]]=0,"no backers",Table1[[#This Row],[pledged]]/Table1[[#This Row],[backers_count]])</f>
        <v>no backers</v>
      </c>
      <c r="U770" t="str">
        <f>LEFT(Table1[[#This Row],[Category and Sub-Category]],FIND("/",Table1[[#This Row],[Category and Sub-Category]])-1)</f>
        <v>publishing</v>
      </c>
      <c r="V770" t="str">
        <f>RIGHT(Table1[[#This Row],[Category and Sub-Category]],LEN(Table1[[#This Row],[Category and Sub-Category]])-FIND("/",Table1[[#This Row],[Category and Sub-Category]]))</f>
        <v>fiction</v>
      </c>
    </row>
    <row r="771" spans="1:22" ht="57.6" x14ac:dyDescent="0.3">
      <c r="A771">
        <v>769</v>
      </c>
      <c r="B771" s="3" t="s">
        <v>770</v>
      </c>
      <c r="C771" s="3" t="s">
        <v>4879</v>
      </c>
      <c r="D771" s="12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>((Table1[[#This Row],[deadline]]/60)/60/24)+DATE(1970,1,1)</f>
        <v>41634.996458333335</v>
      </c>
      <c r="K771">
        <v>1385510094</v>
      </c>
      <c r="L771" s="11">
        <f>((Table1[[#This Row],[launched_at]]/60)/60/24)+DATE(1970,1,1)</f>
        <v>41604.996458333335</v>
      </c>
      <c r="M771">
        <f>MONTH(Table1[[#This Row],[Date Created Conversion]])</f>
        <v>11</v>
      </c>
      <c r="N771">
        <f>YEAR(Table1[[#This Row],[Date Created Conversion]])</f>
        <v>2013</v>
      </c>
      <c r="O771" t="b">
        <v>0</v>
      </c>
      <c r="P771">
        <v>52</v>
      </c>
      <c r="Q771" t="b">
        <v>0</v>
      </c>
      <c r="R771" t="s">
        <v>8275</v>
      </c>
      <c r="S771" s="6">
        <f>Table1[[#This Row],[pledged]]/Table1[[#This Row],[goal]]</f>
        <v>0.41399999999999998</v>
      </c>
      <c r="T771" s="8">
        <f>IF(Table1[[#This Row],[pledged]]=0,"no backers",Table1[[#This Row],[pledged]]/Table1[[#This Row],[backers_count]])</f>
        <v>31.846153846153847</v>
      </c>
      <c r="U771" t="str">
        <f>LEFT(Table1[[#This Row],[Category and Sub-Category]],FIND("/",Table1[[#This Row],[Category and Sub-Category]])-1)</f>
        <v>publishing</v>
      </c>
      <c r="V771" t="str">
        <f>RIGHT(Table1[[#This Row],[Category and Sub-Category]],LEN(Table1[[#This Row],[Category and Sub-Category]])-FIND("/",Table1[[#This Row],[Category and Sub-Category]]))</f>
        <v>fiction</v>
      </c>
    </row>
    <row r="772" spans="1:22" ht="43.2" x14ac:dyDescent="0.3">
      <c r="A772">
        <v>770</v>
      </c>
      <c r="B772" s="3" t="s">
        <v>771</v>
      </c>
      <c r="C772" s="3" t="s">
        <v>4880</v>
      </c>
      <c r="D772" s="1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>((Table1[[#This Row],[deadline]]/60)/60/24)+DATE(1970,1,1)</f>
        <v>41329.999641203707</v>
      </c>
      <c r="K772">
        <v>1358294369</v>
      </c>
      <c r="L772" s="11">
        <f>((Table1[[#This Row],[launched_at]]/60)/60/24)+DATE(1970,1,1)</f>
        <v>41289.999641203707</v>
      </c>
      <c r="M772">
        <f>MONTH(Table1[[#This Row],[Date Created Conversion]])</f>
        <v>1</v>
      </c>
      <c r="N772">
        <f>YEAR(Table1[[#This Row],[Date Created Conversion]])</f>
        <v>2013</v>
      </c>
      <c r="O772" t="b">
        <v>0</v>
      </c>
      <c r="P772">
        <v>0</v>
      </c>
      <c r="Q772" t="b">
        <v>0</v>
      </c>
      <c r="R772" t="s">
        <v>8275</v>
      </c>
      <c r="S772" s="6">
        <f>Table1[[#This Row],[pledged]]/Table1[[#This Row],[goal]]</f>
        <v>0</v>
      </c>
      <c r="T772" s="8" t="str">
        <f>IF(Table1[[#This Row],[pledged]]=0,"no backers",Table1[[#This Row],[pledged]]/Table1[[#This Row],[backers_count]])</f>
        <v>no backers</v>
      </c>
      <c r="U772" t="str">
        <f>LEFT(Table1[[#This Row],[Category and Sub-Category]],FIND("/",Table1[[#This Row],[Category and Sub-Category]])-1)</f>
        <v>publishing</v>
      </c>
      <c r="V772" t="str">
        <f>RIGHT(Table1[[#This Row],[Category and Sub-Category]],LEN(Table1[[#This Row],[Category and Sub-Category]])-FIND("/",Table1[[#This Row],[Category and Sub-Category]]))</f>
        <v>fiction</v>
      </c>
    </row>
    <row r="773" spans="1:22" ht="43.2" x14ac:dyDescent="0.3">
      <c r="A773">
        <v>771</v>
      </c>
      <c r="B773" s="3" t="s">
        <v>772</v>
      </c>
      <c r="C773" s="3" t="s">
        <v>4881</v>
      </c>
      <c r="D773" s="12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>((Table1[[#This Row],[deadline]]/60)/60/24)+DATE(1970,1,1)</f>
        <v>42399.824097222227</v>
      </c>
      <c r="K773">
        <v>1449863202</v>
      </c>
      <c r="L773" s="11">
        <f>((Table1[[#This Row],[launched_at]]/60)/60/24)+DATE(1970,1,1)</f>
        <v>42349.824097222227</v>
      </c>
      <c r="M773">
        <f>MONTH(Table1[[#This Row],[Date Created Conversion]])</f>
        <v>12</v>
      </c>
      <c r="N773">
        <f>YEAR(Table1[[#This Row],[Date Created Conversion]])</f>
        <v>2015</v>
      </c>
      <c r="O773" t="b">
        <v>0</v>
      </c>
      <c r="P773">
        <v>1</v>
      </c>
      <c r="Q773" t="b">
        <v>0</v>
      </c>
      <c r="R773" t="s">
        <v>8275</v>
      </c>
      <c r="S773" s="6">
        <f>Table1[[#This Row],[pledged]]/Table1[[#This Row],[goal]]</f>
        <v>2.631578947368421E-4</v>
      </c>
      <c r="T773" s="8">
        <f>IF(Table1[[#This Row],[pledged]]=0,"no backers",Table1[[#This Row],[pledged]]/Table1[[#This Row],[backers_count]])</f>
        <v>10</v>
      </c>
      <c r="U773" t="str">
        <f>LEFT(Table1[[#This Row],[Category and Sub-Category]],FIND("/",Table1[[#This Row],[Category and Sub-Category]])-1)</f>
        <v>publishing</v>
      </c>
      <c r="V773" t="str">
        <f>RIGHT(Table1[[#This Row],[Category and Sub-Category]],LEN(Table1[[#This Row],[Category and Sub-Category]])-FIND("/",Table1[[#This Row],[Category and Sub-Category]]))</f>
        <v>fiction</v>
      </c>
    </row>
    <row r="774" spans="1:22" ht="57.6" x14ac:dyDescent="0.3">
      <c r="A774">
        <v>772</v>
      </c>
      <c r="B774" s="3" t="s">
        <v>773</v>
      </c>
      <c r="C774" s="3" t="s">
        <v>4882</v>
      </c>
      <c r="D774" s="12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>((Table1[[#This Row],[deadline]]/60)/60/24)+DATE(1970,1,1)</f>
        <v>40118.165972222225</v>
      </c>
      <c r="K774">
        <v>1252718519</v>
      </c>
      <c r="L774" s="11">
        <f>((Table1[[#This Row],[launched_at]]/60)/60/24)+DATE(1970,1,1)</f>
        <v>40068.056932870371</v>
      </c>
      <c r="M774">
        <f>MONTH(Table1[[#This Row],[Date Created Conversion]])</f>
        <v>9</v>
      </c>
      <c r="N774">
        <f>YEAR(Table1[[#This Row],[Date Created Conversion]])</f>
        <v>2009</v>
      </c>
      <c r="O774" t="b">
        <v>0</v>
      </c>
      <c r="P774">
        <v>1</v>
      </c>
      <c r="Q774" t="b">
        <v>0</v>
      </c>
      <c r="R774" t="s">
        <v>8275</v>
      </c>
      <c r="S774" s="6">
        <f>Table1[[#This Row],[pledged]]/Table1[[#This Row],[goal]]</f>
        <v>3.3333333333333333E-2</v>
      </c>
      <c r="T774" s="8">
        <f>IF(Table1[[#This Row],[pledged]]=0,"no backers",Table1[[#This Row],[pledged]]/Table1[[#This Row],[backers_count]])</f>
        <v>50</v>
      </c>
      <c r="U774" t="str">
        <f>LEFT(Table1[[#This Row],[Category and Sub-Category]],FIND("/",Table1[[#This Row],[Category and Sub-Category]])-1)</f>
        <v>publishing</v>
      </c>
      <c r="V774" t="str">
        <f>RIGHT(Table1[[#This Row],[Category and Sub-Category]],LEN(Table1[[#This Row],[Category and Sub-Category]])-FIND("/",Table1[[#This Row],[Category and Sub-Category]]))</f>
        <v>fiction</v>
      </c>
    </row>
    <row r="775" spans="1:22" ht="43.2" x14ac:dyDescent="0.3">
      <c r="A775">
        <v>773</v>
      </c>
      <c r="B775" s="3" t="s">
        <v>774</v>
      </c>
      <c r="C775" s="3" t="s">
        <v>4883</v>
      </c>
      <c r="D775" s="12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>((Table1[[#This Row],[deadline]]/60)/60/24)+DATE(1970,1,1)</f>
        <v>42134.959027777775</v>
      </c>
      <c r="K775">
        <v>1428341985</v>
      </c>
      <c r="L775" s="11">
        <f>((Table1[[#This Row],[launched_at]]/60)/60/24)+DATE(1970,1,1)</f>
        <v>42100.735937499994</v>
      </c>
      <c r="M775">
        <f>MONTH(Table1[[#This Row],[Date Created Conversion]])</f>
        <v>4</v>
      </c>
      <c r="N775">
        <f>YEAR(Table1[[#This Row],[Date Created Conversion]])</f>
        <v>2015</v>
      </c>
      <c r="O775" t="b">
        <v>0</v>
      </c>
      <c r="P775">
        <v>2</v>
      </c>
      <c r="Q775" t="b">
        <v>0</v>
      </c>
      <c r="R775" t="s">
        <v>8275</v>
      </c>
      <c r="S775" s="6">
        <f>Table1[[#This Row],[pledged]]/Table1[[#This Row],[goal]]</f>
        <v>8.5129023676509714E-3</v>
      </c>
      <c r="T775" s="8">
        <f>IF(Table1[[#This Row],[pledged]]=0,"no backers",Table1[[#This Row],[pledged]]/Table1[[#This Row],[backers_count]])</f>
        <v>16</v>
      </c>
      <c r="U775" t="str">
        <f>LEFT(Table1[[#This Row],[Category and Sub-Category]],FIND("/",Table1[[#This Row],[Category and Sub-Category]])-1)</f>
        <v>publishing</v>
      </c>
      <c r="V775" t="str">
        <f>RIGHT(Table1[[#This Row],[Category and Sub-Category]],LEN(Table1[[#This Row],[Category and Sub-Category]])-FIND("/",Table1[[#This Row],[Category and Sub-Category]]))</f>
        <v>fiction</v>
      </c>
    </row>
    <row r="776" spans="1:22" ht="43.2" x14ac:dyDescent="0.3">
      <c r="A776">
        <v>774</v>
      </c>
      <c r="B776" s="3" t="s">
        <v>775</v>
      </c>
      <c r="C776" s="3" t="s">
        <v>4884</v>
      </c>
      <c r="D776" s="12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>((Table1[[#This Row],[deadline]]/60)/60/24)+DATE(1970,1,1)</f>
        <v>41693.780300925922</v>
      </c>
      <c r="K776">
        <v>1390589018</v>
      </c>
      <c r="L776" s="11">
        <f>((Table1[[#This Row],[launched_at]]/60)/60/24)+DATE(1970,1,1)</f>
        <v>41663.780300925922</v>
      </c>
      <c r="M776">
        <f>MONTH(Table1[[#This Row],[Date Created Conversion]])</f>
        <v>1</v>
      </c>
      <c r="N776">
        <f>YEAR(Table1[[#This Row],[Date Created Conversion]])</f>
        <v>2014</v>
      </c>
      <c r="O776" t="b">
        <v>0</v>
      </c>
      <c r="P776">
        <v>9</v>
      </c>
      <c r="Q776" t="b">
        <v>0</v>
      </c>
      <c r="R776" t="s">
        <v>8275</v>
      </c>
      <c r="S776" s="6">
        <f>Table1[[#This Row],[pledged]]/Table1[[#This Row],[goal]]</f>
        <v>0.70199999999999996</v>
      </c>
      <c r="T776" s="8">
        <f>IF(Table1[[#This Row],[pledged]]=0,"no backers",Table1[[#This Row],[pledged]]/Table1[[#This Row],[backers_count]])</f>
        <v>39</v>
      </c>
      <c r="U776" t="str">
        <f>LEFT(Table1[[#This Row],[Category and Sub-Category]],FIND("/",Table1[[#This Row],[Category and Sub-Category]])-1)</f>
        <v>publishing</v>
      </c>
      <c r="V776" t="str">
        <f>RIGHT(Table1[[#This Row],[Category and Sub-Category]],LEN(Table1[[#This Row],[Category and Sub-Category]])-FIND("/",Table1[[#This Row],[Category and Sub-Category]]))</f>
        <v>fiction</v>
      </c>
    </row>
    <row r="777" spans="1:22" ht="43.2" x14ac:dyDescent="0.3">
      <c r="A777">
        <v>775</v>
      </c>
      <c r="B777" s="3" t="s">
        <v>776</v>
      </c>
      <c r="C777" s="3" t="s">
        <v>4885</v>
      </c>
      <c r="D777" s="12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>((Table1[[#This Row],[deadline]]/60)/60/24)+DATE(1970,1,1)</f>
        <v>40893.060127314813</v>
      </c>
      <c r="K777">
        <v>1321406795</v>
      </c>
      <c r="L777" s="11">
        <f>((Table1[[#This Row],[launched_at]]/60)/60/24)+DATE(1970,1,1)</f>
        <v>40863.060127314813</v>
      </c>
      <c r="M777">
        <f>MONTH(Table1[[#This Row],[Date Created Conversion]])</f>
        <v>11</v>
      </c>
      <c r="N777">
        <f>YEAR(Table1[[#This Row],[Date Created Conversion]])</f>
        <v>2011</v>
      </c>
      <c r="O777" t="b">
        <v>0</v>
      </c>
      <c r="P777">
        <v>5</v>
      </c>
      <c r="Q777" t="b">
        <v>0</v>
      </c>
      <c r="R777" t="s">
        <v>8275</v>
      </c>
      <c r="S777" s="6">
        <f>Table1[[#This Row],[pledged]]/Table1[[#This Row],[goal]]</f>
        <v>1.7000000000000001E-2</v>
      </c>
      <c r="T777" s="8">
        <f>IF(Table1[[#This Row],[pledged]]=0,"no backers",Table1[[#This Row],[pledged]]/Table1[[#This Row],[backers_count]])</f>
        <v>34</v>
      </c>
      <c r="U777" t="str">
        <f>LEFT(Table1[[#This Row],[Category and Sub-Category]],FIND("/",Table1[[#This Row],[Category and Sub-Category]])-1)</f>
        <v>publishing</v>
      </c>
      <c r="V777" t="str">
        <f>RIGHT(Table1[[#This Row],[Category and Sub-Category]],LEN(Table1[[#This Row],[Category and Sub-Category]])-FIND("/",Table1[[#This Row],[Category and Sub-Category]]))</f>
        <v>fiction</v>
      </c>
    </row>
    <row r="778" spans="1:22" ht="43.2" x14ac:dyDescent="0.3">
      <c r="A778">
        <v>776</v>
      </c>
      <c r="B778" s="3" t="s">
        <v>777</v>
      </c>
      <c r="C778" s="3" t="s">
        <v>4886</v>
      </c>
      <c r="D778" s="12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>((Table1[[#This Row],[deadline]]/60)/60/24)+DATE(1970,1,1)</f>
        <v>42288.208333333328</v>
      </c>
      <c r="K778">
        <v>1441297645</v>
      </c>
      <c r="L778" s="11">
        <f>((Table1[[#This Row],[launched_at]]/60)/60/24)+DATE(1970,1,1)</f>
        <v>42250.685706018514</v>
      </c>
      <c r="M778">
        <f>MONTH(Table1[[#This Row],[Date Created Conversion]])</f>
        <v>9</v>
      </c>
      <c r="N778">
        <f>YEAR(Table1[[#This Row],[Date Created Conversion]])</f>
        <v>2015</v>
      </c>
      <c r="O778" t="b">
        <v>0</v>
      </c>
      <c r="P778">
        <v>57</v>
      </c>
      <c r="Q778" t="b">
        <v>0</v>
      </c>
      <c r="R778" t="s">
        <v>8275</v>
      </c>
      <c r="S778" s="6">
        <f>Table1[[#This Row],[pledged]]/Table1[[#This Row],[goal]]</f>
        <v>0.51400000000000001</v>
      </c>
      <c r="T778" s="8">
        <f>IF(Table1[[#This Row],[pledged]]=0,"no backers",Table1[[#This Row],[pledged]]/Table1[[#This Row],[backers_count]])</f>
        <v>63.122807017543863</v>
      </c>
      <c r="U778" t="str">
        <f>LEFT(Table1[[#This Row],[Category and Sub-Category]],FIND("/",Table1[[#This Row],[Category and Sub-Category]])-1)</f>
        <v>publishing</v>
      </c>
      <c r="V778" t="str">
        <f>RIGHT(Table1[[#This Row],[Category and Sub-Category]],LEN(Table1[[#This Row],[Category and Sub-Category]])-FIND("/",Table1[[#This Row],[Category and Sub-Category]]))</f>
        <v>fiction</v>
      </c>
    </row>
    <row r="779" spans="1:22" ht="43.2" x14ac:dyDescent="0.3">
      <c r="A779">
        <v>777</v>
      </c>
      <c r="B779" s="3" t="s">
        <v>778</v>
      </c>
      <c r="C779" s="3" t="s">
        <v>4887</v>
      </c>
      <c r="D779" s="12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>((Table1[[#This Row],[deadline]]/60)/60/24)+DATE(1970,1,1)</f>
        <v>41486.981215277774</v>
      </c>
      <c r="K779">
        <v>1372721577</v>
      </c>
      <c r="L779" s="11">
        <f>((Table1[[#This Row],[launched_at]]/60)/60/24)+DATE(1970,1,1)</f>
        <v>41456.981215277774</v>
      </c>
      <c r="M779">
        <f>MONTH(Table1[[#This Row],[Date Created Conversion]])</f>
        <v>7</v>
      </c>
      <c r="N779">
        <f>YEAR(Table1[[#This Row],[Date Created Conversion]])</f>
        <v>2013</v>
      </c>
      <c r="O779" t="b">
        <v>0</v>
      </c>
      <c r="P779">
        <v>3</v>
      </c>
      <c r="Q779" t="b">
        <v>0</v>
      </c>
      <c r="R779" t="s">
        <v>8275</v>
      </c>
      <c r="S779" s="6">
        <f>Table1[[#This Row],[pledged]]/Table1[[#This Row],[goal]]</f>
        <v>7.0000000000000001E-3</v>
      </c>
      <c r="T779" s="8">
        <f>IF(Table1[[#This Row],[pledged]]=0,"no backers",Table1[[#This Row],[pledged]]/Table1[[#This Row],[backers_count]])</f>
        <v>7</v>
      </c>
      <c r="U779" t="str">
        <f>LEFT(Table1[[#This Row],[Category and Sub-Category]],FIND("/",Table1[[#This Row],[Category and Sub-Category]])-1)</f>
        <v>publishing</v>
      </c>
      <c r="V779" t="str">
        <f>RIGHT(Table1[[#This Row],[Category and Sub-Category]],LEN(Table1[[#This Row],[Category and Sub-Category]])-FIND("/",Table1[[#This Row],[Category and Sub-Category]]))</f>
        <v>fiction</v>
      </c>
    </row>
    <row r="780" spans="1:22" ht="43.2" x14ac:dyDescent="0.3">
      <c r="A780">
        <v>778</v>
      </c>
      <c r="B780" s="3" t="s">
        <v>779</v>
      </c>
      <c r="C780" s="3" t="s">
        <v>4888</v>
      </c>
      <c r="D780" s="12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>((Table1[[#This Row],[deadline]]/60)/60/24)+DATE(1970,1,1)</f>
        <v>41759.702314814815</v>
      </c>
      <c r="K780">
        <v>1396284680</v>
      </c>
      <c r="L780" s="11">
        <f>((Table1[[#This Row],[launched_at]]/60)/60/24)+DATE(1970,1,1)</f>
        <v>41729.702314814815</v>
      </c>
      <c r="M780">
        <f>MONTH(Table1[[#This Row],[Date Created Conversion]])</f>
        <v>3</v>
      </c>
      <c r="N780">
        <f>YEAR(Table1[[#This Row],[Date Created Conversion]])</f>
        <v>2014</v>
      </c>
      <c r="O780" t="b">
        <v>0</v>
      </c>
      <c r="P780">
        <v>1</v>
      </c>
      <c r="Q780" t="b">
        <v>0</v>
      </c>
      <c r="R780" t="s">
        <v>8275</v>
      </c>
      <c r="S780" s="6">
        <f>Table1[[#This Row],[pledged]]/Table1[[#This Row],[goal]]</f>
        <v>4.0000000000000001E-3</v>
      </c>
      <c r="T780" s="8">
        <f>IF(Table1[[#This Row],[pledged]]=0,"no backers",Table1[[#This Row],[pledged]]/Table1[[#This Row],[backers_count]])</f>
        <v>2</v>
      </c>
      <c r="U780" t="str">
        <f>LEFT(Table1[[#This Row],[Category and Sub-Category]],FIND("/",Table1[[#This Row],[Category and Sub-Category]])-1)</f>
        <v>publishing</v>
      </c>
      <c r="V780" t="str">
        <f>RIGHT(Table1[[#This Row],[Category and Sub-Category]],LEN(Table1[[#This Row],[Category and Sub-Category]])-FIND("/",Table1[[#This Row],[Category and Sub-Category]]))</f>
        <v>fiction</v>
      </c>
    </row>
    <row r="781" spans="1:22" ht="57.6" x14ac:dyDescent="0.3">
      <c r="A781">
        <v>779</v>
      </c>
      <c r="B781" s="3" t="s">
        <v>780</v>
      </c>
      <c r="C781" s="3" t="s">
        <v>4889</v>
      </c>
      <c r="D781" s="12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>((Table1[[#This Row],[deadline]]/60)/60/24)+DATE(1970,1,1)</f>
        <v>40466.166666666664</v>
      </c>
      <c r="K781">
        <v>1284567905</v>
      </c>
      <c r="L781" s="11">
        <f>((Table1[[#This Row],[launched_at]]/60)/60/24)+DATE(1970,1,1)</f>
        <v>40436.68408564815</v>
      </c>
      <c r="M781">
        <f>MONTH(Table1[[#This Row],[Date Created Conversion]])</f>
        <v>9</v>
      </c>
      <c r="N781">
        <f>YEAR(Table1[[#This Row],[Date Created Conversion]])</f>
        <v>2010</v>
      </c>
      <c r="O781" t="b">
        <v>0</v>
      </c>
      <c r="P781">
        <v>6</v>
      </c>
      <c r="Q781" t="b">
        <v>0</v>
      </c>
      <c r="R781" t="s">
        <v>8275</v>
      </c>
      <c r="S781" s="6">
        <f>Table1[[#This Row],[pledged]]/Table1[[#This Row],[goal]]</f>
        <v>2.6666666666666668E-2</v>
      </c>
      <c r="T781" s="8">
        <f>IF(Table1[[#This Row],[pledged]]=0,"no backers",Table1[[#This Row],[pledged]]/Table1[[#This Row],[backers_count]])</f>
        <v>66.666666666666671</v>
      </c>
      <c r="U781" t="str">
        <f>LEFT(Table1[[#This Row],[Category and Sub-Category]],FIND("/",Table1[[#This Row],[Category and Sub-Category]])-1)</f>
        <v>publishing</v>
      </c>
      <c r="V781" t="str">
        <f>RIGHT(Table1[[#This Row],[Category and Sub-Category]],LEN(Table1[[#This Row],[Category and Sub-Category]])-FIND("/",Table1[[#This Row],[Category and Sub-Category]]))</f>
        <v>fiction</v>
      </c>
    </row>
    <row r="782" spans="1:22" ht="43.2" x14ac:dyDescent="0.3">
      <c r="A782">
        <v>780</v>
      </c>
      <c r="B782" s="3" t="s">
        <v>781</v>
      </c>
      <c r="C782" s="3" t="s">
        <v>4890</v>
      </c>
      <c r="D782" s="1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>((Table1[[#This Row],[deadline]]/60)/60/24)+DATE(1970,1,1)</f>
        <v>40666.673900462964</v>
      </c>
      <c r="K782">
        <v>1301847025</v>
      </c>
      <c r="L782" s="11">
        <f>((Table1[[#This Row],[launched_at]]/60)/60/24)+DATE(1970,1,1)</f>
        <v>40636.673900462964</v>
      </c>
      <c r="M782">
        <f>MONTH(Table1[[#This Row],[Date Created Conversion]])</f>
        <v>4</v>
      </c>
      <c r="N782">
        <f>YEAR(Table1[[#This Row],[Date Created Conversion]])</f>
        <v>2011</v>
      </c>
      <c r="O782" t="b">
        <v>0</v>
      </c>
      <c r="P782">
        <v>27</v>
      </c>
      <c r="Q782" t="b">
        <v>1</v>
      </c>
      <c r="R782" t="s">
        <v>8276</v>
      </c>
      <c r="S782" s="6">
        <f>Table1[[#This Row],[pledged]]/Table1[[#This Row],[goal]]</f>
        <v>1.04</v>
      </c>
      <c r="T782" s="8">
        <f>IF(Table1[[#This Row],[pledged]]=0,"no backers",Table1[[#This Row],[pledged]]/Table1[[#This Row],[backers_count]])</f>
        <v>38.518518518518519</v>
      </c>
      <c r="U782" t="str">
        <f>LEFT(Table1[[#This Row],[Category and Sub-Category]],FIND("/",Table1[[#This Row],[Category and Sub-Category]])-1)</f>
        <v>music</v>
      </c>
      <c r="V782" t="str">
        <f>RIGHT(Table1[[#This Row],[Category and Sub-Category]],LEN(Table1[[#This Row],[Category and Sub-Category]])-FIND("/",Table1[[#This Row],[Category and Sub-Category]]))</f>
        <v>rock</v>
      </c>
    </row>
    <row r="783" spans="1:22" ht="43.2" x14ac:dyDescent="0.3">
      <c r="A783">
        <v>781</v>
      </c>
      <c r="B783" s="3" t="s">
        <v>782</v>
      </c>
      <c r="C783" s="3" t="s">
        <v>4891</v>
      </c>
      <c r="D783" s="12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>((Table1[[#This Row],[deadline]]/60)/60/24)+DATE(1970,1,1)</f>
        <v>41433.000856481485</v>
      </c>
      <c r="K783">
        <v>1368057674</v>
      </c>
      <c r="L783" s="11">
        <f>((Table1[[#This Row],[launched_at]]/60)/60/24)+DATE(1970,1,1)</f>
        <v>41403.000856481485</v>
      </c>
      <c r="M783">
        <f>MONTH(Table1[[#This Row],[Date Created Conversion]])</f>
        <v>5</v>
      </c>
      <c r="N783">
        <f>YEAR(Table1[[#This Row],[Date Created Conversion]])</f>
        <v>2013</v>
      </c>
      <c r="O783" t="b">
        <v>0</v>
      </c>
      <c r="P783">
        <v>25</v>
      </c>
      <c r="Q783" t="b">
        <v>1</v>
      </c>
      <c r="R783" t="s">
        <v>8276</v>
      </c>
      <c r="S783" s="6">
        <f>Table1[[#This Row],[pledged]]/Table1[[#This Row],[goal]]</f>
        <v>1.3315375</v>
      </c>
      <c r="T783" s="8">
        <f>IF(Table1[[#This Row],[pledged]]=0,"no backers",Table1[[#This Row],[pledged]]/Table1[[#This Row],[backers_count]])</f>
        <v>42.609200000000001</v>
      </c>
      <c r="U783" t="str">
        <f>LEFT(Table1[[#This Row],[Category and Sub-Category]],FIND("/",Table1[[#This Row],[Category and Sub-Category]])-1)</f>
        <v>music</v>
      </c>
      <c r="V783" t="str">
        <f>RIGHT(Table1[[#This Row],[Category and Sub-Category]],LEN(Table1[[#This Row],[Category and Sub-Category]])-FIND("/",Table1[[#This Row],[Category and Sub-Category]]))</f>
        <v>rock</v>
      </c>
    </row>
    <row r="784" spans="1:22" ht="43.2" x14ac:dyDescent="0.3">
      <c r="A784">
        <v>782</v>
      </c>
      <c r="B784" s="3" t="s">
        <v>783</v>
      </c>
      <c r="C784" s="3" t="s">
        <v>4892</v>
      </c>
      <c r="D784" s="12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>((Table1[[#This Row],[deadline]]/60)/60/24)+DATE(1970,1,1)</f>
        <v>41146.758125</v>
      </c>
      <c r="K784">
        <v>1343326302</v>
      </c>
      <c r="L784" s="11">
        <f>((Table1[[#This Row],[launched_at]]/60)/60/24)+DATE(1970,1,1)</f>
        <v>41116.758125</v>
      </c>
      <c r="M784">
        <f>MONTH(Table1[[#This Row],[Date Created Conversion]])</f>
        <v>7</v>
      </c>
      <c r="N784">
        <f>YEAR(Table1[[#This Row],[Date Created Conversion]])</f>
        <v>2012</v>
      </c>
      <c r="O784" t="b">
        <v>0</v>
      </c>
      <c r="P784">
        <v>14</v>
      </c>
      <c r="Q784" t="b">
        <v>1</v>
      </c>
      <c r="R784" t="s">
        <v>8276</v>
      </c>
      <c r="S784" s="6">
        <f>Table1[[#This Row],[pledged]]/Table1[[#This Row],[goal]]</f>
        <v>1</v>
      </c>
      <c r="T784" s="8">
        <f>IF(Table1[[#This Row],[pledged]]=0,"no backers",Table1[[#This Row],[pledged]]/Table1[[#This Row],[backers_count]])</f>
        <v>50</v>
      </c>
      <c r="U784" t="str">
        <f>LEFT(Table1[[#This Row],[Category and Sub-Category]],FIND("/",Table1[[#This Row],[Category and Sub-Category]])-1)</f>
        <v>music</v>
      </c>
      <c r="V784" t="str">
        <f>RIGHT(Table1[[#This Row],[Category and Sub-Category]],LEN(Table1[[#This Row],[Category and Sub-Category]])-FIND("/",Table1[[#This Row],[Category and Sub-Category]]))</f>
        <v>rock</v>
      </c>
    </row>
    <row r="785" spans="1:22" ht="43.2" x14ac:dyDescent="0.3">
      <c r="A785">
        <v>783</v>
      </c>
      <c r="B785" s="3" t="s">
        <v>784</v>
      </c>
      <c r="C785" s="3" t="s">
        <v>4893</v>
      </c>
      <c r="D785" s="12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>((Table1[[#This Row],[deadline]]/60)/60/24)+DATE(1970,1,1)</f>
        <v>41026.916666666664</v>
      </c>
      <c r="K785">
        <v>1332182049</v>
      </c>
      <c r="L785" s="11">
        <f>((Table1[[#This Row],[launched_at]]/60)/60/24)+DATE(1970,1,1)</f>
        <v>40987.773715277777</v>
      </c>
      <c r="M785">
        <f>MONTH(Table1[[#This Row],[Date Created Conversion]])</f>
        <v>3</v>
      </c>
      <c r="N785">
        <f>YEAR(Table1[[#This Row],[Date Created Conversion]])</f>
        <v>2012</v>
      </c>
      <c r="O785" t="b">
        <v>0</v>
      </c>
      <c r="P785">
        <v>35</v>
      </c>
      <c r="Q785" t="b">
        <v>1</v>
      </c>
      <c r="R785" t="s">
        <v>8276</v>
      </c>
      <c r="S785" s="6">
        <f>Table1[[#This Row],[pledged]]/Table1[[#This Row],[goal]]</f>
        <v>1.4813333333333334</v>
      </c>
      <c r="T785" s="8">
        <f>IF(Table1[[#This Row],[pledged]]=0,"no backers",Table1[[#This Row],[pledged]]/Table1[[#This Row],[backers_count]])</f>
        <v>63.485714285714288</v>
      </c>
      <c r="U785" t="str">
        <f>LEFT(Table1[[#This Row],[Category and Sub-Category]],FIND("/",Table1[[#This Row],[Category and Sub-Category]])-1)</f>
        <v>music</v>
      </c>
      <c r="V785" t="str">
        <f>RIGHT(Table1[[#This Row],[Category and Sub-Category]],LEN(Table1[[#This Row],[Category and Sub-Category]])-FIND("/",Table1[[#This Row],[Category and Sub-Category]]))</f>
        <v>rock</v>
      </c>
    </row>
    <row r="786" spans="1:22" ht="43.2" x14ac:dyDescent="0.3">
      <c r="A786">
        <v>784</v>
      </c>
      <c r="B786" s="3" t="s">
        <v>785</v>
      </c>
      <c r="C786" s="3" t="s">
        <v>4894</v>
      </c>
      <c r="D786" s="12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>((Table1[[#This Row],[deadline]]/60)/60/24)+DATE(1970,1,1)</f>
        <v>41715.107858796298</v>
      </c>
      <c r="K786">
        <v>1391571319</v>
      </c>
      <c r="L786" s="11">
        <f>((Table1[[#This Row],[launched_at]]/60)/60/24)+DATE(1970,1,1)</f>
        <v>41675.149525462963</v>
      </c>
      <c r="M786">
        <f>MONTH(Table1[[#This Row],[Date Created Conversion]])</f>
        <v>2</v>
      </c>
      <c r="N786">
        <f>YEAR(Table1[[#This Row],[Date Created Conversion]])</f>
        <v>2014</v>
      </c>
      <c r="O786" t="b">
        <v>0</v>
      </c>
      <c r="P786">
        <v>10</v>
      </c>
      <c r="Q786" t="b">
        <v>1</v>
      </c>
      <c r="R786" t="s">
        <v>8276</v>
      </c>
      <c r="S786" s="6">
        <f>Table1[[#This Row],[pledged]]/Table1[[#This Row],[goal]]</f>
        <v>1.0249999999999999</v>
      </c>
      <c r="T786" s="8">
        <f>IF(Table1[[#This Row],[pledged]]=0,"no backers",Table1[[#This Row],[pledged]]/Table1[[#This Row],[backers_count]])</f>
        <v>102.5</v>
      </c>
      <c r="U786" t="str">
        <f>LEFT(Table1[[#This Row],[Category and Sub-Category]],FIND("/",Table1[[#This Row],[Category and Sub-Category]])-1)</f>
        <v>music</v>
      </c>
      <c r="V786" t="str">
        <f>RIGHT(Table1[[#This Row],[Category and Sub-Category]],LEN(Table1[[#This Row],[Category and Sub-Category]])-FIND("/",Table1[[#This Row],[Category and Sub-Category]]))</f>
        <v>rock</v>
      </c>
    </row>
    <row r="787" spans="1:22" ht="43.2" x14ac:dyDescent="0.3">
      <c r="A787">
        <v>785</v>
      </c>
      <c r="B787" s="3" t="s">
        <v>786</v>
      </c>
      <c r="C787" s="3" t="s">
        <v>4895</v>
      </c>
      <c r="D787" s="12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>((Table1[[#This Row],[deadline]]/60)/60/24)+DATE(1970,1,1)</f>
        <v>41333.593923611108</v>
      </c>
      <c r="K787">
        <v>1359468915</v>
      </c>
      <c r="L787" s="11">
        <f>((Table1[[#This Row],[launched_at]]/60)/60/24)+DATE(1970,1,1)</f>
        <v>41303.593923611108</v>
      </c>
      <c r="M787">
        <f>MONTH(Table1[[#This Row],[Date Created Conversion]])</f>
        <v>1</v>
      </c>
      <c r="N787">
        <f>YEAR(Table1[[#This Row],[Date Created Conversion]])</f>
        <v>2013</v>
      </c>
      <c r="O787" t="b">
        <v>0</v>
      </c>
      <c r="P787">
        <v>29</v>
      </c>
      <c r="Q787" t="b">
        <v>1</v>
      </c>
      <c r="R787" t="s">
        <v>8276</v>
      </c>
      <c r="S787" s="6">
        <f>Table1[[#This Row],[pledged]]/Table1[[#This Row],[goal]]</f>
        <v>1.8062799999999999</v>
      </c>
      <c r="T787" s="8">
        <f>IF(Table1[[#This Row],[pledged]]=0,"no backers",Table1[[#This Row],[pledged]]/Table1[[#This Row],[backers_count]])</f>
        <v>31.142758620689655</v>
      </c>
      <c r="U787" t="str">
        <f>LEFT(Table1[[#This Row],[Category and Sub-Category]],FIND("/",Table1[[#This Row],[Category and Sub-Category]])-1)</f>
        <v>music</v>
      </c>
      <c r="V787" t="str">
        <f>RIGHT(Table1[[#This Row],[Category and Sub-Category]],LEN(Table1[[#This Row],[Category and Sub-Category]])-FIND("/",Table1[[#This Row],[Category and Sub-Category]]))</f>
        <v>rock</v>
      </c>
    </row>
    <row r="788" spans="1:22" ht="43.2" x14ac:dyDescent="0.3">
      <c r="A788">
        <v>786</v>
      </c>
      <c r="B788" s="3" t="s">
        <v>787</v>
      </c>
      <c r="C788" s="3" t="s">
        <v>4896</v>
      </c>
      <c r="D788" s="12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>((Table1[[#This Row],[deadline]]/60)/60/24)+DATE(1970,1,1)</f>
        <v>41040.657638888886</v>
      </c>
      <c r="K788">
        <v>1331774434</v>
      </c>
      <c r="L788" s="11">
        <f>((Table1[[#This Row],[launched_at]]/60)/60/24)+DATE(1970,1,1)</f>
        <v>40983.055949074071</v>
      </c>
      <c r="M788">
        <f>MONTH(Table1[[#This Row],[Date Created Conversion]])</f>
        <v>3</v>
      </c>
      <c r="N788">
        <f>YEAR(Table1[[#This Row],[Date Created Conversion]])</f>
        <v>2012</v>
      </c>
      <c r="O788" t="b">
        <v>0</v>
      </c>
      <c r="P788">
        <v>44</v>
      </c>
      <c r="Q788" t="b">
        <v>1</v>
      </c>
      <c r="R788" t="s">
        <v>8276</v>
      </c>
      <c r="S788" s="6">
        <f>Table1[[#This Row],[pledged]]/Table1[[#This Row],[goal]]</f>
        <v>1.4279999999999999</v>
      </c>
      <c r="T788" s="8">
        <f>IF(Table1[[#This Row],[pledged]]=0,"no backers",Table1[[#This Row],[pledged]]/Table1[[#This Row],[backers_count]])</f>
        <v>162.27272727272728</v>
      </c>
      <c r="U788" t="str">
        <f>LEFT(Table1[[#This Row],[Category and Sub-Category]],FIND("/",Table1[[#This Row],[Category and Sub-Category]])-1)</f>
        <v>music</v>
      </c>
      <c r="V788" t="str">
        <f>RIGHT(Table1[[#This Row],[Category and Sub-Category]],LEN(Table1[[#This Row],[Category and Sub-Category]])-FIND("/",Table1[[#This Row],[Category and Sub-Category]]))</f>
        <v>rock</v>
      </c>
    </row>
    <row r="789" spans="1:22" ht="43.2" x14ac:dyDescent="0.3">
      <c r="A789">
        <v>787</v>
      </c>
      <c r="B789" s="3" t="s">
        <v>788</v>
      </c>
      <c r="C789" s="3" t="s">
        <v>4897</v>
      </c>
      <c r="D789" s="12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>((Table1[[#This Row],[deadline]]/60)/60/24)+DATE(1970,1,1)</f>
        <v>41579.627615740741</v>
      </c>
      <c r="K789">
        <v>1380726226</v>
      </c>
      <c r="L789" s="11">
        <f>((Table1[[#This Row],[launched_at]]/60)/60/24)+DATE(1970,1,1)</f>
        <v>41549.627615740741</v>
      </c>
      <c r="M789">
        <f>MONTH(Table1[[#This Row],[Date Created Conversion]])</f>
        <v>10</v>
      </c>
      <c r="N789">
        <f>YEAR(Table1[[#This Row],[Date Created Conversion]])</f>
        <v>2013</v>
      </c>
      <c r="O789" t="b">
        <v>0</v>
      </c>
      <c r="P789">
        <v>17</v>
      </c>
      <c r="Q789" t="b">
        <v>1</v>
      </c>
      <c r="R789" t="s">
        <v>8276</v>
      </c>
      <c r="S789" s="6">
        <f>Table1[[#This Row],[pledged]]/Table1[[#This Row],[goal]]</f>
        <v>1.1416666666666666</v>
      </c>
      <c r="T789" s="8">
        <f>IF(Table1[[#This Row],[pledged]]=0,"no backers",Table1[[#This Row],[pledged]]/Table1[[#This Row],[backers_count]])</f>
        <v>80.588235294117652</v>
      </c>
      <c r="U789" t="str">
        <f>LEFT(Table1[[#This Row],[Category and Sub-Category]],FIND("/",Table1[[#This Row],[Category and Sub-Category]])-1)</f>
        <v>music</v>
      </c>
      <c r="V789" t="str">
        <f>RIGHT(Table1[[#This Row],[Category and Sub-Category]],LEN(Table1[[#This Row],[Category and Sub-Category]])-FIND("/",Table1[[#This Row],[Category and Sub-Category]]))</f>
        <v>rock</v>
      </c>
    </row>
    <row r="790" spans="1:22" ht="43.2" x14ac:dyDescent="0.3">
      <c r="A790">
        <v>788</v>
      </c>
      <c r="B790" s="3" t="s">
        <v>789</v>
      </c>
      <c r="C790" s="3" t="s">
        <v>4898</v>
      </c>
      <c r="D790" s="12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>((Table1[[#This Row],[deadline]]/60)/60/24)+DATE(1970,1,1)</f>
        <v>41097.165972222225</v>
      </c>
      <c r="K790">
        <v>1338336588</v>
      </c>
      <c r="L790" s="11">
        <f>((Table1[[#This Row],[launched_at]]/60)/60/24)+DATE(1970,1,1)</f>
        <v>41059.006805555553</v>
      </c>
      <c r="M790">
        <f>MONTH(Table1[[#This Row],[Date Created Conversion]])</f>
        <v>5</v>
      </c>
      <c r="N790">
        <f>YEAR(Table1[[#This Row],[Date Created Conversion]])</f>
        <v>2012</v>
      </c>
      <c r="O790" t="b">
        <v>0</v>
      </c>
      <c r="P790">
        <v>34</v>
      </c>
      <c r="Q790" t="b">
        <v>1</v>
      </c>
      <c r="R790" t="s">
        <v>8276</v>
      </c>
      <c r="S790" s="6">
        <f>Table1[[#This Row],[pledged]]/Table1[[#This Row],[goal]]</f>
        <v>2.03505</v>
      </c>
      <c r="T790" s="8">
        <f>IF(Table1[[#This Row],[pledged]]=0,"no backers",Table1[[#This Row],[pledged]]/Table1[[#This Row],[backers_count]])</f>
        <v>59.85441176470588</v>
      </c>
      <c r="U790" t="str">
        <f>LEFT(Table1[[#This Row],[Category and Sub-Category]],FIND("/",Table1[[#This Row],[Category and Sub-Category]])-1)</f>
        <v>music</v>
      </c>
      <c r="V790" t="str">
        <f>RIGHT(Table1[[#This Row],[Category and Sub-Category]],LEN(Table1[[#This Row],[Category and Sub-Category]])-FIND("/",Table1[[#This Row],[Category and Sub-Category]]))</f>
        <v>rock</v>
      </c>
    </row>
    <row r="791" spans="1:22" ht="43.2" x14ac:dyDescent="0.3">
      <c r="A791">
        <v>789</v>
      </c>
      <c r="B791" s="3" t="s">
        <v>790</v>
      </c>
      <c r="C791" s="3" t="s">
        <v>4899</v>
      </c>
      <c r="D791" s="12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>((Table1[[#This Row],[deadline]]/60)/60/24)+DATE(1970,1,1)</f>
        <v>41295.332638888889</v>
      </c>
      <c r="K791">
        <v>1357187280</v>
      </c>
      <c r="L791" s="11">
        <f>((Table1[[#This Row],[launched_at]]/60)/60/24)+DATE(1970,1,1)</f>
        <v>41277.186111111114</v>
      </c>
      <c r="M791">
        <f>MONTH(Table1[[#This Row],[Date Created Conversion]])</f>
        <v>1</v>
      </c>
      <c r="N791">
        <f>YEAR(Table1[[#This Row],[Date Created Conversion]])</f>
        <v>2013</v>
      </c>
      <c r="O791" t="b">
        <v>0</v>
      </c>
      <c r="P791">
        <v>14</v>
      </c>
      <c r="Q791" t="b">
        <v>1</v>
      </c>
      <c r="R791" t="s">
        <v>8276</v>
      </c>
      <c r="S791" s="6">
        <f>Table1[[#This Row],[pledged]]/Table1[[#This Row],[goal]]</f>
        <v>1.0941176470588236</v>
      </c>
      <c r="T791" s="8">
        <f>IF(Table1[[#This Row],[pledged]]=0,"no backers",Table1[[#This Row],[pledged]]/Table1[[#This Row],[backers_count]])</f>
        <v>132.85714285714286</v>
      </c>
      <c r="U791" t="str">
        <f>LEFT(Table1[[#This Row],[Category and Sub-Category]],FIND("/",Table1[[#This Row],[Category and Sub-Category]])-1)</f>
        <v>music</v>
      </c>
      <c r="V791" t="str">
        <f>RIGHT(Table1[[#This Row],[Category and Sub-Category]],LEN(Table1[[#This Row],[Category and Sub-Category]])-FIND("/",Table1[[#This Row],[Category and Sub-Category]]))</f>
        <v>rock</v>
      </c>
    </row>
    <row r="792" spans="1:22" ht="43.2" x14ac:dyDescent="0.3">
      <c r="A792">
        <v>790</v>
      </c>
      <c r="B792" s="3" t="s">
        <v>791</v>
      </c>
      <c r="C792" s="3" t="s">
        <v>4900</v>
      </c>
      <c r="D792" s="1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>((Table1[[#This Row],[deadline]]/60)/60/24)+DATE(1970,1,1)</f>
        <v>41306.047905092593</v>
      </c>
      <c r="K792">
        <v>1357088939</v>
      </c>
      <c r="L792" s="11">
        <f>((Table1[[#This Row],[launched_at]]/60)/60/24)+DATE(1970,1,1)</f>
        <v>41276.047905092593</v>
      </c>
      <c r="M792">
        <f>MONTH(Table1[[#This Row],[Date Created Conversion]])</f>
        <v>1</v>
      </c>
      <c r="N792">
        <f>YEAR(Table1[[#This Row],[Date Created Conversion]])</f>
        <v>2013</v>
      </c>
      <c r="O792" t="b">
        <v>0</v>
      </c>
      <c r="P792">
        <v>156</v>
      </c>
      <c r="Q792" t="b">
        <v>1</v>
      </c>
      <c r="R792" t="s">
        <v>8276</v>
      </c>
      <c r="S792" s="6">
        <f>Table1[[#This Row],[pledged]]/Table1[[#This Row],[goal]]</f>
        <v>1.443746</v>
      </c>
      <c r="T792" s="8">
        <f>IF(Table1[[#This Row],[pledged]]=0,"no backers",Table1[[#This Row],[pledged]]/Table1[[#This Row],[backers_count]])</f>
        <v>92.547820512820508</v>
      </c>
      <c r="U792" t="str">
        <f>LEFT(Table1[[#This Row],[Category and Sub-Category]],FIND("/",Table1[[#This Row],[Category and Sub-Category]])-1)</f>
        <v>music</v>
      </c>
      <c r="V792" t="str">
        <f>RIGHT(Table1[[#This Row],[Category and Sub-Category]],LEN(Table1[[#This Row],[Category and Sub-Category]])-FIND("/",Table1[[#This Row],[Category and Sub-Category]]))</f>
        <v>rock</v>
      </c>
    </row>
    <row r="793" spans="1:22" ht="43.2" x14ac:dyDescent="0.3">
      <c r="A793">
        <v>791</v>
      </c>
      <c r="B793" s="3" t="s">
        <v>792</v>
      </c>
      <c r="C793" s="3" t="s">
        <v>4901</v>
      </c>
      <c r="D793" s="12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>((Table1[[#This Row],[deadline]]/60)/60/24)+DATE(1970,1,1)</f>
        <v>41591.249305555553</v>
      </c>
      <c r="K793">
        <v>1381430646</v>
      </c>
      <c r="L793" s="11">
        <f>((Table1[[#This Row],[launched_at]]/60)/60/24)+DATE(1970,1,1)</f>
        <v>41557.780624999999</v>
      </c>
      <c r="M793">
        <f>MONTH(Table1[[#This Row],[Date Created Conversion]])</f>
        <v>10</v>
      </c>
      <c r="N793">
        <f>YEAR(Table1[[#This Row],[Date Created Conversion]])</f>
        <v>2013</v>
      </c>
      <c r="O793" t="b">
        <v>0</v>
      </c>
      <c r="P793">
        <v>128</v>
      </c>
      <c r="Q793" t="b">
        <v>1</v>
      </c>
      <c r="R793" t="s">
        <v>8276</v>
      </c>
      <c r="S793" s="6">
        <f>Table1[[#This Row],[pledged]]/Table1[[#This Row],[goal]]</f>
        <v>1.0386666666666666</v>
      </c>
      <c r="T793" s="8">
        <f>IF(Table1[[#This Row],[pledged]]=0,"no backers",Table1[[#This Row],[pledged]]/Table1[[#This Row],[backers_count]])</f>
        <v>60.859375</v>
      </c>
      <c r="U793" t="str">
        <f>LEFT(Table1[[#This Row],[Category and Sub-Category]],FIND("/",Table1[[#This Row],[Category and Sub-Category]])-1)</f>
        <v>music</v>
      </c>
      <c r="V793" t="str">
        <f>RIGHT(Table1[[#This Row],[Category and Sub-Category]],LEN(Table1[[#This Row],[Category and Sub-Category]])-FIND("/",Table1[[#This Row],[Category and Sub-Category]]))</f>
        <v>rock</v>
      </c>
    </row>
    <row r="794" spans="1:22" ht="28.8" x14ac:dyDescent="0.3">
      <c r="A794">
        <v>792</v>
      </c>
      <c r="B794" s="3" t="s">
        <v>793</v>
      </c>
      <c r="C794" s="3" t="s">
        <v>4902</v>
      </c>
      <c r="D794" s="12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>((Table1[[#This Row],[deadline]]/60)/60/24)+DATE(1970,1,1)</f>
        <v>41585.915312500001</v>
      </c>
      <c r="K794">
        <v>1381265883</v>
      </c>
      <c r="L794" s="11">
        <f>((Table1[[#This Row],[launched_at]]/60)/60/24)+DATE(1970,1,1)</f>
        <v>41555.873645833337</v>
      </c>
      <c r="M794">
        <f>MONTH(Table1[[#This Row],[Date Created Conversion]])</f>
        <v>10</v>
      </c>
      <c r="N794">
        <f>YEAR(Table1[[#This Row],[Date Created Conversion]])</f>
        <v>2013</v>
      </c>
      <c r="O794" t="b">
        <v>0</v>
      </c>
      <c r="P794">
        <v>60</v>
      </c>
      <c r="Q794" t="b">
        <v>1</v>
      </c>
      <c r="R794" t="s">
        <v>8276</v>
      </c>
      <c r="S794" s="6">
        <f>Table1[[#This Row],[pledged]]/Table1[[#This Row],[goal]]</f>
        <v>1.0044440000000001</v>
      </c>
      <c r="T794" s="8">
        <f>IF(Table1[[#This Row],[pledged]]=0,"no backers",Table1[[#This Row],[pledged]]/Table1[[#This Row],[backers_count]])</f>
        <v>41.851833333333339</v>
      </c>
      <c r="U794" t="str">
        <f>LEFT(Table1[[#This Row],[Category and Sub-Category]],FIND("/",Table1[[#This Row],[Category and Sub-Category]])-1)</f>
        <v>music</v>
      </c>
      <c r="V794" t="str">
        <f>RIGHT(Table1[[#This Row],[Category and Sub-Category]],LEN(Table1[[#This Row],[Category and Sub-Category]])-FIND("/",Table1[[#This Row],[Category and Sub-Category]]))</f>
        <v>rock</v>
      </c>
    </row>
    <row r="795" spans="1:22" ht="43.2" x14ac:dyDescent="0.3">
      <c r="A795">
        <v>793</v>
      </c>
      <c r="B795" s="3" t="s">
        <v>794</v>
      </c>
      <c r="C795" s="3" t="s">
        <v>4903</v>
      </c>
      <c r="D795" s="12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>((Table1[[#This Row],[deadline]]/60)/60/24)+DATE(1970,1,1)</f>
        <v>41458.207638888889</v>
      </c>
      <c r="K795">
        <v>1371491244</v>
      </c>
      <c r="L795" s="11">
        <f>((Table1[[#This Row],[launched_at]]/60)/60/24)+DATE(1970,1,1)</f>
        <v>41442.741249999999</v>
      </c>
      <c r="M795">
        <f>MONTH(Table1[[#This Row],[Date Created Conversion]])</f>
        <v>6</v>
      </c>
      <c r="N795">
        <f>YEAR(Table1[[#This Row],[Date Created Conversion]])</f>
        <v>2013</v>
      </c>
      <c r="O795" t="b">
        <v>0</v>
      </c>
      <c r="P795">
        <v>32</v>
      </c>
      <c r="Q795" t="b">
        <v>1</v>
      </c>
      <c r="R795" t="s">
        <v>8276</v>
      </c>
      <c r="S795" s="6">
        <f>Table1[[#This Row],[pledged]]/Table1[[#This Row],[goal]]</f>
        <v>1.0277927272727272</v>
      </c>
      <c r="T795" s="8">
        <f>IF(Table1[[#This Row],[pledged]]=0,"no backers",Table1[[#This Row],[pledged]]/Table1[[#This Row],[backers_count]])</f>
        <v>88.325937499999995</v>
      </c>
      <c r="U795" t="str">
        <f>LEFT(Table1[[#This Row],[Category and Sub-Category]],FIND("/",Table1[[#This Row],[Category and Sub-Category]])-1)</f>
        <v>music</v>
      </c>
      <c r="V795" t="str">
        <f>RIGHT(Table1[[#This Row],[Category and Sub-Category]],LEN(Table1[[#This Row],[Category and Sub-Category]])-FIND("/",Table1[[#This Row],[Category and Sub-Category]]))</f>
        <v>rock</v>
      </c>
    </row>
    <row r="796" spans="1:22" ht="43.2" x14ac:dyDescent="0.3">
      <c r="A796">
        <v>794</v>
      </c>
      <c r="B796" s="3" t="s">
        <v>795</v>
      </c>
      <c r="C796" s="3" t="s">
        <v>4904</v>
      </c>
      <c r="D796" s="12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>((Table1[[#This Row],[deadline]]/60)/60/24)+DATE(1970,1,1)</f>
        <v>40791.712500000001</v>
      </c>
      <c r="K796">
        <v>1310438737</v>
      </c>
      <c r="L796" s="11">
        <f>((Table1[[#This Row],[launched_at]]/60)/60/24)+DATE(1970,1,1)</f>
        <v>40736.115011574075</v>
      </c>
      <c r="M796">
        <f>MONTH(Table1[[#This Row],[Date Created Conversion]])</f>
        <v>7</v>
      </c>
      <c r="N796">
        <f>YEAR(Table1[[#This Row],[Date Created Conversion]])</f>
        <v>2011</v>
      </c>
      <c r="O796" t="b">
        <v>0</v>
      </c>
      <c r="P796">
        <v>53</v>
      </c>
      <c r="Q796" t="b">
        <v>1</v>
      </c>
      <c r="R796" t="s">
        <v>8276</v>
      </c>
      <c r="S796" s="6">
        <f>Table1[[#This Row],[pledged]]/Table1[[#This Row],[goal]]</f>
        <v>1.0531250000000001</v>
      </c>
      <c r="T796" s="8">
        <f>IF(Table1[[#This Row],[pledged]]=0,"no backers",Table1[[#This Row],[pledged]]/Table1[[#This Row],[backers_count]])</f>
        <v>158.96226415094338</v>
      </c>
      <c r="U796" t="str">
        <f>LEFT(Table1[[#This Row],[Category and Sub-Category]],FIND("/",Table1[[#This Row],[Category and Sub-Category]])-1)</f>
        <v>music</v>
      </c>
      <c r="V796" t="str">
        <f>RIGHT(Table1[[#This Row],[Category and Sub-Category]],LEN(Table1[[#This Row],[Category and Sub-Category]])-FIND("/",Table1[[#This Row],[Category and Sub-Category]]))</f>
        <v>rock</v>
      </c>
    </row>
    <row r="797" spans="1:22" ht="43.2" x14ac:dyDescent="0.3">
      <c r="A797">
        <v>795</v>
      </c>
      <c r="B797" s="3" t="s">
        <v>796</v>
      </c>
      <c r="C797" s="3" t="s">
        <v>4905</v>
      </c>
      <c r="D797" s="12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>((Table1[[#This Row],[deadline]]/60)/60/24)+DATE(1970,1,1)</f>
        <v>41006.207638888889</v>
      </c>
      <c r="K797">
        <v>1330094566</v>
      </c>
      <c r="L797" s="11">
        <f>((Table1[[#This Row],[launched_at]]/60)/60/24)+DATE(1970,1,1)</f>
        <v>40963.613032407404</v>
      </c>
      <c r="M797">
        <f>MONTH(Table1[[#This Row],[Date Created Conversion]])</f>
        <v>2</v>
      </c>
      <c r="N797">
        <f>YEAR(Table1[[#This Row],[Date Created Conversion]])</f>
        <v>2012</v>
      </c>
      <c r="O797" t="b">
        <v>0</v>
      </c>
      <c r="P797">
        <v>184</v>
      </c>
      <c r="Q797" t="b">
        <v>1</v>
      </c>
      <c r="R797" t="s">
        <v>8276</v>
      </c>
      <c r="S797" s="6">
        <f>Table1[[#This Row],[pledged]]/Table1[[#This Row],[goal]]</f>
        <v>1.1178571428571429</v>
      </c>
      <c r="T797" s="8">
        <f>IF(Table1[[#This Row],[pledged]]=0,"no backers",Table1[[#This Row],[pledged]]/Table1[[#This Row],[backers_count]])</f>
        <v>85.054347826086953</v>
      </c>
      <c r="U797" t="str">
        <f>LEFT(Table1[[#This Row],[Category and Sub-Category]],FIND("/",Table1[[#This Row],[Category and Sub-Category]])-1)</f>
        <v>music</v>
      </c>
      <c r="V797" t="str">
        <f>RIGHT(Table1[[#This Row],[Category and Sub-Category]],LEN(Table1[[#This Row],[Category and Sub-Category]])-FIND("/",Table1[[#This Row],[Category and Sub-Category]]))</f>
        <v>rock</v>
      </c>
    </row>
    <row r="798" spans="1:22" ht="57.6" x14ac:dyDescent="0.3">
      <c r="A798">
        <v>796</v>
      </c>
      <c r="B798" s="3" t="s">
        <v>797</v>
      </c>
      <c r="C798" s="3" t="s">
        <v>4906</v>
      </c>
      <c r="D798" s="12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>((Table1[[#This Row],[deadline]]/60)/60/24)+DATE(1970,1,1)</f>
        <v>41532.881944444445</v>
      </c>
      <c r="K798">
        <v>1376687485</v>
      </c>
      <c r="L798" s="11">
        <f>((Table1[[#This Row],[launched_at]]/60)/60/24)+DATE(1970,1,1)</f>
        <v>41502.882928240739</v>
      </c>
      <c r="M798">
        <f>MONTH(Table1[[#This Row],[Date Created Conversion]])</f>
        <v>8</v>
      </c>
      <c r="N798">
        <f>YEAR(Table1[[#This Row],[Date Created Conversion]])</f>
        <v>2013</v>
      </c>
      <c r="O798" t="b">
        <v>0</v>
      </c>
      <c r="P798">
        <v>90</v>
      </c>
      <c r="Q798" t="b">
        <v>1</v>
      </c>
      <c r="R798" t="s">
        <v>8276</v>
      </c>
      <c r="S798" s="6">
        <f>Table1[[#This Row],[pledged]]/Table1[[#This Row],[goal]]</f>
        <v>1.0135000000000001</v>
      </c>
      <c r="T798" s="8">
        <f>IF(Table1[[#This Row],[pledged]]=0,"no backers",Table1[[#This Row],[pledged]]/Table1[[#This Row],[backers_count]])</f>
        <v>112.61111111111111</v>
      </c>
      <c r="U798" t="str">
        <f>LEFT(Table1[[#This Row],[Category and Sub-Category]],FIND("/",Table1[[#This Row],[Category and Sub-Category]])-1)</f>
        <v>music</v>
      </c>
      <c r="V798" t="str">
        <f>RIGHT(Table1[[#This Row],[Category and Sub-Category]],LEN(Table1[[#This Row],[Category and Sub-Category]])-FIND("/",Table1[[#This Row],[Category and Sub-Category]]))</f>
        <v>rock</v>
      </c>
    </row>
    <row r="799" spans="1:22" ht="43.2" x14ac:dyDescent="0.3">
      <c r="A799">
        <v>797</v>
      </c>
      <c r="B799" s="3" t="s">
        <v>798</v>
      </c>
      <c r="C799" s="3" t="s">
        <v>4907</v>
      </c>
      <c r="D799" s="12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>((Table1[[#This Row],[deadline]]/60)/60/24)+DATE(1970,1,1)</f>
        <v>41028.166666666664</v>
      </c>
      <c r="K799">
        <v>1332978688</v>
      </c>
      <c r="L799" s="11">
        <f>((Table1[[#This Row],[launched_at]]/60)/60/24)+DATE(1970,1,1)</f>
        <v>40996.994074074071</v>
      </c>
      <c r="M799">
        <f>MONTH(Table1[[#This Row],[Date Created Conversion]])</f>
        <v>3</v>
      </c>
      <c r="N799">
        <f>YEAR(Table1[[#This Row],[Date Created Conversion]])</f>
        <v>2012</v>
      </c>
      <c r="O799" t="b">
        <v>0</v>
      </c>
      <c r="P799">
        <v>71</v>
      </c>
      <c r="Q799" t="b">
        <v>1</v>
      </c>
      <c r="R799" t="s">
        <v>8276</v>
      </c>
      <c r="S799" s="6">
        <f>Table1[[#This Row],[pledged]]/Table1[[#This Row],[goal]]</f>
        <v>1.0753333333333333</v>
      </c>
      <c r="T799" s="8">
        <f>IF(Table1[[#This Row],[pledged]]=0,"no backers",Table1[[#This Row],[pledged]]/Table1[[#This Row],[backers_count]])</f>
        <v>45.436619718309856</v>
      </c>
      <c r="U799" t="str">
        <f>LEFT(Table1[[#This Row],[Category and Sub-Category]],FIND("/",Table1[[#This Row],[Category and Sub-Category]])-1)</f>
        <v>music</v>
      </c>
      <c r="V799" t="str">
        <f>RIGHT(Table1[[#This Row],[Category and Sub-Category]],LEN(Table1[[#This Row],[Category and Sub-Category]])-FIND("/",Table1[[#This Row],[Category and Sub-Category]]))</f>
        <v>rock</v>
      </c>
    </row>
    <row r="800" spans="1:22" ht="43.2" x14ac:dyDescent="0.3">
      <c r="A800">
        <v>798</v>
      </c>
      <c r="B800" s="3" t="s">
        <v>799</v>
      </c>
      <c r="C800" s="3" t="s">
        <v>4908</v>
      </c>
      <c r="D800" s="12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>((Table1[[#This Row],[deadline]]/60)/60/24)+DATE(1970,1,1)</f>
        <v>41912.590127314819</v>
      </c>
      <c r="K800">
        <v>1409494187</v>
      </c>
      <c r="L800" s="11">
        <f>((Table1[[#This Row],[launched_at]]/60)/60/24)+DATE(1970,1,1)</f>
        <v>41882.590127314819</v>
      </c>
      <c r="M800">
        <f>MONTH(Table1[[#This Row],[Date Created Conversion]])</f>
        <v>8</v>
      </c>
      <c r="N800">
        <f>YEAR(Table1[[#This Row],[Date Created Conversion]])</f>
        <v>2014</v>
      </c>
      <c r="O800" t="b">
        <v>0</v>
      </c>
      <c r="P800">
        <v>87</v>
      </c>
      <c r="Q800" t="b">
        <v>1</v>
      </c>
      <c r="R800" t="s">
        <v>8276</v>
      </c>
      <c r="S800" s="6">
        <f>Table1[[#This Row],[pledged]]/Table1[[#This Row],[goal]]</f>
        <v>1.1488571428571428</v>
      </c>
      <c r="T800" s="8">
        <f>IF(Table1[[#This Row],[pledged]]=0,"no backers",Table1[[#This Row],[pledged]]/Table1[[#This Row],[backers_count]])</f>
        <v>46.218390804597703</v>
      </c>
      <c r="U800" t="str">
        <f>LEFT(Table1[[#This Row],[Category and Sub-Category]],FIND("/",Table1[[#This Row],[Category and Sub-Category]])-1)</f>
        <v>music</v>
      </c>
      <c r="V800" t="str">
        <f>RIGHT(Table1[[#This Row],[Category and Sub-Category]],LEN(Table1[[#This Row],[Category and Sub-Category]])-FIND("/",Table1[[#This Row],[Category and Sub-Category]]))</f>
        <v>rock</v>
      </c>
    </row>
    <row r="801" spans="1:22" ht="43.2" x14ac:dyDescent="0.3">
      <c r="A801">
        <v>799</v>
      </c>
      <c r="B801" s="3" t="s">
        <v>800</v>
      </c>
      <c r="C801" s="3" t="s">
        <v>4909</v>
      </c>
      <c r="D801" s="12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>((Table1[[#This Row],[deadline]]/60)/60/24)+DATE(1970,1,1)</f>
        <v>41026.667199074072</v>
      </c>
      <c r="K801">
        <v>1332950446</v>
      </c>
      <c r="L801" s="11">
        <f>((Table1[[#This Row],[launched_at]]/60)/60/24)+DATE(1970,1,1)</f>
        <v>40996.667199074072</v>
      </c>
      <c r="M801">
        <f>MONTH(Table1[[#This Row],[Date Created Conversion]])</f>
        <v>3</v>
      </c>
      <c r="N801">
        <f>YEAR(Table1[[#This Row],[Date Created Conversion]])</f>
        <v>2012</v>
      </c>
      <c r="O801" t="b">
        <v>0</v>
      </c>
      <c r="P801">
        <v>28</v>
      </c>
      <c r="Q801" t="b">
        <v>1</v>
      </c>
      <c r="R801" t="s">
        <v>8276</v>
      </c>
      <c r="S801" s="6">
        <f>Table1[[#This Row],[pledged]]/Table1[[#This Row],[goal]]</f>
        <v>1.0002</v>
      </c>
      <c r="T801" s="8">
        <f>IF(Table1[[#This Row],[pledged]]=0,"no backers",Table1[[#This Row],[pledged]]/Table1[[#This Row],[backers_count]])</f>
        <v>178.60714285714286</v>
      </c>
      <c r="U801" t="str">
        <f>LEFT(Table1[[#This Row],[Category and Sub-Category]],FIND("/",Table1[[#This Row],[Category and Sub-Category]])-1)</f>
        <v>music</v>
      </c>
      <c r="V801" t="str">
        <f>RIGHT(Table1[[#This Row],[Category and Sub-Category]],LEN(Table1[[#This Row],[Category and Sub-Category]])-FIND("/",Table1[[#This Row],[Category and Sub-Category]]))</f>
        <v>rock</v>
      </c>
    </row>
    <row r="802" spans="1:22" ht="43.2" x14ac:dyDescent="0.3">
      <c r="A802">
        <v>800</v>
      </c>
      <c r="B802" s="3" t="s">
        <v>801</v>
      </c>
      <c r="C802" s="3" t="s">
        <v>4910</v>
      </c>
      <c r="D802" s="1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>((Table1[[#This Row],[deadline]]/60)/60/24)+DATE(1970,1,1)</f>
        <v>41893.433495370373</v>
      </c>
      <c r="K802">
        <v>1407839054</v>
      </c>
      <c r="L802" s="11">
        <f>((Table1[[#This Row],[launched_at]]/60)/60/24)+DATE(1970,1,1)</f>
        <v>41863.433495370373</v>
      </c>
      <c r="M802">
        <f>MONTH(Table1[[#This Row],[Date Created Conversion]])</f>
        <v>8</v>
      </c>
      <c r="N802">
        <f>YEAR(Table1[[#This Row],[Date Created Conversion]])</f>
        <v>2014</v>
      </c>
      <c r="O802" t="b">
        <v>0</v>
      </c>
      <c r="P802">
        <v>56</v>
      </c>
      <c r="Q802" t="b">
        <v>1</v>
      </c>
      <c r="R802" t="s">
        <v>8276</v>
      </c>
      <c r="S802" s="6">
        <f>Table1[[#This Row],[pledged]]/Table1[[#This Row],[goal]]</f>
        <v>1.5213333333333334</v>
      </c>
      <c r="T802" s="8">
        <f>IF(Table1[[#This Row],[pledged]]=0,"no backers",Table1[[#This Row],[pledged]]/Table1[[#This Row],[backers_count]])</f>
        <v>40.75</v>
      </c>
      <c r="U802" t="str">
        <f>LEFT(Table1[[#This Row],[Category and Sub-Category]],FIND("/",Table1[[#This Row],[Category and Sub-Category]])-1)</f>
        <v>music</v>
      </c>
      <c r="V802" t="str">
        <f>RIGHT(Table1[[#This Row],[Category and Sub-Category]],LEN(Table1[[#This Row],[Category and Sub-Category]])-FIND("/",Table1[[#This Row],[Category and Sub-Category]]))</f>
        <v>rock</v>
      </c>
    </row>
    <row r="803" spans="1:22" ht="43.2" x14ac:dyDescent="0.3">
      <c r="A803">
        <v>801</v>
      </c>
      <c r="B803" s="3" t="s">
        <v>802</v>
      </c>
      <c r="C803" s="3" t="s">
        <v>4911</v>
      </c>
      <c r="D803" s="12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>((Table1[[#This Row],[deadline]]/60)/60/24)+DATE(1970,1,1)</f>
        <v>40725.795370370368</v>
      </c>
      <c r="K803">
        <v>1306955120</v>
      </c>
      <c r="L803" s="11">
        <f>((Table1[[#This Row],[launched_at]]/60)/60/24)+DATE(1970,1,1)</f>
        <v>40695.795370370368</v>
      </c>
      <c r="M803">
        <f>MONTH(Table1[[#This Row],[Date Created Conversion]])</f>
        <v>6</v>
      </c>
      <c r="N803">
        <f>YEAR(Table1[[#This Row],[Date Created Conversion]])</f>
        <v>2011</v>
      </c>
      <c r="O803" t="b">
        <v>0</v>
      </c>
      <c r="P803">
        <v>51</v>
      </c>
      <c r="Q803" t="b">
        <v>1</v>
      </c>
      <c r="R803" t="s">
        <v>8276</v>
      </c>
      <c r="S803" s="6">
        <f>Table1[[#This Row],[pledged]]/Table1[[#This Row],[goal]]</f>
        <v>1.1152149999999998</v>
      </c>
      <c r="T803" s="8">
        <f>IF(Table1[[#This Row],[pledged]]=0,"no backers",Table1[[#This Row],[pledged]]/Table1[[#This Row],[backers_count]])</f>
        <v>43.733921568627444</v>
      </c>
      <c r="U803" t="str">
        <f>LEFT(Table1[[#This Row],[Category and Sub-Category]],FIND("/",Table1[[#This Row],[Category and Sub-Category]])-1)</f>
        <v>music</v>
      </c>
      <c r="V803" t="str">
        <f>RIGHT(Table1[[#This Row],[Category and Sub-Category]],LEN(Table1[[#This Row],[Category and Sub-Category]])-FIND("/",Table1[[#This Row],[Category and Sub-Category]]))</f>
        <v>rock</v>
      </c>
    </row>
    <row r="804" spans="1:22" ht="57.6" x14ac:dyDescent="0.3">
      <c r="A804">
        <v>802</v>
      </c>
      <c r="B804" s="3" t="s">
        <v>803</v>
      </c>
      <c r="C804" s="3" t="s">
        <v>4912</v>
      </c>
      <c r="D804" s="12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>((Table1[[#This Row],[deadline]]/60)/60/24)+DATE(1970,1,1)</f>
        <v>41169.170138888891</v>
      </c>
      <c r="K804">
        <v>1343867524</v>
      </c>
      <c r="L804" s="11">
        <f>((Table1[[#This Row],[launched_at]]/60)/60/24)+DATE(1970,1,1)</f>
        <v>41123.022268518522</v>
      </c>
      <c r="M804">
        <f>MONTH(Table1[[#This Row],[Date Created Conversion]])</f>
        <v>8</v>
      </c>
      <c r="N804">
        <f>YEAR(Table1[[#This Row],[Date Created Conversion]])</f>
        <v>2012</v>
      </c>
      <c r="O804" t="b">
        <v>0</v>
      </c>
      <c r="P804">
        <v>75</v>
      </c>
      <c r="Q804" t="b">
        <v>1</v>
      </c>
      <c r="R804" t="s">
        <v>8276</v>
      </c>
      <c r="S804" s="6">
        <f>Table1[[#This Row],[pledged]]/Table1[[#This Row],[goal]]</f>
        <v>1.0133333333333334</v>
      </c>
      <c r="T804" s="8">
        <f>IF(Table1[[#This Row],[pledged]]=0,"no backers",Table1[[#This Row],[pledged]]/Table1[[#This Row],[backers_count]])</f>
        <v>81.066666666666663</v>
      </c>
      <c r="U804" t="str">
        <f>LEFT(Table1[[#This Row],[Category and Sub-Category]],FIND("/",Table1[[#This Row],[Category and Sub-Category]])-1)</f>
        <v>music</v>
      </c>
      <c r="V804" t="str">
        <f>RIGHT(Table1[[#This Row],[Category and Sub-Category]],LEN(Table1[[#This Row],[Category and Sub-Category]])-FIND("/",Table1[[#This Row],[Category and Sub-Category]]))</f>
        <v>rock</v>
      </c>
    </row>
    <row r="805" spans="1:22" ht="43.2" x14ac:dyDescent="0.3">
      <c r="A805">
        <v>803</v>
      </c>
      <c r="B805" s="3" t="s">
        <v>804</v>
      </c>
      <c r="C805" s="3" t="s">
        <v>4913</v>
      </c>
      <c r="D805" s="12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>((Table1[[#This Row],[deadline]]/60)/60/24)+DATE(1970,1,1)</f>
        <v>40692.041666666664</v>
      </c>
      <c r="K805">
        <v>1304376478</v>
      </c>
      <c r="L805" s="11">
        <f>((Table1[[#This Row],[launched_at]]/60)/60/24)+DATE(1970,1,1)</f>
        <v>40665.949976851851</v>
      </c>
      <c r="M805">
        <f>MONTH(Table1[[#This Row],[Date Created Conversion]])</f>
        <v>5</v>
      </c>
      <c r="N805">
        <f>YEAR(Table1[[#This Row],[Date Created Conversion]])</f>
        <v>2011</v>
      </c>
      <c r="O805" t="b">
        <v>0</v>
      </c>
      <c r="P805">
        <v>38</v>
      </c>
      <c r="Q805" t="b">
        <v>1</v>
      </c>
      <c r="R805" t="s">
        <v>8276</v>
      </c>
      <c r="S805" s="6">
        <f>Table1[[#This Row],[pledged]]/Table1[[#This Row],[goal]]</f>
        <v>1.232608695652174</v>
      </c>
      <c r="T805" s="8">
        <f>IF(Table1[[#This Row],[pledged]]=0,"no backers",Table1[[#This Row],[pledged]]/Table1[[#This Row],[backers_count]])</f>
        <v>74.60526315789474</v>
      </c>
      <c r="U805" t="str">
        <f>LEFT(Table1[[#This Row],[Category and Sub-Category]],FIND("/",Table1[[#This Row],[Category and Sub-Category]])-1)</f>
        <v>music</v>
      </c>
      <c r="V805" t="str">
        <f>RIGHT(Table1[[#This Row],[Category and Sub-Category]],LEN(Table1[[#This Row],[Category and Sub-Category]])-FIND("/",Table1[[#This Row],[Category and Sub-Category]]))</f>
        <v>rock</v>
      </c>
    </row>
    <row r="806" spans="1:22" ht="43.2" x14ac:dyDescent="0.3">
      <c r="A806">
        <v>804</v>
      </c>
      <c r="B806" s="3" t="s">
        <v>805</v>
      </c>
      <c r="C806" s="3" t="s">
        <v>4914</v>
      </c>
      <c r="D806" s="12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>((Table1[[#This Row],[deadline]]/60)/60/24)+DATE(1970,1,1)</f>
        <v>40747.165972222225</v>
      </c>
      <c r="K806">
        <v>1309919526</v>
      </c>
      <c r="L806" s="11">
        <f>((Table1[[#This Row],[launched_at]]/60)/60/24)+DATE(1970,1,1)</f>
        <v>40730.105625000004</v>
      </c>
      <c r="M806">
        <f>MONTH(Table1[[#This Row],[Date Created Conversion]])</f>
        <v>7</v>
      </c>
      <c r="N806">
        <f>YEAR(Table1[[#This Row],[Date Created Conversion]])</f>
        <v>2011</v>
      </c>
      <c r="O806" t="b">
        <v>0</v>
      </c>
      <c r="P806">
        <v>18</v>
      </c>
      <c r="Q806" t="b">
        <v>1</v>
      </c>
      <c r="R806" t="s">
        <v>8276</v>
      </c>
      <c r="S806" s="6">
        <f>Table1[[#This Row],[pledged]]/Table1[[#This Row],[goal]]</f>
        <v>1</v>
      </c>
      <c r="T806" s="8">
        <f>IF(Table1[[#This Row],[pledged]]=0,"no backers",Table1[[#This Row],[pledged]]/Table1[[#This Row],[backers_count]])</f>
        <v>305.55555555555554</v>
      </c>
      <c r="U806" t="str">
        <f>LEFT(Table1[[#This Row],[Category and Sub-Category]],FIND("/",Table1[[#This Row],[Category and Sub-Category]])-1)</f>
        <v>music</v>
      </c>
      <c r="V806" t="str">
        <f>RIGHT(Table1[[#This Row],[Category and Sub-Category]],LEN(Table1[[#This Row],[Category and Sub-Category]])-FIND("/",Table1[[#This Row],[Category and Sub-Category]]))</f>
        <v>rock</v>
      </c>
    </row>
    <row r="807" spans="1:22" ht="43.2" x14ac:dyDescent="0.3">
      <c r="A807">
        <v>805</v>
      </c>
      <c r="B807" s="3" t="s">
        <v>806</v>
      </c>
      <c r="C807" s="3" t="s">
        <v>4915</v>
      </c>
      <c r="D807" s="12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>((Table1[[#This Row],[deadline]]/60)/60/24)+DATE(1970,1,1)</f>
        <v>40740.958333333336</v>
      </c>
      <c r="K807">
        <v>1306525512</v>
      </c>
      <c r="L807" s="11">
        <f>((Table1[[#This Row],[launched_at]]/60)/60/24)+DATE(1970,1,1)</f>
        <v>40690.823055555556</v>
      </c>
      <c r="M807">
        <f>MONTH(Table1[[#This Row],[Date Created Conversion]])</f>
        <v>5</v>
      </c>
      <c r="N807">
        <f>YEAR(Table1[[#This Row],[Date Created Conversion]])</f>
        <v>2011</v>
      </c>
      <c r="O807" t="b">
        <v>0</v>
      </c>
      <c r="P807">
        <v>54</v>
      </c>
      <c r="Q807" t="b">
        <v>1</v>
      </c>
      <c r="R807" t="s">
        <v>8276</v>
      </c>
      <c r="S807" s="6">
        <f>Table1[[#This Row],[pledged]]/Table1[[#This Row],[goal]]</f>
        <v>1.05</v>
      </c>
      <c r="T807" s="8">
        <f>IF(Table1[[#This Row],[pledged]]=0,"no backers",Table1[[#This Row],[pledged]]/Table1[[#This Row],[backers_count]])</f>
        <v>58.333333333333336</v>
      </c>
      <c r="U807" t="str">
        <f>LEFT(Table1[[#This Row],[Category and Sub-Category]],FIND("/",Table1[[#This Row],[Category and Sub-Category]])-1)</f>
        <v>music</v>
      </c>
      <c r="V807" t="str">
        <f>RIGHT(Table1[[#This Row],[Category and Sub-Category]],LEN(Table1[[#This Row],[Category and Sub-Category]])-FIND("/",Table1[[#This Row],[Category and Sub-Category]]))</f>
        <v>rock</v>
      </c>
    </row>
    <row r="808" spans="1:22" x14ac:dyDescent="0.3">
      <c r="A808">
        <v>806</v>
      </c>
      <c r="B808" s="3" t="s">
        <v>807</v>
      </c>
      <c r="C808" s="3" t="s">
        <v>4916</v>
      </c>
      <c r="D808" s="12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>((Table1[[#This Row],[deadline]]/60)/60/24)+DATE(1970,1,1)</f>
        <v>40793.691423611112</v>
      </c>
      <c r="K808">
        <v>1312821339</v>
      </c>
      <c r="L808" s="11">
        <f>((Table1[[#This Row],[launched_at]]/60)/60/24)+DATE(1970,1,1)</f>
        <v>40763.691423611112</v>
      </c>
      <c r="M808">
        <f>MONTH(Table1[[#This Row],[Date Created Conversion]])</f>
        <v>8</v>
      </c>
      <c r="N808">
        <f>YEAR(Table1[[#This Row],[Date Created Conversion]])</f>
        <v>2011</v>
      </c>
      <c r="O808" t="b">
        <v>0</v>
      </c>
      <c r="P808">
        <v>71</v>
      </c>
      <c r="Q808" t="b">
        <v>1</v>
      </c>
      <c r="R808" t="s">
        <v>8276</v>
      </c>
      <c r="S808" s="6">
        <f>Table1[[#This Row],[pledged]]/Table1[[#This Row],[goal]]</f>
        <v>1.0443750000000001</v>
      </c>
      <c r="T808" s="8">
        <f>IF(Table1[[#This Row],[pledged]]=0,"no backers",Table1[[#This Row],[pledged]]/Table1[[#This Row],[backers_count]])</f>
        <v>117.67605633802818</v>
      </c>
      <c r="U808" t="str">
        <f>LEFT(Table1[[#This Row],[Category and Sub-Category]],FIND("/",Table1[[#This Row],[Category and Sub-Category]])-1)</f>
        <v>music</v>
      </c>
      <c r="V808" t="str">
        <f>RIGHT(Table1[[#This Row],[Category and Sub-Category]],LEN(Table1[[#This Row],[Category and Sub-Category]])-FIND("/",Table1[[#This Row],[Category and Sub-Category]]))</f>
        <v>rock</v>
      </c>
    </row>
    <row r="809" spans="1:22" ht="28.8" x14ac:dyDescent="0.3">
      <c r="A809">
        <v>807</v>
      </c>
      <c r="B809" s="3" t="s">
        <v>808</v>
      </c>
      <c r="C809" s="3" t="s">
        <v>4917</v>
      </c>
      <c r="D809" s="12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>((Table1[[#This Row],[deadline]]/60)/60/24)+DATE(1970,1,1)</f>
        <v>42795.083333333328</v>
      </c>
      <c r="K809">
        <v>1485270311</v>
      </c>
      <c r="L809" s="11">
        <f>((Table1[[#This Row],[launched_at]]/60)/60/24)+DATE(1970,1,1)</f>
        <v>42759.628599537042</v>
      </c>
      <c r="M809">
        <f>MONTH(Table1[[#This Row],[Date Created Conversion]])</f>
        <v>1</v>
      </c>
      <c r="N809">
        <f>YEAR(Table1[[#This Row],[Date Created Conversion]])</f>
        <v>2017</v>
      </c>
      <c r="O809" t="b">
        <v>0</v>
      </c>
      <c r="P809">
        <v>57</v>
      </c>
      <c r="Q809" t="b">
        <v>1</v>
      </c>
      <c r="R809" t="s">
        <v>8276</v>
      </c>
      <c r="S809" s="6">
        <f>Table1[[#This Row],[pledged]]/Table1[[#This Row],[goal]]</f>
        <v>1.05125</v>
      </c>
      <c r="T809" s="8">
        <f>IF(Table1[[#This Row],[pledged]]=0,"no backers",Table1[[#This Row],[pledged]]/Table1[[#This Row],[backers_count]])</f>
        <v>73.771929824561397</v>
      </c>
      <c r="U809" t="str">
        <f>LEFT(Table1[[#This Row],[Category and Sub-Category]],FIND("/",Table1[[#This Row],[Category and Sub-Category]])-1)</f>
        <v>music</v>
      </c>
      <c r="V809" t="str">
        <f>RIGHT(Table1[[#This Row],[Category and Sub-Category]],LEN(Table1[[#This Row],[Category and Sub-Category]])-FIND("/",Table1[[#This Row],[Category and Sub-Category]]))</f>
        <v>rock</v>
      </c>
    </row>
    <row r="810" spans="1:22" ht="43.2" x14ac:dyDescent="0.3">
      <c r="A810">
        <v>808</v>
      </c>
      <c r="B810" s="3" t="s">
        <v>809</v>
      </c>
      <c r="C810" s="3" t="s">
        <v>4918</v>
      </c>
      <c r="D810" s="12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>((Table1[[#This Row],[deadline]]/60)/60/24)+DATE(1970,1,1)</f>
        <v>41995.207638888889</v>
      </c>
      <c r="K810">
        <v>1416363886</v>
      </c>
      <c r="L810" s="11">
        <f>((Table1[[#This Row],[launched_at]]/60)/60/24)+DATE(1970,1,1)</f>
        <v>41962.100532407407</v>
      </c>
      <c r="M810">
        <f>MONTH(Table1[[#This Row],[Date Created Conversion]])</f>
        <v>11</v>
      </c>
      <c r="N810">
        <f>YEAR(Table1[[#This Row],[Date Created Conversion]])</f>
        <v>2014</v>
      </c>
      <c r="O810" t="b">
        <v>0</v>
      </c>
      <c r="P810">
        <v>43</v>
      </c>
      <c r="Q810" t="b">
        <v>1</v>
      </c>
      <c r="R810" t="s">
        <v>8276</v>
      </c>
      <c r="S810" s="6">
        <f>Table1[[#This Row],[pledged]]/Table1[[#This Row],[goal]]</f>
        <v>1</v>
      </c>
      <c r="T810" s="8">
        <f>IF(Table1[[#This Row],[pledged]]=0,"no backers",Table1[[#This Row],[pledged]]/Table1[[#This Row],[backers_count]])</f>
        <v>104.65116279069767</v>
      </c>
      <c r="U810" t="str">
        <f>LEFT(Table1[[#This Row],[Category and Sub-Category]],FIND("/",Table1[[#This Row],[Category and Sub-Category]])-1)</f>
        <v>music</v>
      </c>
      <c r="V810" t="str">
        <f>RIGHT(Table1[[#This Row],[Category and Sub-Category]],LEN(Table1[[#This Row],[Category and Sub-Category]])-FIND("/",Table1[[#This Row],[Category and Sub-Category]]))</f>
        <v>rock</v>
      </c>
    </row>
    <row r="811" spans="1:22" ht="43.2" x14ac:dyDescent="0.3">
      <c r="A811">
        <v>809</v>
      </c>
      <c r="B811" s="3" t="s">
        <v>810</v>
      </c>
      <c r="C811" s="3" t="s">
        <v>4919</v>
      </c>
      <c r="D811" s="12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>((Table1[[#This Row],[deadline]]/60)/60/24)+DATE(1970,1,1)</f>
        <v>41658.833680555559</v>
      </c>
      <c r="K811">
        <v>1387569630</v>
      </c>
      <c r="L811" s="11">
        <f>((Table1[[#This Row],[launched_at]]/60)/60/24)+DATE(1970,1,1)</f>
        <v>41628.833680555559</v>
      </c>
      <c r="M811">
        <f>MONTH(Table1[[#This Row],[Date Created Conversion]])</f>
        <v>12</v>
      </c>
      <c r="N811">
        <f>YEAR(Table1[[#This Row],[Date Created Conversion]])</f>
        <v>2013</v>
      </c>
      <c r="O811" t="b">
        <v>0</v>
      </c>
      <c r="P811">
        <v>52</v>
      </c>
      <c r="Q811" t="b">
        <v>1</v>
      </c>
      <c r="R811" t="s">
        <v>8276</v>
      </c>
      <c r="S811" s="6">
        <f>Table1[[#This Row],[pledged]]/Table1[[#This Row],[goal]]</f>
        <v>1.03775</v>
      </c>
      <c r="T811" s="8">
        <f>IF(Table1[[#This Row],[pledged]]=0,"no backers",Table1[[#This Row],[pledged]]/Table1[[#This Row],[backers_count]])</f>
        <v>79.82692307692308</v>
      </c>
      <c r="U811" t="str">
        <f>LEFT(Table1[[#This Row],[Category and Sub-Category]],FIND("/",Table1[[#This Row],[Category and Sub-Category]])-1)</f>
        <v>music</v>
      </c>
      <c r="V811" t="str">
        <f>RIGHT(Table1[[#This Row],[Category and Sub-Category]],LEN(Table1[[#This Row],[Category and Sub-Category]])-FIND("/",Table1[[#This Row],[Category and Sub-Category]]))</f>
        <v>rock</v>
      </c>
    </row>
    <row r="812" spans="1:22" ht="43.2" x14ac:dyDescent="0.3">
      <c r="A812">
        <v>810</v>
      </c>
      <c r="B812" s="3" t="s">
        <v>811</v>
      </c>
      <c r="C812" s="3" t="s">
        <v>4920</v>
      </c>
      <c r="D812" s="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>((Table1[[#This Row],[deadline]]/60)/60/24)+DATE(1970,1,1)</f>
        <v>41153.056273148148</v>
      </c>
      <c r="K812">
        <v>1343870462</v>
      </c>
      <c r="L812" s="11">
        <f>((Table1[[#This Row],[launched_at]]/60)/60/24)+DATE(1970,1,1)</f>
        <v>41123.056273148148</v>
      </c>
      <c r="M812">
        <f>MONTH(Table1[[#This Row],[Date Created Conversion]])</f>
        <v>8</v>
      </c>
      <c r="N812">
        <f>YEAR(Table1[[#This Row],[Date Created Conversion]])</f>
        <v>2012</v>
      </c>
      <c r="O812" t="b">
        <v>0</v>
      </c>
      <c r="P812">
        <v>27</v>
      </c>
      <c r="Q812" t="b">
        <v>1</v>
      </c>
      <c r="R812" t="s">
        <v>8276</v>
      </c>
      <c r="S812" s="6">
        <f>Table1[[#This Row],[pledged]]/Table1[[#This Row],[goal]]</f>
        <v>1.05</v>
      </c>
      <c r="T812" s="8">
        <f>IF(Table1[[#This Row],[pledged]]=0,"no backers",Table1[[#This Row],[pledged]]/Table1[[#This Row],[backers_count]])</f>
        <v>58.333333333333336</v>
      </c>
      <c r="U812" t="str">
        <f>LEFT(Table1[[#This Row],[Category and Sub-Category]],FIND("/",Table1[[#This Row],[Category and Sub-Category]])-1)</f>
        <v>music</v>
      </c>
      <c r="V812" t="str">
        <f>RIGHT(Table1[[#This Row],[Category and Sub-Category]],LEN(Table1[[#This Row],[Category and Sub-Category]])-FIND("/",Table1[[#This Row],[Category and Sub-Category]]))</f>
        <v>rock</v>
      </c>
    </row>
    <row r="813" spans="1:22" ht="28.8" x14ac:dyDescent="0.3">
      <c r="A813">
        <v>811</v>
      </c>
      <c r="B813" s="3" t="s">
        <v>812</v>
      </c>
      <c r="C813" s="3" t="s">
        <v>4921</v>
      </c>
      <c r="D813" s="12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>((Table1[[#This Row],[deadline]]/60)/60/24)+DATE(1970,1,1)</f>
        <v>41465.702777777777</v>
      </c>
      <c r="K813">
        <v>1371569202</v>
      </c>
      <c r="L813" s="11">
        <f>((Table1[[#This Row],[launched_at]]/60)/60/24)+DATE(1970,1,1)</f>
        <v>41443.643541666665</v>
      </c>
      <c r="M813">
        <f>MONTH(Table1[[#This Row],[Date Created Conversion]])</f>
        <v>6</v>
      </c>
      <c r="N813">
        <f>YEAR(Table1[[#This Row],[Date Created Conversion]])</f>
        <v>2013</v>
      </c>
      <c r="O813" t="b">
        <v>0</v>
      </c>
      <c r="P813">
        <v>12</v>
      </c>
      <c r="Q813" t="b">
        <v>1</v>
      </c>
      <c r="R813" t="s">
        <v>8276</v>
      </c>
      <c r="S813" s="6">
        <f>Table1[[#This Row],[pledged]]/Table1[[#This Row],[goal]]</f>
        <v>1.04</v>
      </c>
      <c r="T813" s="8">
        <f>IF(Table1[[#This Row],[pledged]]=0,"no backers",Table1[[#This Row],[pledged]]/Table1[[#This Row],[backers_count]])</f>
        <v>86.666666666666671</v>
      </c>
      <c r="U813" t="str">
        <f>LEFT(Table1[[#This Row],[Category and Sub-Category]],FIND("/",Table1[[#This Row],[Category and Sub-Category]])-1)</f>
        <v>music</v>
      </c>
      <c r="V813" t="str">
        <f>RIGHT(Table1[[#This Row],[Category and Sub-Category]],LEN(Table1[[#This Row],[Category and Sub-Category]])-FIND("/",Table1[[#This Row],[Category and Sub-Category]]))</f>
        <v>rock</v>
      </c>
    </row>
    <row r="814" spans="1:22" ht="43.2" x14ac:dyDescent="0.3">
      <c r="A814">
        <v>812</v>
      </c>
      <c r="B814" s="3" t="s">
        <v>813</v>
      </c>
      <c r="C814" s="3" t="s">
        <v>4922</v>
      </c>
      <c r="D814" s="12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>((Table1[[#This Row],[deadline]]/60)/60/24)+DATE(1970,1,1)</f>
        <v>41334.581944444442</v>
      </c>
      <c r="K814">
        <v>1357604752</v>
      </c>
      <c r="L814" s="11">
        <f>((Table1[[#This Row],[launched_at]]/60)/60/24)+DATE(1970,1,1)</f>
        <v>41282.017962962964</v>
      </c>
      <c r="M814">
        <f>MONTH(Table1[[#This Row],[Date Created Conversion]])</f>
        <v>1</v>
      </c>
      <c r="N814">
        <f>YEAR(Table1[[#This Row],[Date Created Conversion]])</f>
        <v>2013</v>
      </c>
      <c r="O814" t="b">
        <v>0</v>
      </c>
      <c r="P814">
        <v>33</v>
      </c>
      <c r="Q814" t="b">
        <v>1</v>
      </c>
      <c r="R814" t="s">
        <v>8276</v>
      </c>
      <c r="S814" s="6">
        <f>Table1[[#This Row],[pledged]]/Table1[[#This Row],[goal]]</f>
        <v>1.5183333333333333</v>
      </c>
      <c r="T814" s="8">
        <f>IF(Table1[[#This Row],[pledged]]=0,"no backers",Table1[[#This Row],[pledged]]/Table1[[#This Row],[backers_count]])</f>
        <v>27.606060606060606</v>
      </c>
      <c r="U814" t="str">
        <f>LEFT(Table1[[#This Row],[Category and Sub-Category]],FIND("/",Table1[[#This Row],[Category and Sub-Category]])-1)</f>
        <v>music</v>
      </c>
      <c r="V814" t="str">
        <f>RIGHT(Table1[[#This Row],[Category and Sub-Category]],LEN(Table1[[#This Row],[Category and Sub-Category]])-FIND("/",Table1[[#This Row],[Category and Sub-Category]]))</f>
        <v>rock</v>
      </c>
    </row>
    <row r="815" spans="1:22" ht="28.8" x14ac:dyDescent="0.3">
      <c r="A815">
        <v>813</v>
      </c>
      <c r="B815" s="3" t="s">
        <v>814</v>
      </c>
      <c r="C815" s="3" t="s">
        <v>4923</v>
      </c>
      <c r="D815" s="12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>((Table1[[#This Row],[deadline]]/60)/60/24)+DATE(1970,1,1)</f>
        <v>41110.960243055553</v>
      </c>
      <c r="K815">
        <v>1340233365</v>
      </c>
      <c r="L815" s="11">
        <f>((Table1[[#This Row],[launched_at]]/60)/60/24)+DATE(1970,1,1)</f>
        <v>41080.960243055553</v>
      </c>
      <c r="M815">
        <f>MONTH(Table1[[#This Row],[Date Created Conversion]])</f>
        <v>6</v>
      </c>
      <c r="N815">
        <f>YEAR(Table1[[#This Row],[Date Created Conversion]])</f>
        <v>2012</v>
      </c>
      <c r="O815" t="b">
        <v>0</v>
      </c>
      <c r="P815">
        <v>96</v>
      </c>
      <c r="Q815" t="b">
        <v>1</v>
      </c>
      <c r="R815" t="s">
        <v>8276</v>
      </c>
      <c r="S815" s="6">
        <f>Table1[[#This Row],[pledged]]/Table1[[#This Row],[goal]]</f>
        <v>1.59996</v>
      </c>
      <c r="T815" s="8">
        <f>IF(Table1[[#This Row],[pledged]]=0,"no backers",Table1[[#This Row],[pledged]]/Table1[[#This Row],[backers_count]])</f>
        <v>24.999375000000001</v>
      </c>
      <c r="U815" t="str">
        <f>LEFT(Table1[[#This Row],[Category and Sub-Category]],FIND("/",Table1[[#This Row],[Category and Sub-Category]])-1)</f>
        <v>music</v>
      </c>
      <c r="V815" t="str">
        <f>RIGHT(Table1[[#This Row],[Category and Sub-Category]],LEN(Table1[[#This Row],[Category and Sub-Category]])-FIND("/",Table1[[#This Row],[Category and Sub-Category]]))</f>
        <v>rock</v>
      </c>
    </row>
    <row r="816" spans="1:22" ht="43.2" x14ac:dyDescent="0.3">
      <c r="A816">
        <v>814</v>
      </c>
      <c r="B816" s="3" t="s">
        <v>815</v>
      </c>
      <c r="C816" s="3" t="s">
        <v>4924</v>
      </c>
      <c r="D816" s="12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>((Table1[[#This Row],[deadline]]/60)/60/24)+DATE(1970,1,1)</f>
        <v>40694.75277777778</v>
      </c>
      <c r="K816">
        <v>1305568201</v>
      </c>
      <c r="L816" s="11">
        <f>((Table1[[#This Row],[launched_at]]/60)/60/24)+DATE(1970,1,1)</f>
        <v>40679.743067129632</v>
      </c>
      <c r="M816">
        <f>MONTH(Table1[[#This Row],[Date Created Conversion]])</f>
        <v>5</v>
      </c>
      <c r="N816">
        <f>YEAR(Table1[[#This Row],[Date Created Conversion]])</f>
        <v>2011</v>
      </c>
      <c r="O816" t="b">
        <v>0</v>
      </c>
      <c r="P816">
        <v>28</v>
      </c>
      <c r="Q816" t="b">
        <v>1</v>
      </c>
      <c r="R816" t="s">
        <v>8276</v>
      </c>
      <c r="S816" s="6">
        <f>Table1[[#This Row],[pledged]]/Table1[[#This Row],[goal]]</f>
        <v>1.2729999999999999</v>
      </c>
      <c r="T816" s="8">
        <f>IF(Table1[[#This Row],[pledged]]=0,"no backers",Table1[[#This Row],[pledged]]/Table1[[#This Row],[backers_count]])</f>
        <v>45.464285714285715</v>
      </c>
      <c r="U816" t="str">
        <f>LEFT(Table1[[#This Row],[Category and Sub-Category]],FIND("/",Table1[[#This Row],[Category and Sub-Category]])-1)</f>
        <v>music</v>
      </c>
      <c r="V816" t="str">
        <f>RIGHT(Table1[[#This Row],[Category and Sub-Category]],LEN(Table1[[#This Row],[Category and Sub-Category]])-FIND("/",Table1[[#This Row],[Category and Sub-Category]]))</f>
        <v>rock</v>
      </c>
    </row>
    <row r="817" spans="1:22" ht="28.8" x14ac:dyDescent="0.3">
      <c r="A817">
        <v>815</v>
      </c>
      <c r="B817" s="3" t="s">
        <v>816</v>
      </c>
      <c r="C817" s="3" t="s">
        <v>4925</v>
      </c>
      <c r="D817" s="12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>((Table1[[#This Row],[deadline]]/60)/60/24)+DATE(1970,1,1)</f>
        <v>41944.917858796296</v>
      </c>
      <c r="K817">
        <v>1412287303</v>
      </c>
      <c r="L817" s="11">
        <f>((Table1[[#This Row],[launched_at]]/60)/60/24)+DATE(1970,1,1)</f>
        <v>41914.917858796296</v>
      </c>
      <c r="M817">
        <f>MONTH(Table1[[#This Row],[Date Created Conversion]])</f>
        <v>10</v>
      </c>
      <c r="N817">
        <f>YEAR(Table1[[#This Row],[Date Created Conversion]])</f>
        <v>2014</v>
      </c>
      <c r="O817" t="b">
        <v>0</v>
      </c>
      <c r="P817">
        <v>43</v>
      </c>
      <c r="Q817" t="b">
        <v>1</v>
      </c>
      <c r="R817" t="s">
        <v>8276</v>
      </c>
      <c r="S817" s="6">
        <f>Table1[[#This Row],[pledged]]/Table1[[#This Row],[goal]]</f>
        <v>1.07</v>
      </c>
      <c r="T817" s="8">
        <f>IF(Table1[[#This Row],[pledged]]=0,"no backers",Table1[[#This Row],[pledged]]/Table1[[#This Row],[backers_count]])</f>
        <v>99.534883720930239</v>
      </c>
      <c r="U817" t="str">
        <f>LEFT(Table1[[#This Row],[Category and Sub-Category]],FIND("/",Table1[[#This Row],[Category and Sub-Category]])-1)</f>
        <v>music</v>
      </c>
      <c r="V817" t="str">
        <f>RIGHT(Table1[[#This Row],[Category and Sub-Category]],LEN(Table1[[#This Row],[Category and Sub-Category]])-FIND("/",Table1[[#This Row],[Category and Sub-Category]]))</f>
        <v>rock</v>
      </c>
    </row>
    <row r="818" spans="1:22" ht="28.8" x14ac:dyDescent="0.3">
      <c r="A818">
        <v>816</v>
      </c>
      <c r="B818" s="3" t="s">
        <v>817</v>
      </c>
      <c r="C818" s="3" t="s">
        <v>4926</v>
      </c>
      <c r="D818" s="12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>((Table1[[#This Row],[deadline]]/60)/60/24)+DATE(1970,1,1)</f>
        <v>41373.270833333336</v>
      </c>
      <c r="K818">
        <v>1362776043</v>
      </c>
      <c r="L818" s="11">
        <f>((Table1[[#This Row],[launched_at]]/60)/60/24)+DATE(1970,1,1)</f>
        <v>41341.870868055557</v>
      </c>
      <c r="M818">
        <f>MONTH(Table1[[#This Row],[Date Created Conversion]])</f>
        <v>3</v>
      </c>
      <c r="N818">
        <f>YEAR(Table1[[#This Row],[Date Created Conversion]])</f>
        <v>2013</v>
      </c>
      <c r="O818" t="b">
        <v>0</v>
      </c>
      <c r="P818">
        <v>205</v>
      </c>
      <c r="Q818" t="b">
        <v>1</v>
      </c>
      <c r="R818" t="s">
        <v>8276</v>
      </c>
      <c r="S818" s="6">
        <f>Table1[[#This Row],[pledged]]/Table1[[#This Row],[goal]]</f>
        <v>1.1512214285714286</v>
      </c>
      <c r="T818" s="8">
        <f>IF(Table1[[#This Row],[pledged]]=0,"no backers",Table1[[#This Row],[pledged]]/Table1[[#This Row],[backers_count]])</f>
        <v>39.31</v>
      </c>
      <c r="U818" t="str">
        <f>LEFT(Table1[[#This Row],[Category and Sub-Category]],FIND("/",Table1[[#This Row],[Category and Sub-Category]])-1)</f>
        <v>music</v>
      </c>
      <c r="V818" t="str">
        <f>RIGHT(Table1[[#This Row],[Category and Sub-Category]],LEN(Table1[[#This Row],[Category and Sub-Category]])-FIND("/",Table1[[#This Row],[Category and Sub-Category]]))</f>
        <v>rock</v>
      </c>
    </row>
    <row r="819" spans="1:22" ht="43.2" x14ac:dyDescent="0.3">
      <c r="A819">
        <v>817</v>
      </c>
      <c r="B819" s="3" t="s">
        <v>818</v>
      </c>
      <c r="C819" s="3" t="s">
        <v>4927</v>
      </c>
      <c r="D819" s="12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>((Table1[[#This Row],[deadline]]/60)/60/24)+DATE(1970,1,1)</f>
        <v>40979.207638888889</v>
      </c>
      <c r="K819">
        <v>1326810211</v>
      </c>
      <c r="L819" s="11">
        <f>((Table1[[#This Row],[launched_at]]/60)/60/24)+DATE(1970,1,1)</f>
        <v>40925.599664351852</v>
      </c>
      <c r="M819">
        <f>MONTH(Table1[[#This Row],[Date Created Conversion]])</f>
        <v>1</v>
      </c>
      <c r="N819">
        <f>YEAR(Table1[[#This Row],[Date Created Conversion]])</f>
        <v>2012</v>
      </c>
      <c r="O819" t="b">
        <v>0</v>
      </c>
      <c r="P819">
        <v>23</v>
      </c>
      <c r="Q819" t="b">
        <v>1</v>
      </c>
      <c r="R819" t="s">
        <v>8276</v>
      </c>
      <c r="S819" s="6">
        <f>Table1[[#This Row],[pledged]]/Table1[[#This Row],[goal]]</f>
        <v>1.3711066666666665</v>
      </c>
      <c r="T819" s="8">
        <f>IF(Table1[[#This Row],[pledged]]=0,"no backers",Table1[[#This Row],[pledged]]/Table1[[#This Row],[backers_count]])</f>
        <v>89.419999999999987</v>
      </c>
      <c r="U819" t="str">
        <f>LEFT(Table1[[#This Row],[Category and Sub-Category]],FIND("/",Table1[[#This Row],[Category and Sub-Category]])-1)</f>
        <v>music</v>
      </c>
      <c r="V819" t="str">
        <f>RIGHT(Table1[[#This Row],[Category and Sub-Category]],LEN(Table1[[#This Row],[Category and Sub-Category]])-FIND("/",Table1[[#This Row],[Category and Sub-Category]]))</f>
        <v>rock</v>
      </c>
    </row>
    <row r="820" spans="1:22" ht="43.2" x14ac:dyDescent="0.3">
      <c r="A820">
        <v>818</v>
      </c>
      <c r="B820" s="3" t="s">
        <v>819</v>
      </c>
      <c r="C820" s="3" t="s">
        <v>4928</v>
      </c>
      <c r="D820" s="12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>((Table1[[#This Row],[deadline]]/60)/60/24)+DATE(1970,1,1)</f>
        <v>41128.709027777775</v>
      </c>
      <c r="K820">
        <v>1343682681</v>
      </c>
      <c r="L820" s="11">
        <f>((Table1[[#This Row],[launched_at]]/60)/60/24)+DATE(1970,1,1)</f>
        <v>41120.882881944446</v>
      </c>
      <c r="M820">
        <f>MONTH(Table1[[#This Row],[Date Created Conversion]])</f>
        <v>7</v>
      </c>
      <c r="N820">
        <f>YEAR(Table1[[#This Row],[Date Created Conversion]])</f>
        <v>2012</v>
      </c>
      <c r="O820" t="b">
        <v>0</v>
      </c>
      <c r="P820">
        <v>19</v>
      </c>
      <c r="Q820" t="b">
        <v>1</v>
      </c>
      <c r="R820" t="s">
        <v>8276</v>
      </c>
      <c r="S820" s="6">
        <f>Table1[[#This Row],[pledged]]/Table1[[#This Row],[goal]]</f>
        <v>1.5571428571428572</v>
      </c>
      <c r="T820" s="8">
        <f>IF(Table1[[#This Row],[pledged]]=0,"no backers",Table1[[#This Row],[pledged]]/Table1[[#This Row],[backers_count]])</f>
        <v>28.684210526315791</v>
      </c>
      <c r="U820" t="str">
        <f>LEFT(Table1[[#This Row],[Category and Sub-Category]],FIND("/",Table1[[#This Row],[Category and Sub-Category]])-1)</f>
        <v>music</v>
      </c>
      <c r="V820" t="str">
        <f>RIGHT(Table1[[#This Row],[Category and Sub-Category]],LEN(Table1[[#This Row],[Category and Sub-Category]])-FIND("/",Table1[[#This Row],[Category and Sub-Category]]))</f>
        <v>rock</v>
      </c>
    </row>
    <row r="821" spans="1:22" ht="28.8" x14ac:dyDescent="0.3">
      <c r="A821">
        <v>819</v>
      </c>
      <c r="B821" s="3" t="s">
        <v>820</v>
      </c>
      <c r="C821" s="3" t="s">
        <v>4929</v>
      </c>
      <c r="D821" s="12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>((Table1[[#This Row],[deadline]]/60)/60/24)+DATE(1970,1,1)</f>
        <v>41629.197222222225</v>
      </c>
      <c r="K821">
        <v>1386806254</v>
      </c>
      <c r="L821" s="11">
        <f>((Table1[[#This Row],[launched_at]]/60)/60/24)+DATE(1970,1,1)</f>
        <v>41619.998310185183</v>
      </c>
      <c r="M821">
        <f>MONTH(Table1[[#This Row],[Date Created Conversion]])</f>
        <v>12</v>
      </c>
      <c r="N821">
        <f>YEAR(Table1[[#This Row],[Date Created Conversion]])</f>
        <v>2013</v>
      </c>
      <c r="O821" t="b">
        <v>0</v>
      </c>
      <c r="P821">
        <v>14</v>
      </c>
      <c r="Q821" t="b">
        <v>1</v>
      </c>
      <c r="R821" t="s">
        <v>8276</v>
      </c>
      <c r="S821" s="6">
        <f>Table1[[#This Row],[pledged]]/Table1[[#This Row],[goal]]</f>
        <v>1.0874999999999999</v>
      </c>
      <c r="T821" s="8">
        <f>IF(Table1[[#This Row],[pledged]]=0,"no backers",Table1[[#This Row],[pledged]]/Table1[[#This Row],[backers_count]])</f>
        <v>31.071428571428573</v>
      </c>
      <c r="U821" t="str">
        <f>LEFT(Table1[[#This Row],[Category and Sub-Category]],FIND("/",Table1[[#This Row],[Category and Sub-Category]])-1)</f>
        <v>music</v>
      </c>
      <c r="V821" t="str">
        <f>RIGHT(Table1[[#This Row],[Category and Sub-Category]],LEN(Table1[[#This Row],[Category and Sub-Category]])-FIND("/",Table1[[#This Row],[Category and Sub-Category]]))</f>
        <v>rock</v>
      </c>
    </row>
    <row r="822" spans="1:22" ht="43.2" x14ac:dyDescent="0.3">
      <c r="A822">
        <v>820</v>
      </c>
      <c r="B822" s="3" t="s">
        <v>821</v>
      </c>
      <c r="C822" s="3" t="s">
        <v>4930</v>
      </c>
      <c r="D822" s="1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>((Table1[[#This Row],[deadline]]/60)/60/24)+DATE(1970,1,1)</f>
        <v>41799.208333333336</v>
      </c>
      <c r="K822">
        <v>1399666342</v>
      </c>
      <c r="L822" s="11">
        <f>((Table1[[#This Row],[launched_at]]/60)/60/24)+DATE(1970,1,1)</f>
        <v>41768.841921296298</v>
      </c>
      <c r="M822">
        <f>MONTH(Table1[[#This Row],[Date Created Conversion]])</f>
        <v>5</v>
      </c>
      <c r="N822">
        <f>YEAR(Table1[[#This Row],[Date Created Conversion]])</f>
        <v>2014</v>
      </c>
      <c r="O822" t="b">
        <v>0</v>
      </c>
      <c r="P822">
        <v>38</v>
      </c>
      <c r="Q822" t="b">
        <v>1</v>
      </c>
      <c r="R822" t="s">
        <v>8276</v>
      </c>
      <c r="S822" s="6">
        <f>Table1[[#This Row],[pledged]]/Table1[[#This Row],[goal]]</f>
        <v>1.3405</v>
      </c>
      <c r="T822" s="8">
        <f>IF(Table1[[#This Row],[pledged]]=0,"no backers",Table1[[#This Row],[pledged]]/Table1[[#This Row],[backers_count]])</f>
        <v>70.55263157894737</v>
      </c>
      <c r="U822" t="str">
        <f>LEFT(Table1[[#This Row],[Category and Sub-Category]],FIND("/",Table1[[#This Row],[Category and Sub-Category]])-1)</f>
        <v>music</v>
      </c>
      <c r="V822" t="str">
        <f>RIGHT(Table1[[#This Row],[Category and Sub-Category]],LEN(Table1[[#This Row],[Category and Sub-Category]])-FIND("/",Table1[[#This Row],[Category and Sub-Category]]))</f>
        <v>rock</v>
      </c>
    </row>
    <row r="823" spans="1:22" ht="43.2" x14ac:dyDescent="0.3">
      <c r="A823">
        <v>821</v>
      </c>
      <c r="B823" s="3" t="s">
        <v>822</v>
      </c>
      <c r="C823" s="3" t="s">
        <v>4931</v>
      </c>
      <c r="D823" s="12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>((Table1[[#This Row],[deadline]]/60)/60/24)+DATE(1970,1,1)</f>
        <v>42128.167361111111</v>
      </c>
      <c r="K823">
        <v>1427753265</v>
      </c>
      <c r="L823" s="11">
        <f>((Table1[[#This Row],[launched_at]]/60)/60/24)+DATE(1970,1,1)</f>
        <v>42093.922048611115</v>
      </c>
      <c r="M823">
        <f>MONTH(Table1[[#This Row],[Date Created Conversion]])</f>
        <v>3</v>
      </c>
      <c r="N823">
        <f>YEAR(Table1[[#This Row],[Date Created Conversion]])</f>
        <v>2015</v>
      </c>
      <c r="O823" t="b">
        <v>0</v>
      </c>
      <c r="P823">
        <v>78</v>
      </c>
      <c r="Q823" t="b">
        <v>1</v>
      </c>
      <c r="R823" t="s">
        <v>8276</v>
      </c>
      <c r="S823" s="6">
        <f>Table1[[#This Row],[pledged]]/Table1[[#This Row],[goal]]</f>
        <v>1</v>
      </c>
      <c r="T823" s="8">
        <f>IF(Table1[[#This Row],[pledged]]=0,"no backers",Table1[[#This Row],[pledged]]/Table1[[#This Row],[backers_count]])</f>
        <v>224.12820512820514</v>
      </c>
      <c r="U823" t="str">
        <f>LEFT(Table1[[#This Row],[Category and Sub-Category]],FIND("/",Table1[[#This Row],[Category and Sub-Category]])-1)</f>
        <v>music</v>
      </c>
      <c r="V823" t="str">
        <f>RIGHT(Table1[[#This Row],[Category and Sub-Category]],LEN(Table1[[#This Row],[Category and Sub-Category]])-FIND("/",Table1[[#This Row],[Category and Sub-Category]]))</f>
        <v>rock</v>
      </c>
    </row>
    <row r="824" spans="1:22" ht="43.2" x14ac:dyDescent="0.3">
      <c r="A824">
        <v>822</v>
      </c>
      <c r="B824" s="3" t="s">
        <v>823</v>
      </c>
      <c r="C824" s="3" t="s">
        <v>4932</v>
      </c>
      <c r="D824" s="12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>((Table1[[#This Row],[deadline]]/60)/60/24)+DATE(1970,1,1)</f>
        <v>41187.947337962964</v>
      </c>
      <c r="K824">
        <v>1346885050</v>
      </c>
      <c r="L824" s="11">
        <f>((Table1[[#This Row],[launched_at]]/60)/60/24)+DATE(1970,1,1)</f>
        <v>41157.947337962964</v>
      </c>
      <c r="M824">
        <f>MONTH(Table1[[#This Row],[Date Created Conversion]])</f>
        <v>9</v>
      </c>
      <c r="N824">
        <f>YEAR(Table1[[#This Row],[Date Created Conversion]])</f>
        <v>2012</v>
      </c>
      <c r="O824" t="b">
        <v>0</v>
      </c>
      <c r="P824">
        <v>69</v>
      </c>
      <c r="Q824" t="b">
        <v>1</v>
      </c>
      <c r="R824" t="s">
        <v>8276</v>
      </c>
      <c r="S824" s="6">
        <f>Table1[[#This Row],[pledged]]/Table1[[#This Row],[goal]]</f>
        <v>1.1916666666666667</v>
      </c>
      <c r="T824" s="8">
        <f>IF(Table1[[#This Row],[pledged]]=0,"no backers",Table1[[#This Row],[pledged]]/Table1[[#This Row],[backers_count]])</f>
        <v>51.811594202898547</v>
      </c>
      <c r="U824" t="str">
        <f>LEFT(Table1[[#This Row],[Category and Sub-Category]],FIND("/",Table1[[#This Row],[Category and Sub-Category]])-1)</f>
        <v>music</v>
      </c>
      <c r="V824" t="str">
        <f>RIGHT(Table1[[#This Row],[Category and Sub-Category]],LEN(Table1[[#This Row],[Category and Sub-Category]])-FIND("/",Table1[[#This Row],[Category and Sub-Category]]))</f>
        <v>rock</v>
      </c>
    </row>
    <row r="825" spans="1:22" ht="43.2" x14ac:dyDescent="0.3">
      <c r="A825">
        <v>823</v>
      </c>
      <c r="B825" s="3" t="s">
        <v>824</v>
      </c>
      <c r="C825" s="3" t="s">
        <v>4933</v>
      </c>
      <c r="D825" s="12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>((Table1[[#This Row],[deadline]]/60)/60/24)+DATE(1970,1,1)</f>
        <v>42085.931157407409</v>
      </c>
      <c r="K825">
        <v>1424474452</v>
      </c>
      <c r="L825" s="11">
        <f>((Table1[[#This Row],[launched_at]]/60)/60/24)+DATE(1970,1,1)</f>
        <v>42055.972824074073</v>
      </c>
      <c r="M825">
        <f>MONTH(Table1[[#This Row],[Date Created Conversion]])</f>
        <v>2</v>
      </c>
      <c r="N825">
        <f>YEAR(Table1[[#This Row],[Date Created Conversion]])</f>
        <v>2015</v>
      </c>
      <c r="O825" t="b">
        <v>0</v>
      </c>
      <c r="P825">
        <v>33</v>
      </c>
      <c r="Q825" t="b">
        <v>1</v>
      </c>
      <c r="R825" t="s">
        <v>8276</v>
      </c>
      <c r="S825" s="6">
        <f>Table1[[#This Row],[pledged]]/Table1[[#This Row],[goal]]</f>
        <v>1.7949999999999999</v>
      </c>
      <c r="T825" s="8">
        <f>IF(Table1[[#This Row],[pledged]]=0,"no backers",Table1[[#This Row],[pledged]]/Table1[[#This Row],[backers_count]])</f>
        <v>43.515151515151516</v>
      </c>
      <c r="U825" t="str">
        <f>LEFT(Table1[[#This Row],[Category and Sub-Category]],FIND("/",Table1[[#This Row],[Category and Sub-Category]])-1)</f>
        <v>music</v>
      </c>
      <c r="V825" t="str">
        <f>RIGHT(Table1[[#This Row],[Category and Sub-Category]],LEN(Table1[[#This Row],[Category and Sub-Category]])-FIND("/",Table1[[#This Row],[Category and Sub-Category]]))</f>
        <v>rock</v>
      </c>
    </row>
    <row r="826" spans="1:22" ht="57.6" x14ac:dyDescent="0.3">
      <c r="A826">
        <v>824</v>
      </c>
      <c r="B826" s="3" t="s">
        <v>825</v>
      </c>
      <c r="C826" s="3" t="s">
        <v>4934</v>
      </c>
      <c r="D826" s="12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>((Table1[[#This Row],[deadline]]/60)/60/24)+DATE(1970,1,1)</f>
        <v>40286.290972222225</v>
      </c>
      <c r="K826">
        <v>1268459318</v>
      </c>
      <c r="L826" s="11">
        <f>((Table1[[#This Row],[launched_at]]/60)/60/24)+DATE(1970,1,1)</f>
        <v>40250.242106481484</v>
      </c>
      <c r="M826">
        <f>MONTH(Table1[[#This Row],[Date Created Conversion]])</f>
        <v>3</v>
      </c>
      <c r="N826">
        <f>YEAR(Table1[[#This Row],[Date Created Conversion]])</f>
        <v>2010</v>
      </c>
      <c r="O826" t="b">
        <v>0</v>
      </c>
      <c r="P826">
        <v>54</v>
      </c>
      <c r="Q826" t="b">
        <v>1</v>
      </c>
      <c r="R826" t="s">
        <v>8276</v>
      </c>
      <c r="S826" s="6">
        <f>Table1[[#This Row],[pledged]]/Table1[[#This Row],[goal]]</f>
        <v>1.3438124999999999</v>
      </c>
      <c r="T826" s="8">
        <f>IF(Table1[[#This Row],[pledged]]=0,"no backers",Table1[[#This Row],[pledged]]/Table1[[#This Row],[backers_count]])</f>
        <v>39.816666666666663</v>
      </c>
      <c r="U826" t="str">
        <f>LEFT(Table1[[#This Row],[Category and Sub-Category]],FIND("/",Table1[[#This Row],[Category and Sub-Category]])-1)</f>
        <v>music</v>
      </c>
      <c r="V826" t="str">
        <f>RIGHT(Table1[[#This Row],[Category and Sub-Category]],LEN(Table1[[#This Row],[Category and Sub-Category]])-FIND("/",Table1[[#This Row],[Category and Sub-Category]]))</f>
        <v>rock</v>
      </c>
    </row>
    <row r="827" spans="1:22" ht="28.8" x14ac:dyDescent="0.3">
      <c r="A827">
        <v>825</v>
      </c>
      <c r="B827" s="3" t="s">
        <v>826</v>
      </c>
      <c r="C827" s="3" t="s">
        <v>4935</v>
      </c>
      <c r="D827" s="12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>((Table1[[#This Row],[deadline]]/60)/60/24)+DATE(1970,1,1)</f>
        <v>41211.306527777779</v>
      </c>
      <c r="K827">
        <v>1349335284</v>
      </c>
      <c r="L827" s="11">
        <f>((Table1[[#This Row],[launched_at]]/60)/60/24)+DATE(1970,1,1)</f>
        <v>41186.306527777779</v>
      </c>
      <c r="M827">
        <f>MONTH(Table1[[#This Row],[Date Created Conversion]])</f>
        <v>10</v>
      </c>
      <c r="N827">
        <f>YEAR(Table1[[#This Row],[Date Created Conversion]])</f>
        <v>2012</v>
      </c>
      <c r="O827" t="b">
        <v>0</v>
      </c>
      <c r="P827">
        <v>99</v>
      </c>
      <c r="Q827" t="b">
        <v>1</v>
      </c>
      <c r="R827" t="s">
        <v>8276</v>
      </c>
      <c r="S827" s="6">
        <f>Table1[[#This Row],[pledged]]/Table1[[#This Row],[goal]]</f>
        <v>1.0043200000000001</v>
      </c>
      <c r="T827" s="8">
        <f>IF(Table1[[#This Row],[pledged]]=0,"no backers",Table1[[#This Row],[pledged]]/Table1[[#This Row],[backers_count]])</f>
        <v>126.8080808080808</v>
      </c>
      <c r="U827" t="str">
        <f>LEFT(Table1[[#This Row],[Category and Sub-Category]],FIND("/",Table1[[#This Row],[Category and Sub-Category]])-1)</f>
        <v>music</v>
      </c>
      <c r="V827" t="str">
        <f>RIGHT(Table1[[#This Row],[Category and Sub-Category]],LEN(Table1[[#This Row],[Category and Sub-Category]])-FIND("/",Table1[[#This Row],[Category and Sub-Category]]))</f>
        <v>rock</v>
      </c>
    </row>
    <row r="828" spans="1:22" ht="43.2" x14ac:dyDescent="0.3">
      <c r="A828">
        <v>826</v>
      </c>
      <c r="B828" s="3" t="s">
        <v>827</v>
      </c>
      <c r="C828" s="3" t="s">
        <v>4936</v>
      </c>
      <c r="D828" s="12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>((Table1[[#This Row],[deadline]]/60)/60/24)+DATE(1970,1,1)</f>
        <v>40993.996874999997</v>
      </c>
      <c r="K828">
        <v>1330908930</v>
      </c>
      <c r="L828" s="11">
        <f>((Table1[[#This Row],[launched_at]]/60)/60/24)+DATE(1970,1,1)</f>
        <v>40973.038541666669</v>
      </c>
      <c r="M828">
        <f>MONTH(Table1[[#This Row],[Date Created Conversion]])</f>
        <v>3</v>
      </c>
      <c r="N828">
        <f>YEAR(Table1[[#This Row],[Date Created Conversion]])</f>
        <v>2012</v>
      </c>
      <c r="O828" t="b">
        <v>0</v>
      </c>
      <c r="P828">
        <v>49</v>
      </c>
      <c r="Q828" t="b">
        <v>1</v>
      </c>
      <c r="R828" t="s">
        <v>8276</v>
      </c>
      <c r="S828" s="6">
        <f>Table1[[#This Row],[pledged]]/Table1[[#This Row],[goal]]</f>
        <v>1.0145454545454546</v>
      </c>
      <c r="T828" s="8">
        <f>IF(Table1[[#This Row],[pledged]]=0,"no backers",Table1[[#This Row],[pledged]]/Table1[[#This Row],[backers_count]])</f>
        <v>113.87755102040816</v>
      </c>
      <c r="U828" t="str">
        <f>LEFT(Table1[[#This Row],[Category and Sub-Category]],FIND("/",Table1[[#This Row],[Category and Sub-Category]])-1)</f>
        <v>music</v>
      </c>
      <c r="V828" t="str">
        <f>RIGHT(Table1[[#This Row],[Category and Sub-Category]],LEN(Table1[[#This Row],[Category and Sub-Category]])-FIND("/",Table1[[#This Row],[Category and Sub-Category]]))</f>
        <v>rock</v>
      </c>
    </row>
    <row r="829" spans="1:22" ht="57.6" x14ac:dyDescent="0.3">
      <c r="A829">
        <v>827</v>
      </c>
      <c r="B829" s="3" t="s">
        <v>828</v>
      </c>
      <c r="C829" s="3" t="s">
        <v>4937</v>
      </c>
      <c r="D829" s="12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>((Table1[[#This Row],[deadline]]/60)/60/24)+DATE(1970,1,1)</f>
        <v>40953.825694444444</v>
      </c>
      <c r="K829">
        <v>1326972107</v>
      </c>
      <c r="L829" s="11">
        <f>((Table1[[#This Row],[launched_at]]/60)/60/24)+DATE(1970,1,1)</f>
        <v>40927.473460648151</v>
      </c>
      <c r="M829">
        <f>MONTH(Table1[[#This Row],[Date Created Conversion]])</f>
        <v>1</v>
      </c>
      <c r="N829">
        <f>YEAR(Table1[[#This Row],[Date Created Conversion]])</f>
        <v>2012</v>
      </c>
      <c r="O829" t="b">
        <v>0</v>
      </c>
      <c r="P829">
        <v>11</v>
      </c>
      <c r="Q829" t="b">
        <v>1</v>
      </c>
      <c r="R829" t="s">
        <v>8276</v>
      </c>
      <c r="S829" s="6">
        <f>Table1[[#This Row],[pledged]]/Table1[[#This Row],[goal]]</f>
        <v>1.0333333333333334</v>
      </c>
      <c r="T829" s="8">
        <f>IF(Table1[[#This Row],[pledged]]=0,"no backers",Table1[[#This Row],[pledged]]/Table1[[#This Row],[backers_count]])</f>
        <v>28.181818181818183</v>
      </c>
      <c r="U829" t="str">
        <f>LEFT(Table1[[#This Row],[Category and Sub-Category]],FIND("/",Table1[[#This Row],[Category and Sub-Category]])-1)</f>
        <v>music</v>
      </c>
      <c r="V829" t="str">
        <f>RIGHT(Table1[[#This Row],[Category and Sub-Category]],LEN(Table1[[#This Row],[Category and Sub-Category]])-FIND("/",Table1[[#This Row],[Category and Sub-Category]]))</f>
        <v>rock</v>
      </c>
    </row>
    <row r="830" spans="1:22" ht="57.6" x14ac:dyDescent="0.3">
      <c r="A830">
        <v>828</v>
      </c>
      <c r="B830" s="3" t="s">
        <v>829</v>
      </c>
      <c r="C830" s="3" t="s">
        <v>4938</v>
      </c>
      <c r="D830" s="12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>((Table1[[#This Row],[deadline]]/60)/60/24)+DATE(1970,1,1)</f>
        <v>41085.683333333334</v>
      </c>
      <c r="K830">
        <v>1339549982</v>
      </c>
      <c r="L830" s="11">
        <f>((Table1[[#This Row],[launched_at]]/60)/60/24)+DATE(1970,1,1)</f>
        <v>41073.050717592596</v>
      </c>
      <c r="M830">
        <f>MONTH(Table1[[#This Row],[Date Created Conversion]])</f>
        <v>6</v>
      </c>
      <c r="N830">
        <f>YEAR(Table1[[#This Row],[Date Created Conversion]])</f>
        <v>2012</v>
      </c>
      <c r="O830" t="b">
        <v>0</v>
      </c>
      <c r="P830">
        <v>38</v>
      </c>
      <c r="Q830" t="b">
        <v>1</v>
      </c>
      <c r="R830" t="s">
        <v>8276</v>
      </c>
      <c r="S830" s="6">
        <f>Table1[[#This Row],[pledged]]/Table1[[#This Row],[goal]]</f>
        <v>1.07</v>
      </c>
      <c r="T830" s="8">
        <f>IF(Table1[[#This Row],[pledged]]=0,"no backers",Table1[[#This Row],[pledged]]/Table1[[#This Row],[backers_count]])</f>
        <v>36.60526315789474</v>
      </c>
      <c r="U830" t="str">
        <f>LEFT(Table1[[#This Row],[Category and Sub-Category]],FIND("/",Table1[[#This Row],[Category and Sub-Category]])-1)</f>
        <v>music</v>
      </c>
      <c r="V830" t="str">
        <f>RIGHT(Table1[[#This Row],[Category and Sub-Category]],LEN(Table1[[#This Row],[Category and Sub-Category]])-FIND("/",Table1[[#This Row],[Category and Sub-Category]]))</f>
        <v>rock</v>
      </c>
    </row>
    <row r="831" spans="1:22" ht="57.6" x14ac:dyDescent="0.3">
      <c r="A831">
        <v>829</v>
      </c>
      <c r="B831" s="3" t="s">
        <v>830</v>
      </c>
      <c r="C831" s="3" t="s">
        <v>4939</v>
      </c>
      <c r="D831" s="12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>((Table1[[#This Row],[deadline]]/60)/60/24)+DATE(1970,1,1)</f>
        <v>42564.801388888889</v>
      </c>
      <c r="K831">
        <v>1463253240</v>
      </c>
      <c r="L831" s="11">
        <f>((Table1[[#This Row],[launched_at]]/60)/60/24)+DATE(1970,1,1)</f>
        <v>42504.801388888889</v>
      </c>
      <c r="M831">
        <f>MONTH(Table1[[#This Row],[Date Created Conversion]])</f>
        <v>5</v>
      </c>
      <c r="N831">
        <f>YEAR(Table1[[#This Row],[Date Created Conversion]])</f>
        <v>2016</v>
      </c>
      <c r="O831" t="b">
        <v>0</v>
      </c>
      <c r="P831">
        <v>16</v>
      </c>
      <c r="Q831" t="b">
        <v>1</v>
      </c>
      <c r="R831" t="s">
        <v>8276</v>
      </c>
      <c r="S831" s="6">
        <f>Table1[[#This Row],[pledged]]/Table1[[#This Row],[goal]]</f>
        <v>1.04</v>
      </c>
      <c r="T831" s="8">
        <f>IF(Table1[[#This Row],[pledged]]=0,"no backers",Table1[[#This Row],[pledged]]/Table1[[#This Row],[backers_count]])</f>
        <v>32.5</v>
      </c>
      <c r="U831" t="str">
        <f>LEFT(Table1[[#This Row],[Category and Sub-Category]],FIND("/",Table1[[#This Row],[Category and Sub-Category]])-1)</f>
        <v>music</v>
      </c>
      <c r="V831" t="str">
        <f>RIGHT(Table1[[#This Row],[Category and Sub-Category]],LEN(Table1[[#This Row],[Category and Sub-Category]])-FIND("/",Table1[[#This Row],[Category and Sub-Category]]))</f>
        <v>rock</v>
      </c>
    </row>
    <row r="832" spans="1:22" ht="43.2" x14ac:dyDescent="0.3">
      <c r="A832">
        <v>830</v>
      </c>
      <c r="B832" s="3" t="s">
        <v>831</v>
      </c>
      <c r="C832" s="3" t="s">
        <v>4940</v>
      </c>
      <c r="D832" s="1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>((Table1[[#This Row],[deadline]]/60)/60/24)+DATE(1970,1,1)</f>
        <v>41355.484085648146</v>
      </c>
      <c r="K832">
        <v>1361363825</v>
      </c>
      <c r="L832" s="11">
        <f>((Table1[[#This Row],[launched_at]]/60)/60/24)+DATE(1970,1,1)</f>
        <v>41325.525752314818</v>
      </c>
      <c r="M832">
        <f>MONTH(Table1[[#This Row],[Date Created Conversion]])</f>
        <v>2</v>
      </c>
      <c r="N832">
        <f>YEAR(Table1[[#This Row],[Date Created Conversion]])</f>
        <v>2013</v>
      </c>
      <c r="O832" t="b">
        <v>0</v>
      </c>
      <c r="P832">
        <v>32</v>
      </c>
      <c r="Q832" t="b">
        <v>1</v>
      </c>
      <c r="R832" t="s">
        <v>8276</v>
      </c>
      <c r="S832" s="6">
        <f>Table1[[#This Row],[pledged]]/Table1[[#This Row],[goal]]</f>
        <v>1.0783333333333334</v>
      </c>
      <c r="T832" s="8">
        <f>IF(Table1[[#This Row],[pledged]]=0,"no backers",Table1[[#This Row],[pledged]]/Table1[[#This Row],[backers_count]])</f>
        <v>60.65625</v>
      </c>
      <c r="U832" t="str">
        <f>LEFT(Table1[[#This Row],[Category and Sub-Category]],FIND("/",Table1[[#This Row],[Category and Sub-Category]])-1)</f>
        <v>music</v>
      </c>
      <c r="V832" t="str">
        <f>RIGHT(Table1[[#This Row],[Category and Sub-Category]],LEN(Table1[[#This Row],[Category and Sub-Category]])-FIND("/",Table1[[#This Row],[Category and Sub-Category]]))</f>
        <v>rock</v>
      </c>
    </row>
    <row r="833" spans="1:22" ht="28.8" x14ac:dyDescent="0.3">
      <c r="A833">
        <v>831</v>
      </c>
      <c r="B833" s="3" t="s">
        <v>832</v>
      </c>
      <c r="C833" s="3" t="s">
        <v>4941</v>
      </c>
      <c r="D833" s="12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>((Table1[[#This Row],[deadline]]/60)/60/24)+DATE(1970,1,1)</f>
        <v>41026.646921296298</v>
      </c>
      <c r="K833">
        <v>1332948694</v>
      </c>
      <c r="L833" s="11">
        <f>((Table1[[#This Row],[launched_at]]/60)/60/24)+DATE(1970,1,1)</f>
        <v>40996.646921296298</v>
      </c>
      <c r="M833">
        <f>MONTH(Table1[[#This Row],[Date Created Conversion]])</f>
        <v>3</v>
      </c>
      <c r="N833">
        <f>YEAR(Table1[[#This Row],[Date Created Conversion]])</f>
        <v>2012</v>
      </c>
      <c r="O833" t="b">
        <v>0</v>
      </c>
      <c r="P833">
        <v>20</v>
      </c>
      <c r="Q833" t="b">
        <v>1</v>
      </c>
      <c r="R833" t="s">
        <v>8276</v>
      </c>
      <c r="S833" s="6">
        <f>Table1[[#This Row],[pledged]]/Table1[[#This Row],[goal]]</f>
        <v>2.3333333333333335</v>
      </c>
      <c r="T833" s="8">
        <f>IF(Table1[[#This Row],[pledged]]=0,"no backers",Table1[[#This Row],[pledged]]/Table1[[#This Row],[backers_count]])</f>
        <v>175</v>
      </c>
      <c r="U833" t="str">
        <f>LEFT(Table1[[#This Row],[Category and Sub-Category]],FIND("/",Table1[[#This Row],[Category and Sub-Category]])-1)</f>
        <v>music</v>
      </c>
      <c r="V833" t="str">
        <f>RIGHT(Table1[[#This Row],[Category and Sub-Category]],LEN(Table1[[#This Row],[Category and Sub-Category]])-FIND("/",Table1[[#This Row],[Category and Sub-Category]]))</f>
        <v>rock</v>
      </c>
    </row>
    <row r="834" spans="1:22" ht="43.2" x14ac:dyDescent="0.3">
      <c r="A834">
        <v>832</v>
      </c>
      <c r="B834" s="3" t="s">
        <v>833</v>
      </c>
      <c r="C834" s="3" t="s">
        <v>4942</v>
      </c>
      <c r="D834" s="12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>((Table1[[#This Row],[deadline]]/60)/60/24)+DATE(1970,1,1)</f>
        <v>40929.342361111114</v>
      </c>
      <c r="K834">
        <v>1321978335</v>
      </c>
      <c r="L834" s="11">
        <f>((Table1[[#This Row],[launched_at]]/60)/60/24)+DATE(1970,1,1)</f>
        <v>40869.675173611111</v>
      </c>
      <c r="M834">
        <f>MONTH(Table1[[#This Row],[Date Created Conversion]])</f>
        <v>11</v>
      </c>
      <c r="N834">
        <f>YEAR(Table1[[#This Row],[Date Created Conversion]])</f>
        <v>2011</v>
      </c>
      <c r="O834" t="b">
        <v>0</v>
      </c>
      <c r="P834">
        <v>154</v>
      </c>
      <c r="Q834" t="b">
        <v>1</v>
      </c>
      <c r="R834" t="s">
        <v>8276</v>
      </c>
      <c r="S834" s="6">
        <f>Table1[[#This Row],[pledged]]/Table1[[#This Row],[goal]]</f>
        <v>1.0060706666666666</v>
      </c>
      <c r="T834" s="8">
        <f>IF(Table1[[#This Row],[pledged]]=0,"no backers",Table1[[#This Row],[pledged]]/Table1[[#This Row],[backers_count]])</f>
        <v>97.993896103896105</v>
      </c>
      <c r="U834" t="str">
        <f>LEFT(Table1[[#This Row],[Category and Sub-Category]],FIND("/",Table1[[#This Row],[Category and Sub-Category]])-1)</f>
        <v>music</v>
      </c>
      <c r="V834" t="str">
        <f>RIGHT(Table1[[#This Row],[Category and Sub-Category]],LEN(Table1[[#This Row],[Category and Sub-Category]])-FIND("/",Table1[[#This Row],[Category and Sub-Category]]))</f>
        <v>rock</v>
      </c>
    </row>
    <row r="835" spans="1:22" x14ac:dyDescent="0.3">
      <c r="A835">
        <v>833</v>
      </c>
      <c r="B835" s="3" t="s">
        <v>834</v>
      </c>
      <c r="C835" s="3" t="s">
        <v>4943</v>
      </c>
      <c r="D835" s="12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>((Table1[[#This Row],[deadline]]/60)/60/24)+DATE(1970,1,1)</f>
        <v>41748.878182870372</v>
      </c>
      <c r="K835">
        <v>1395349475</v>
      </c>
      <c r="L835" s="11">
        <f>((Table1[[#This Row],[launched_at]]/60)/60/24)+DATE(1970,1,1)</f>
        <v>41718.878182870372</v>
      </c>
      <c r="M835">
        <f>MONTH(Table1[[#This Row],[Date Created Conversion]])</f>
        <v>3</v>
      </c>
      <c r="N835">
        <f>YEAR(Table1[[#This Row],[Date Created Conversion]])</f>
        <v>2014</v>
      </c>
      <c r="O835" t="b">
        <v>0</v>
      </c>
      <c r="P835">
        <v>41</v>
      </c>
      <c r="Q835" t="b">
        <v>1</v>
      </c>
      <c r="R835" t="s">
        <v>8276</v>
      </c>
      <c r="S835" s="6">
        <f>Table1[[#This Row],[pledged]]/Table1[[#This Row],[goal]]</f>
        <v>1.0166666666666666</v>
      </c>
      <c r="T835" s="8">
        <f>IF(Table1[[#This Row],[pledged]]=0,"no backers",Table1[[#This Row],[pledged]]/Table1[[#This Row],[backers_count]])</f>
        <v>148.78048780487805</v>
      </c>
      <c r="U835" t="str">
        <f>LEFT(Table1[[#This Row],[Category and Sub-Category]],FIND("/",Table1[[#This Row],[Category and Sub-Category]])-1)</f>
        <v>music</v>
      </c>
      <c r="V835" t="str">
        <f>RIGHT(Table1[[#This Row],[Category and Sub-Category]],LEN(Table1[[#This Row],[Category and Sub-Category]])-FIND("/",Table1[[#This Row],[Category and Sub-Category]]))</f>
        <v>rock</v>
      </c>
    </row>
    <row r="836" spans="1:22" ht="57.6" x14ac:dyDescent="0.3">
      <c r="A836">
        <v>834</v>
      </c>
      <c r="B836" s="3" t="s">
        <v>835</v>
      </c>
      <c r="C836" s="3" t="s">
        <v>4944</v>
      </c>
      <c r="D836" s="12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>((Table1[[#This Row],[deadline]]/60)/60/24)+DATE(1970,1,1)</f>
        <v>41456.165972222225</v>
      </c>
      <c r="K836">
        <v>1369770292</v>
      </c>
      <c r="L836" s="11">
        <f>((Table1[[#This Row],[launched_at]]/60)/60/24)+DATE(1970,1,1)</f>
        <v>41422.822824074072</v>
      </c>
      <c r="M836">
        <f>MONTH(Table1[[#This Row],[Date Created Conversion]])</f>
        <v>5</v>
      </c>
      <c r="N836">
        <f>YEAR(Table1[[#This Row],[Date Created Conversion]])</f>
        <v>2013</v>
      </c>
      <c r="O836" t="b">
        <v>0</v>
      </c>
      <c r="P836">
        <v>75</v>
      </c>
      <c r="Q836" t="b">
        <v>1</v>
      </c>
      <c r="R836" t="s">
        <v>8276</v>
      </c>
      <c r="S836" s="6">
        <f>Table1[[#This Row],[pledged]]/Table1[[#This Row],[goal]]</f>
        <v>1.3101818181818181</v>
      </c>
      <c r="T836" s="8">
        <f>IF(Table1[[#This Row],[pledged]]=0,"no backers",Table1[[#This Row],[pledged]]/Table1[[#This Row],[backers_count]])</f>
        <v>96.08</v>
      </c>
      <c r="U836" t="str">
        <f>LEFT(Table1[[#This Row],[Category and Sub-Category]],FIND("/",Table1[[#This Row],[Category and Sub-Category]])-1)</f>
        <v>music</v>
      </c>
      <c r="V836" t="str">
        <f>RIGHT(Table1[[#This Row],[Category and Sub-Category]],LEN(Table1[[#This Row],[Category and Sub-Category]])-FIND("/",Table1[[#This Row],[Category and Sub-Category]]))</f>
        <v>rock</v>
      </c>
    </row>
    <row r="837" spans="1:22" ht="43.2" x14ac:dyDescent="0.3">
      <c r="A837">
        <v>835</v>
      </c>
      <c r="B837" s="3" t="s">
        <v>836</v>
      </c>
      <c r="C837" s="3" t="s">
        <v>4945</v>
      </c>
      <c r="D837" s="12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>((Table1[[#This Row],[deadline]]/60)/60/24)+DATE(1970,1,1)</f>
        <v>41048.125</v>
      </c>
      <c r="K837">
        <v>1333709958</v>
      </c>
      <c r="L837" s="11">
        <f>((Table1[[#This Row],[launched_at]]/60)/60/24)+DATE(1970,1,1)</f>
        <v>41005.45784722222</v>
      </c>
      <c r="M837">
        <f>MONTH(Table1[[#This Row],[Date Created Conversion]])</f>
        <v>4</v>
      </c>
      <c r="N837">
        <f>YEAR(Table1[[#This Row],[Date Created Conversion]])</f>
        <v>2012</v>
      </c>
      <c r="O837" t="b">
        <v>0</v>
      </c>
      <c r="P837">
        <v>40</v>
      </c>
      <c r="Q837" t="b">
        <v>1</v>
      </c>
      <c r="R837" t="s">
        <v>8276</v>
      </c>
      <c r="S837" s="6">
        <f>Table1[[#This Row],[pledged]]/Table1[[#This Row],[goal]]</f>
        <v>1.1725000000000001</v>
      </c>
      <c r="T837" s="8">
        <f>IF(Table1[[#This Row],[pledged]]=0,"no backers",Table1[[#This Row],[pledged]]/Table1[[#This Row],[backers_count]])</f>
        <v>58.625</v>
      </c>
      <c r="U837" t="str">
        <f>LEFT(Table1[[#This Row],[Category and Sub-Category]],FIND("/",Table1[[#This Row],[Category and Sub-Category]])-1)</f>
        <v>music</v>
      </c>
      <c r="V837" t="str">
        <f>RIGHT(Table1[[#This Row],[Category and Sub-Category]],LEN(Table1[[#This Row],[Category and Sub-Category]])-FIND("/",Table1[[#This Row],[Category and Sub-Category]]))</f>
        <v>rock</v>
      </c>
    </row>
    <row r="838" spans="1:22" x14ac:dyDescent="0.3">
      <c r="A838">
        <v>836</v>
      </c>
      <c r="B838" s="3" t="s">
        <v>837</v>
      </c>
      <c r="C838" s="3" t="s">
        <v>4946</v>
      </c>
      <c r="D838" s="12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>((Table1[[#This Row],[deadline]]/60)/60/24)+DATE(1970,1,1)</f>
        <v>41554.056921296295</v>
      </c>
      <c r="K838">
        <v>1378516918</v>
      </c>
      <c r="L838" s="11">
        <f>((Table1[[#This Row],[launched_at]]/60)/60/24)+DATE(1970,1,1)</f>
        <v>41524.056921296295</v>
      </c>
      <c r="M838">
        <f>MONTH(Table1[[#This Row],[Date Created Conversion]])</f>
        <v>9</v>
      </c>
      <c r="N838">
        <f>YEAR(Table1[[#This Row],[Date Created Conversion]])</f>
        <v>2013</v>
      </c>
      <c r="O838" t="b">
        <v>0</v>
      </c>
      <c r="P838">
        <v>46</v>
      </c>
      <c r="Q838" t="b">
        <v>1</v>
      </c>
      <c r="R838" t="s">
        <v>8276</v>
      </c>
      <c r="S838" s="6">
        <f>Table1[[#This Row],[pledged]]/Table1[[#This Row],[goal]]</f>
        <v>1.009304</v>
      </c>
      <c r="T838" s="8">
        <f>IF(Table1[[#This Row],[pledged]]=0,"no backers",Table1[[#This Row],[pledged]]/Table1[[#This Row],[backers_count]])</f>
        <v>109.70695652173914</v>
      </c>
      <c r="U838" t="str">
        <f>LEFT(Table1[[#This Row],[Category and Sub-Category]],FIND("/",Table1[[#This Row],[Category and Sub-Category]])-1)</f>
        <v>music</v>
      </c>
      <c r="V838" t="str">
        <f>RIGHT(Table1[[#This Row],[Category and Sub-Category]],LEN(Table1[[#This Row],[Category and Sub-Category]])-FIND("/",Table1[[#This Row],[Category and Sub-Category]]))</f>
        <v>rock</v>
      </c>
    </row>
    <row r="839" spans="1:22" ht="43.2" x14ac:dyDescent="0.3">
      <c r="A839">
        <v>837</v>
      </c>
      <c r="B839" s="3" t="s">
        <v>838</v>
      </c>
      <c r="C839" s="3" t="s">
        <v>4947</v>
      </c>
      <c r="D839" s="12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>((Table1[[#This Row],[deadline]]/60)/60/24)+DATE(1970,1,1)</f>
        <v>41760.998402777775</v>
      </c>
      <c r="K839">
        <v>1396396662</v>
      </c>
      <c r="L839" s="11">
        <f>((Table1[[#This Row],[launched_at]]/60)/60/24)+DATE(1970,1,1)</f>
        <v>41730.998402777775</v>
      </c>
      <c r="M839">
        <f>MONTH(Table1[[#This Row],[Date Created Conversion]])</f>
        <v>4</v>
      </c>
      <c r="N839">
        <f>YEAR(Table1[[#This Row],[Date Created Conversion]])</f>
        <v>2014</v>
      </c>
      <c r="O839" t="b">
        <v>0</v>
      </c>
      <c r="P839">
        <v>62</v>
      </c>
      <c r="Q839" t="b">
        <v>1</v>
      </c>
      <c r="R839" t="s">
        <v>8276</v>
      </c>
      <c r="S839" s="6">
        <f>Table1[[#This Row],[pledged]]/Table1[[#This Row],[goal]]</f>
        <v>1.218</v>
      </c>
      <c r="T839" s="8">
        <f>IF(Table1[[#This Row],[pledged]]=0,"no backers",Table1[[#This Row],[pledged]]/Table1[[#This Row],[backers_count]])</f>
        <v>49.112903225806448</v>
      </c>
      <c r="U839" t="str">
        <f>LEFT(Table1[[#This Row],[Category and Sub-Category]],FIND("/",Table1[[#This Row],[Category and Sub-Category]])-1)</f>
        <v>music</v>
      </c>
      <c r="V839" t="str">
        <f>RIGHT(Table1[[#This Row],[Category and Sub-Category]],LEN(Table1[[#This Row],[Category and Sub-Category]])-FIND("/",Table1[[#This Row],[Category and Sub-Category]]))</f>
        <v>rock</v>
      </c>
    </row>
    <row r="840" spans="1:22" ht="43.2" x14ac:dyDescent="0.3">
      <c r="A840">
        <v>838</v>
      </c>
      <c r="B840" s="3" t="s">
        <v>839</v>
      </c>
      <c r="C840" s="3" t="s">
        <v>4948</v>
      </c>
      <c r="D840" s="12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>((Table1[[#This Row],[deadline]]/60)/60/24)+DATE(1970,1,1)</f>
        <v>40925.897974537038</v>
      </c>
      <c r="K840">
        <v>1324243985</v>
      </c>
      <c r="L840" s="11">
        <f>((Table1[[#This Row],[launched_at]]/60)/60/24)+DATE(1970,1,1)</f>
        <v>40895.897974537038</v>
      </c>
      <c r="M840">
        <f>MONTH(Table1[[#This Row],[Date Created Conversion]])</f>
        <v>12</v>
      </c>
      <c r="N840">
        <f>YEAR(Table1[[#This Row],[Date Created Conversion]])</f>
        <v>2011</v>
      </c>
      <c r="O840" t="b">
        <v>0</v>
      </c>
      <c r="P840">
        <v>61</v>
      </c>
      <c r="Q840" t="b">
        <v>1</v>
      </c>
      <c r="R840" t="s">
        <v>8276</v>
      </c>
      <c r="S840" s="6">
        <f>Table1[[#This Row],[pledged]]/Table1[[#This Row],[goal]]</f>
        <v>1.454</v>
      </c>
      <c r="T840" s="8">
        <f>IF(Table1[[#This Row],[pledged]]=0,"no backers",Table1[[#This Row],[pledged]]/Table1[[#This Row],[backers_count]])</f>
        <v>47.672131147540981</v>
      </c>
      <c r="U840" t="str">
        <f>LEFT(Table1[[#This Row],[Category and Sub-Category]],FIND("/",Table1[[#This Row],[Category and Sub-Category]])-1)</f>
        <v>music</v>
      </c>
      <c r="V840" t="str">
        <f>RIGHT(Table1[[#This Row],[Category and Sub-Category]],LEN(Table1[[#This Row],[Category and Sub-Category]])-FIND("/",Table1[[#This Row],[Category and Sub-Category]]))</f>
        <v>rock</v>
      </c>
    </row>
    <row r="841" spans="1:22" ht="43.2" x14ac:dyDescent="0.3">
      <c r="A841">
        <v>839</v>
      </c>
      <c r="B841" s="3" t="s">
        <v>840</v>
      </c>
      <c r="C841" s="3" t="s">
        <v>4949</v>
      </c>
      <c r="D841" s="12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>((Table1[[#This Row],[deadline]]/60)/60/24)+DATE(1970,1,1)</f>
        <v>41174.763379629629</v>
      </c>
      <c r="K841">
        <v>1345745956</v>
      </c>
      <c r="L841" s="11">
        <f>((Table1[[#This Row],[launched_at]]/60)/60/24)+DATE(1970,1,1)</f>
        <v>41144.763379629629</v>
      </c>
      <c r="M841">
        <f>MONTH(Table1[[#This Row],[Date Created Conversion]])</f>
        <v>8</v>
      </c>
      <c r="N841">
        <f>YEAR(Table1[[#This Row],[Date Created Conversion]])</f>
        <v>2012</v>
      </c>
      <c r="O841" t="b">
        <v>0</v>
      </c>
      <c r="P841">
        <v>96</v>
      </c>
      <c r="Q841" t="b">
        <v>1</v>
      </c>
      <c r="R841" t="s">
        <v>8276</v>
      </c>
      <c r="S841" s="6">
        <f>Table1[[#This Row],[pledged]]/Table1[[#This Row],[goal]]</f>
        <v>1.166166</v>
      </c>
      <c r="T841" s="8">
        <f>IF(Table1[[#This Row],[pledged]]=0,"no backers",Table1[[#This Row],[pledged]]/Table1[[#This Row],[backers_count]])</f>
        <v>60.737812499999997</v>
      </c>
      <c r="U841" t="str">
        <f>LEFT(Table1[[#This Row],[Category and Sub-Category]],FIND("/",Table1[[#This Row],[Category and Sub-Category]])-1)</f>
        <v>music</v>
      </c>
      <c r="V841" t="str">
        <f>RIGHT(Table1[[#This Row],[Category and Sub-Category]],LEN(Table1[[#This Row],[Category and Sub-Category]])-FIND("/",Table1[[#This Row],[Category and Sub-Category]]))</f>
        <v>rock</v>
      </c>
    </row>
    <row r="842" spans="1:22" ht="43.2" x14ac:dyDescent="0.3">
      <c r="A842">
        <v>840</v>
      </c>
      <c r="B842" s="3" t="s">
        <v>841</v>
      </c>
      <c r="C842" s="3" t="s">
        <v>4950</v>
      </c>
      <c r="D842" s="1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>((Table1[[#This Row],[deadline]]/60)/60/24)+DATE(1970,1,1)</f>
        <v>42637.226701388892</v>
      </c>
      <c r="K842">
        <v>1472102787</v>
      </c>
      <c r="L842" s="11">
        <f>((Table1[[#This Row],[launched_at]]/60)/60/24)+DATE(1970,1,1)</f>
        <v>42607.226701388892</v>
      </c>
      <c r="M842">
        <f>MONTH(Table1[[#This Row],[Date Created Conversion]])</f>
        <v>8</v>
      </c>
      <c r="N842">
        <f>YEAR(Table1[[#This Row],[Date Created Conversion]])</f>
        <v>2016</v>
      </c>
      <c r="O842" t="b">
        <v>0</v>
      </c>
      <c r="P842">
        <v>190</v>
      </c>
      <c r="Q842" t="b">
        <v>1</v>
      </c>
      <c r="R842" t="s">
        <v>8277</v>
      </c>
      <c r="S842" s="6">
        <f>Table1[[#This Row],[pledged]]/Table1[[#This Row],[goal]]</f>
        <v>1.2041660000000001</v>
      </c>
      <c r="T842" s="8">
        <f>IF(Table1[[#This Row],[pledged]]=0,"no backers",Table1[[#This Row],[pledged]]/Table1[[#This Row],[backers_count]])</f>
        <v>63.37715789473684</v>
      </c>
      <c r="U842" t="str">
        <f>LEFT(Table1[[#This Row],[Category and Sub-Category]],FIND("/",Table1[[#This Row],[Category and Sub-Category]])-1)</f>
        <v>music</v>
      </c>
      <c r="V842" t="str">
        <f>RIGHT(Table1[[#This Row],[Category and Sub-Category]],LEN(Table1[[#This Row],[Category and Sub-Category]])-FIND("/",Table1[[#This Row],[Category and Sub-Category]]))</f>
        <v>metal</v>
      </c>
    </row>
    <row r="843" spans="1:22" ht="43.2" x14ac:dyDescent="0.3">
      <c r="A843">
        <v>841</v>
      </c>
      <c r="B843" s="3" t="s">
        <v>842</v>
      </c>
      <c r="C843" s="3" t="s">
        <v>4951</v>
      </c>
      <c r="D843" s="12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>((Table1[[#This Row],[deadline]]/60)/60/24)+DATE(1970,1,1)</f>
        <v>41953.88035879629</v>
      </c>
      <c r="K843">
        <v>1413058063</v>
      </c>
      <c r="L843" s="11">
        <f>((Table1[[#This Row],[launched_at]]/60)/60/24)+DATE(1970,1,1)</f>
        <v>41923.838692129626</v>
      </c>
      <c r="M843">
        <f>MONTH(Table1[[#This Row],[Date Created Conversion]])</f>
        <v>10</v>
      </c>
      <c r="N843">
        <f>YEAR(Table1[[#This Row],[Date Created Conversion]])</f>
        <v>2014</v>
      </c>
      <c r="O843" t="b">
        <v>1</v>
      </c>
      <c r="P843">
        <v>94</v>
      </c>
      <c r="Q843" t="b">
        <v>1</v>
      </c>
      <c r="R843" t="s">
        <v>8277</v>
      </c>
      <c r="S843" s="6">
        <f>Table1[[#This Row],[pledged]]/Table1[[#This Row],[goal]]</f>
        <v>1.0132000000000001</v>
      </c>
      <c r="T843" s="8">
        <f>IF(Table1[[#This Row],[pledged]]=0,"no backers",Table1[[#This Row],[pledged]]/Table1[[#This Row],[backers_count]])</f>
        <v>53.893617021276597</v>
      </c>
      <c r="U843" t="str">
        <f>LEFT(Table1[[#This Row],[Category and Sub-Category]],FIND("/",Table1[[#This Row],[Category and Sub-Category]])-1)</f>
        <v>music</v>
      </c>
      <c r="V843" t="str">
        <f>RIGHT(Table1[[#This Row],[Category and Sub-Category]],LEN(Table1[[#This Row],[Category and Sub-Category]])-FIND("/",Table1[[#This Row],[Category and Sub-Category]]))</f>
        <v>metal</v>
      </c>
    </row>
    <row r="844" spans="1:22" ht="43.2" x14ac:dyDescent="0.3">
      <c r="A844">
        <v>842</v>
      </c>
      <c r="B844" s="3" t="s">
        <v>843</v>
      </c>
      <c r="C844" s="3" t="s">
        <v>4952</v>
      </c>
      <c r="D844" s="12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>((Table1[[#This Row],[deadline]]/60)/60/24)+DATE(1970,1,1)</f>
        <v>41561.165972222225</v>
      </c>
      <c r="K844">
        <v>1378735983</v>
      </c>
      <c r="L844" s="11">
        <f>((Table1[[#This Row],[launched_at]]/60)/60/24)+DATE(1970,1,1)</f>
        <v>41526.592395833337</v>
      </c>
      <c r="M844">
        <f>MONTH(Table1[[#This Row],[Date Created Conversion]])</f>
        <v>9</v>
      </c>
      <c r="N844">
        <f>YEAR(Table1[[#This Row],[Date Created Conversion]])</f>
        <v>2013</v>
      </c>
      <c r="O844" t="b">
        <v>1</v>
      </c>
      <c r="P844">
        <v>39</v>
      </c>
      <c r="Q844" t="b">
        <v>1</v>
      </c>
      <c r="R844" t="s">
        <v>8277</v>
      </c>
      <c r="S844" s="6">
        <f>Table1[[#This Row],[pledged]]/Table1[[#This Row],[goal]]</f>
        <v>1.0431999999999999</v>
      </c>
      <c r="T844" s="8">
        <f>IF(Table1[[#This Row],[pledged]]=0,"no backers",Table1[[#This Row],[pledged]]/Table1[[#This Row],[backers_count]])</f>
        <v>66.871794871794876</v>
      </c>
      <c r="U844" t="str">
        <f>LEFT(Table1[[#This Row],[Category and Sub-Category]],FIND("/",Table1[[#This Row],[Category and Sub-Category]])-1)</f>
        <v>music</v>
      </c>
      <c r="V844" t="str">
        <f>RIGHT(Table1[[#This Row],[Category and Sub-Category]],LEN(Table1[[#This Row],[Category and Sub-Category]])-FIND("/",Table1[[#This Row],[Category and Sub-Category]]))</f>
        <v>metal</v>
      </c>
    </row>
    <row r="845" spans="1:22" ht="43.2" x14ac:dyDescent="0.3">
      <c r="A845">
        <v>843</v>
      </c>
      <c r="B845" s="3" t="s">
        <v>844</v>
      </c>
      <c r="C845" s="3" t="s">
        <v>4953</v>
      </c>
      <c r="D845" s="12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>((Table1[[#This Row],[deadline]]/60)/60/24)+DATE(1970,1,1)</f>
        <v>42712.333333333328</v>
      </c>
      <c r="K845">
        <v>1479708680</v>
      </c>
      <c r="L845" s="11">
        <f>((Table1[[#This Row],[launched_at]]/60)/60/24)+DATE(1970,1,1)</f>
        <v>42695.257870370369</v>
      </c>
      <c r="M845">
        <f>MONTH(Table1[[#This Row],[Date Created Conversion]])</f>
        <v>11</v>
      </c>
      <c r="N845">
        <f>YEAR(Table1[[#This Row],[Date Created Conversion]])</f>
        <v>2016</v>
      </c>
      <c r="O845" t="b">
        <v>0</v>
      </c>
      <c r="P845">
        <v>127</v>
      </c>
      <c r="Q845" t="b">
        <v>1</v>
      </c>
      <c r="R845" t="s">
        <v>8277</v>
      </c>
      <c r="S845" s="6">
        <f>Table1[[#This Row],[pledged]]/Table1[[#This Row],[goal]]</f>
        <v>2.6713333333333331</v>
      </c>
      <c r="T845" s="8">
        <f>IF(Table1[[#This Row],[pledged]]=0,"no backers",Table1[[#This Row],[pledged]]/Table1[[#This Row],[backers_count]])</f>
        <v>63.102362204724407</v>
      </c>
      <c r="U845" t="str">
        <f>LEFT(Table1[[#This Row],[Category and Sub-Category]],FIND("/",Table1[[#This Row],[Category and Sub-Category]])-1)</f>
        <v>music</v>
      </c>
      <c r="V845" t="str">
        <f>RIGHT(Table1[[#This Row],[Category and Sub-Category]],LEN(Table1[[#This Row],[Category and Sub-Category]])-FIND("/",Table1[[#This Row],[Category and Sub-Category]]))</f>
        <v>metal</v>
      </c>
    </row>
    <row r="846" spans="1:22" ht="57.6" x14ac:dyDescent="0.3">
      <c r="A846">
        <v>844</v>
      </c>
      <c r="B846" s="3" t="s">
        <v>845</v>
      </c>
      <c r="C846" s="3" t="s">
        <v>4954</v>
      </c>
      <c r="D846" s="12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>((Table1[[#This Row],[deadline]]/60)/60/24)+DATE(1970,1,1)</f>
        <v>41944.207638888889</v>
      </c>
      <c r="K846">
        <v>1411489552</v>
      </c>
      <c r="L846" s="11">
        <f>((Table1[[#This Row],[launched_at]]/60)/60/24)+DATE(1970,1,1)</f>
        <v>41905.684629629628</v>
      </c>
      <c r="M846">
        <f>MONTH(Table1[[#This Row],[Date Created Conversion]])</f>
        <v>9</v>
      </c>
      <c r="N846">
        <f>YEAR(Table1[[#This Row],[Date Created Conversion]])</f>
        <v>2014</v>
      </c>
      <c r="O846" t="b">
        <v>1</v>
      </c>
      <c r="P846">
        <v>159</v>
      </c>
      <c r="Q846" t="b">
        <v>1</v>
      </c>
      <c r="R846" t="s">
        <v>8277</v>
      </c>
      <c r="S846" s="6">
        <f>Table1[[#This Row],[pledged]]/Table1[[#This Row],[goal]]</f>
        <v>1.9413333333333334</v>
      </c>
      <c r="T846" s="8">
        <f>IF(Table1[[#This Row],[pledged]]=0,"no backers",Table1[[#This Row],[pledged]]/Table1[[#This Row],[backers_count]])</f>
        <v>36.628930817610062</v>
      </c>
      <c r="U846" t="str">
        <f>LEFT(Table1[[#This Row],[Category and Sub-Category]],FIND("/",Table1[[#This Row],[Category and Sub-Category]])-1)</f>
        <v>music</v>
      </c>
      <c r="V846" t="str">
        <f>RIGHT(Table1[[#This Row],[Category and Sub-Category]],LEN(Table1[[#This Row],[Category and Sub-Category]])-FIND("/",Table1[[#This Row],[Category and Sub-Category]]))</f>
        <v>metal</v>
      </c>
    </row>
    <row r="847" spans="1:22" ht="43.2" x14ac:dyDescent="0.3">
      <c r="A847">
        <v>845</v>
      </c>
      <c r="B847" s="3" t="s">
        <v>846</v>
      </c>
      <c r="C847" s="3" t="s">
        <v>4955</v>
      </c>
      <c r="D847" s="12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>((Table1[[#This Row],[deadline]]/60)/60/24)+DATE(1970,1,1)</f>
        <v>42618.165972222225</v>
      </c>
      <c r="K847">
        <v>1469595396</v>
      </c>
      <c r="L847" s="11">
        <f>((Table1[[#This Row],[launched_at]]/60)/60/24)+DATE(1970,1,1)</f>
        <v>42578.205972222218</v>
      </c>
      <c r="M847">
        <f>MONTH(Table1[[#This Row],[Date Created Conversion]])</f>
        <v>7</v>
      </c>
      <c r="N847">
        <f>YEAR(Table1[[#This Row],[Date Created Conversion]])</f>
        <v>2016</v>
      </c>
      <c r="O847" t="b">
        <v>0</v>
      </c>
      <c r="P847">
        <v>177</v>
      </c>
      <c r="Q847" t="b">
        <v>1</v>
      </c>
      <c r="R847" t="s">
        <v>8277</v>
      </c>
      <c r="S847" s="6">
        <f>Table1[[#This Row],[pledged]]/Table1[[#This Row],[goal]]</f>
        <v>1.203802</v>
      </c>
      <c r="T847" s="8">
        <f>IF(Table1[[#This Row],[pledged]]=0,"no backers",Table1[[#This Row],[pledged]]/Table1[[#This Row],[backers_count]])</f>
        <v>34.005706214689269</v>
      </c>
      <c r="U847" t="str">
        <f>LEFT(Table1[[#This Row],[Category and Sub-Category]],FIND("/",Table1[[#This Row],[Category and Sub-Category]])-1)</f>
        <v>music</v>
      </c>
      <c r="V847" t="str">
        <f>RIGHT(Table1[[#This Row],[Category and Sub-Category]],LEN(Table1[[#This Row],[Category and Sub-Category]])-FIND("/",Table1[[#This Row],[Category and Sub-Category]]))</f>
        <v>metal</v>
      </c>
    </row>
    <row r="848" spans="1:22" ht="43.2" x14ac:dyDescent="0.3">
      <c r="A848">
        <v>846</v>
      </c>
      <c r="B848" s="3" t="s">
        <v>847</v>
      </c>
      <c r="C848" s="3" t="s">
        <v>4956</v>
      </c>
      <c r="D848" s="12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>((Table1[[#This Row],[deadline]]/60)/60/24)+DATE(1970,1,1)</f>
        <v>41708.583333333336</v>
      </c>
      <c r="K848">
        <v>1393233855</v>
      </c>
      <c r="L848" s="11">
        <f>((Table1[[#This Row],[launched_at]]/60)/60/24)+DATE(1970,1,1)</f>
        <v>41694.391840277778</v>
      </c>
      <c r="M848">
        <f>MONTH(Table1[[#This Row],[Date Created Conversion]])</f>
        <v>2</v>
      </c>
      <c r="N848">
        <f>YEAR(Table1[[#This Row],[Date Created Conversion]])</f>
        <v>2014</v>
      </c>
      <c r="O848" t="b">
        <v>0</v>
      </c>
      <c r="P848">
        <v>47</v>
      </c>
      <c r="Q848" t="b">
        <v>1</v>
      </c>
      <c r="R848" t="s">
        <v>8277</v>
      </c>
      <c r="S848" s="6">
        <f>Table1[[#This Row],[pledged]]/Table1[[#This Row],[goal]]</f>
        <v>1.2200090909090908</v>
      </c>
      <c r="T848" s="8">
        <f>IF(Table1[[#This Row],[pledged]]=0,"no backers",Table1[[#This Row],[pledged]]/Table1[[#This Row],[backers_count]])</f>
        <v>28.553404255319148</v>
      </c>
      <c r="U848" t="str">
        <f>LEFT(Table1[[#This Row],[Category and Sub-Category]],FIND("/",Table1[[#This Row],[Category and Sub-Category]])-1)</f>
        <v>music</v>
      </c>
      <c r="V848" t="str">
        <f>RIGHT(Table1[[#This Row],[Category and Sub-Category]],LEN(Table1[[#This Row],[Category and Sub-Category]])-FIND("/",Table1[[#This Row],[Category and Sub-Category]]))</f>
        <v>metal</v>
      </c>
    </row>
    <row r="849" spans="1:22" ht="28.8" x14ac:dyDescent="0.3">
      <c r="A849">
        <v>847</v>
      </c>
      <c r="B849" s="3" t="s">
        <v>848</v>
      </c>
      <c r="C849" s="3" t="s">
        <v>4957</v>
      </c>
      <c r="D849" s="12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>((Table1[[#This Row],[deadline]]/60)/60/24)+DATE(1970,1,1)</f>
        <v>42195.79833333334</v>
      </c>
      <c r="K849">
        <v>1433963376</v>
      </c>
      <c r="L849" s="11">
        <f>((Table1[[#This Row],[launched_at]]/60)/60/24)+DATE(1970,1,1)</f>
        <v>42165.79833333334</v>
      </c>
      <c r="M849">
        <f>MONTH(Table1[[#This Row],[Date Created Conversion]])</f>
        <v>6</v>
      </c>
      <c r="N849">
        <f>YEAR(Table1[[#This Row],[Date Created Conversion]])</f>
        <v>2015</v>
      </c>
      <c r="O849" t="b">
        <v>0</v>
      </c>
      <c r="P849">
        <v>1</v>
      </c>
      <c r="Q849" t="b">
        <v>1</v>
      </c>
      <c r="R849" t="s">
        <v>8277</v>
      </c>
      <c r="S849" s="6">
        <f>Table1[[#This Row],[pledged]]/Table1[[#This Row],[goal]]</f>
        <v>1</v>
      </c>
      <c r="T849" s="8">
        <f>IF(Table1[[#This Row],[pledged]]=0,"no backers",Table1[[#This Row],[pledged]]/Table1[[#This Row],[backers_count]])</f>
        <v>10</v>
      </c>
      <c r="U849" t="str">
        <f>LEFT(Table1[[#This Row],[Category and Sub-Category]],FIND("/",Table1[[#This Row],[Category and Sub-Category]])-1)</f>
        <v>music</v>
      </c>
      <c r="V849" t="str">
        <f>RIGHT(Table1[[#This Row],[Category and Sub-Category]],LEN(Table1[[#This Row],[Category and Sub-Category]])-FIND("/",Table1[[#This Row],[Category and Sub-Category]]))</f>
        <v>metal</v>
      </c>
    </row>
    <row r="850" spans="1:22" ht="43.2" x14ac:dyDescent="0.3">
      <c r="A850">
        <v>848</v>
      </c>
      <c r="B850" s="3" t="s">
        <v>849</v>
      </c>
      <c r="C850" s="3" t="s">
        <v>4958</v>
      </c>
      <c r="D850" s="12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>((Table1[[#This Row],[deadline]]/60)/60/24)+DATE(1970,1,1)</f>
        <v>42108.792048611111</v>
      </c>
      <c r="K850">
        <v>1426446033</v>
      </c>
      <c r="L850" s="11">
        <f>((Table1[[#This Row],[launched_at]]/60)/60/24)+DATE(1970,1,1)</f>
        <v>42078.792048611111</v>
      </c>
      <c r="M850">
        <f>MONTH(Table1[[#This Row],[Date Created Conversion]])</f>
        <v>3</v>
      </c>
      <c r="N850">
        <f>YEAR(Table1[[#This Row],[Date Created Conversion]])</f>
        <v>2015</v>
      </c>
      <c r="O850" t="b">
        <v>0</v>
      </c>
      <c r="P850">
        <v>16</v>
      </c>
      <c r="Q850" t="b">
        <v>1</v>
      </c>
      <c r="R850" t="s">
        <v>8277</v>
      </c>
      <c r="S850" s="6">
        <f>Table1[[#This Row],[pledged]]/Table1[[#This Row],[goal]]</f>
        <v>1</v>
      </c>
      <c r="T850" s="8">
        <f>IF(Table1[[#This Row],[pledged]]=0,"no backers",Table1[[#This Row],[pledged]]/Table1[[#This Row],[backers_count]])</f>
        <v>18.75</v>
      </c>
      <c r="U850" t="str">
        <f>LEFT(Table1[[#This Row],[Category and Sub-Category]],FIND("/",Table1[[#This Row],[Category and Sub-Category]])-1)</f>
        <v>music</v>
      </c>
      <c r="V850" t="str">
        <f>RIGHT(Table1[[#This Row],[Category and Sub-Category]],LEN(Table1[[#This Row],[Category and Sub-Category]])-FIND("/",Table1[[#This Row],[Category and Sub-Category]]))</f>
        <v>metal</v>
      </c>
    </row>
    <row r="851" spans="1:22" ht="57.6" x14ac:dyDescent="0.3">
      <c r="A851">
        <v>849</v>
      </c>
      <c r="B851" s="3" t="s">
        <v>850</v>
      </c>
      <c r="C851" s="3" t="s">
        <v>4959</v>
      </c>
      <c r="D851" s="12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>((Table1[[#This Row],[deadline]]/60)/60/24)+DATE(1970,1,1)</f>
        <v>42079.107222222221</v>
      </c>
      <c r="K851">
        <v>1424057664</v>
      </c>
      <c r="L851" s="11">
        <f>((Table1[[#This Row],[launched_at]]/60)/60/24)+DATE(1970,1,1)</f>
        <v>42051.148888888885</v>
      </c>
      <c r="M851">
        <f>MONTH(Table1[[#This Row],[Date Created Conversion]])</f>
        <v>2</v>
      </c>
      <c r="N851">
        <f>YEAR(Table1[[#This Row],[Date Created Conversion]])</f>
        <v>2015</v>
      </c>
      <c r="O851" t="b">
        <v>0</v>
      </c>
      <c r="P851">
        <v>115</v>
      </c>
      <c r="Q851" t="b">
        <v>1</v>
      </c>
      <c r="R851" t="s">
        <v>8277</v>
      </c>
      <c r="S851" s="6">
        <f>Table1[[#This Row],[pledged]]/Table1[[#This Row],[goal]]</f>
        <v>1.1990000000000001</v>
      </c>
      <c r="T851" s="8">
        <f>IF(Table1[[#This Row],[pledged]]=0,"no backers",Table1[[#This Row],[pledged]]/Table1[[#This Row],[backers_count]])</f>
        <v>41.704347826086959</v>
      </c>
      <c r="U851" t="str">
        <f>LEFT(Table1[[#This Row],[Category and Sub-Category]],FIND("/",Table1[[#This Row],[Category and Sub-Category]])-1)</f>
        <v>music</v>
      </c>
      <c r="V851" t="str">
        <f>RIGHT(Table1[[#This Row],[Category and Sub-Category]],LEN(Table1[[#This Row],[Category and Sub-Category]])-FIND("/",Table1[[#This Row],[Category and Sub-Category]]))</f>
        <v>metal</v>
      </c>
    </row>
    <row r="852" spans="1:22" ht="43.2" x14ac:dyDescent="0.3">
      <c r="A852">
        <v>850</v>
      </c>
      <c r="B852" s="3" t="s">
        <v>851</v>
      </c>
      <c r="C852" s="3" t="s">
        <v>4960</v>
      </c>
      <c r="D852" s="1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>((Table1[[#This Row],[deadline]]/60)/60/24)+DATE(1970,1,1)</f>
        <v>42485.207638888889</v>
      </c>
      <c r="K852">
        <v>1458762717</v>
      </c>
      <c r="L852" s="11">
        <f>((Table1[[#This Row],[launched_at]]/60)/60/24)+DATE(1970,1,1)</f>
        <v>42452.827743055561</v>
      </c>
      <c r="M852">
        <f>MONTH(Table1[[#This Row],[Date Created Conversion]])</f>
        <v>3</v>
      </c>
      <c r="N852">
        <f>YEAR(Table1[[#This Row],[Date Created Conversion]])</f>
        <v>2016</v>
      </c>
      <c r="O852" t="b">
        <v>0</v>
      </c>
      <c r="P852">
        <v>133</v>
      </c>
      <c r="Q852" t="b">
        <v>1</v>
      </c>
      <c r="R852" t="s">
        <v>8277</v>
      </c>
      <c r="S852" s="6">
        <f>Table1[[#This Row],[pledged]]/Table1[[#This Row],[goal]]</f>
        <v>1.55175</v>
      </c>
      <c r="T852" s="8">
        <f>IF(Table1[[#This Row],[pledged]]=0,"no backers",Table1[[#This Row],[pledged]]/Table1[[#This Row],[backers_count]])</f>
        <v>46.669172932330824</v>
      </c>
      <c r="U852" t="str">
        <f>LEFT(Table1[[#This Row],[Category and Sub-Category]],FIND("/",Table1[[#This Row],[Category and Sub-Category]])-1)</f>
        <v>music</v>
      </c>
      <c r="V852" t="str">
        <f>RIGHT(Table1[[#This Row],[Category and Sub-Category]],LEN(Table1[[#This Row],[Category and Sub-Category]])-FIND("/",Table1[[#This Row],[Category and Sub-Category]]))</f>
        <v>metal</v>
      </c>
    </row>
    <row r="853" spans="1:22" ht="43.2" x14ac:dyDescent="0.3">
      <c r="A853">
        <v>851</v>
      </c>
      <c r="B853" s="3" t="s">
        <v>852</v>
      </c>
      <c r="C853" s="3" t="s">
        <v>4961</v>
      </c>
      <c r="D853" s="12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>((Table1[[#This Row],[deadline]]/60)/60/24)+DATE(1970,1,1)</f>
        <v>42582.822916666672</v>
      </c>
      <c r="K853">
        <v>1464815253</v>
      </c>
      <c r="L853" s="11">
        <f>((Table1[[#This Row],[launched_at]]/60)/60/24)+DATE(1970,1,1)</f>
        <v>42522.880243055552</v>
      </c>
      <c r="M853">
        <f>MONTH(Table1[[#This Row],[Date Created Conversion]])</f>
        <v>6</v>
      </c>
      <c r="N853">
        <f>YEAR(Table1[[#This Row],[Date Created Conversion]])</f>
        <v>2016</v>
      </c>
      <c r="O853" t="b">
        <v>0</v>
      </c>
      <c r="P853">
        <v>70</v>
      </c>
      <c r="Q853" t="b">
        <v>1</v>
      </c>
      <c r="R853" t="s">
        <v>8277</v>
      </c>
      <c r="S853" s="6">
        <f>Table1[[#This Row],[pledged]]/Table1[[#This Row],[goal]]</f>
        <v>1.3045</v>
      </c>
      <c r="T853" s="8">
        <f>IF(Table1[[#This Row],[pledged]]=0,"no backers",Table1[[#This Row],[pledged]]/Table1[[#This Row],[backers_count]])</f>
        <v>37.271428571428572</v>
      </c>
      <c r="U853" t="str">
        <f>LEFT(Table1[[#This Row],[Category and Sub-Category]],FIND("/",Table1[[#This Row],[Category and Sub-Category]])-1)</f>
        <v>music</v>
      </c>
      <c r="V853" t="str">
        <f>RIGHT(Table1[[#This Row],[Category and Sub-Category]],LEN(Table1[[#This Row],[Category and Sub-Category]])-FIND("/",Table1[[#This Row],[Category and Sub-Category]]))</f>
        <v>metal</v>
      </c>
    </row>
    <row r="854" spans="1:22" ht="28.8" x14ac:dyDescent="0.3">
      <c r="A854">
        <v>852</v>
      </c>
      <c r="B854" s="3" t="s">
        <v>853</v>
      </c>
      <c r="C854" s="3" t="s">
        <v>4962</v>
      </c>
      <c r="D854" s="12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>((Table1[[#This Row],[deadline]]/60)/60/24)+DATE(1970,1,1)</f>
        <v>42667.875</v>
      </c>
      <c r="K854">
        <v>1476386395</v>
      </c>
      <c r="L854" s="11">
        <f>((Table1[[#This Row],[launched_at]]/60)/60/24)+DATE(1970,1,1)</f>
        <v>42656.805497685185</v>
      </c>
      <c r="M854">
        <f>MONTH(Table1[[#This Row],[Date Created Conversion]])</f>
        <v>10</v>
      </c>
      <c r="N854">
        <f>YEAR(Table1[[#This Row],[Date Created Conversion]])</f>
        <v>2016</v>
      </c>
      <c r="O854" t="b">
        <v>0</v>
      </c>
      <c r="P854">
        <v>62</v>
      </c>
      <c r="Q854" t="b">
        <v>1</v>
      </c>
      <c r="R854" t="s">
        <v>8277</v>
      </c>
      <c r="S854" s="6">
        <f>Table1[[#This Row],[pledged]]/Table1[[#This Row],[goal]]</f>
        <v>1.0497142857142858</v>
      </c>
      <c r="T854" s="8">
        <f>IF(Table1[[#This Row],[pledged]]=0,"no backers",Table1[[#This Row],[pledged]]/Table1[[#This Row],[backers_count]])</f>
        <v>59.258064516129032</v>
      </c>
      <c r="U854" t="str">
        <f>LEFT(Table1[[#This Row],[Category and Sub-Category]],FIND("/",Table1[[#This Row],[Category and Sub-Category]])-1)</f>
        <v>music</v>
      </c>
      <c r="V854" t="str">
        <f>RIGHT(Table1[[#This Row],[Category and Sub-Category]],LEN(Table1[[#This Row],[Category and Sub-Category]])-FIND("/",Table1[[#This Row],[Category and Sub-Category]]))</f>
        <v>metal</v>
      </c>
    </row>
    <row r="855" spans="1:22" ht="43.2" x14ac:dyDescent="0.3">
      <c r="A855">
        <v>853</v>
      </c>
      <c r="B855" s="3" t="s">
        <v>854</v>
      </c>
      <c r="C855" s="3" t="s">
        <v>4963</v>
      </c>
      <c r="D855" s="12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>((Table1[[#This Row],[deadline]]/60)/60/24)+DATE(1970,1,1)</f>
        <v>42051.832280092596</v>
      </c>
      <c r="K855">
        <v>1421524709</v>
      </c>
      <c r="L855" s="11">
        <f>((Table1[[#This Row],[launched_at]]/60)/60/24)+DATE(1970,1,1)</f>
        <v>42021.832280092596</v>
      </c>
      <c r="M855">
        <f>MONTH(Table1[[#This Row],[Date Created Conversion]])</f>
        <v>1</v>
      </c>
      <c r="N855">
        <f>YEAR(Table1[[#This Row],[Date Created Conversion]])</f>
        <v>2015</v>
      </c>
      <c r="O855" t="b">
        <v>0</v>
      </c>
      <c r="P855">
        <v>10</v>
      </c>
      <c r="Q855" t="b">
        <v>1</v>
      </c>
      <c r="R855" t="s">
        <v>8277</v>
      </c>
      <c r="S855" s="6">
        <f>Table1[[#This Row],[pledged]]/Table1[[#This Row],[goal]]</f>
        <v>1</v>
      </c>
      <c r="T855" s="8">
        <f>IF(Table1[[#This Row],[pledged]]=0,"no backers",Table1[[#This Row],[pledged]]/Table1[[#This Row],[backers_count]])</f>
        <v>30</v>
      </c>
      <c r="U855" t="str">
        <f>LEFT(Table1[[#This Row],[Category and Sub-Category]],FIND("/",Table1[[#This Row],[Category and Sub-Category]])-1)</f>
        <v>music</v>
      </c>
      <c r="V855" t="str">
        <f>RIGHT(Table1[[#This Row],[Category and Sub-Category]],LEN(Table1[[#This Row],[Category and Sub-Category]])-FIND("/",Table1[[#This Row],[Category and Sub-Category]]))</f>
        <v>metal</v>
      </c>
    </row>
    <row r="856" spans="1:22" ht="43.2" x14ac:dyDescent="0.3">
      <c r="A856">
        <v>854</v>
      </c>
      <c r="B856" s="3" t="s">
        <v>855</v>
      </c>
      <c r="C856" s="3" t="s">
        <v>4964</v>
      </c>
      <c r="D856" s="12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>((Table1[[#This Row],[deadline]]/60)/60/24)+DATE(1970,1,1)</f>
        <v>42732.212337962963</v>
      </c>
      <c r="K856">
        <v>1480309546</v>
      </c>
      <c r="L856" s="11">
        <f>((Table1[[#This Row],[launched_at]]/60)/60/24)+DATE(1970,1,1)</f>
        <v>42702.212337962963</v>
      </c>
      <c r="M856">
        <f>MONTH(Table1[[#This Row],[Date Created Conversion]])</f>
        <v>11</v>
      </c>
      <c r="N856">
        <f>YEAR(Table1[[#This Row],[Date Created Conversion]])</f>
        <v>2016</v>
      </c>
      <c r="O856" t="b">
        <v>0</v>
      </c>
      <c r="P856">
        <v>499</v>
      </c>
      <c r="Q856" t="b">
        <v>1</v>
      </c>
      <c r="R856" t="s">
        <v>8277</v>
      </c>
      <c r="S856" s="6">
        <f>Table1[[#This Row],[pledged]]/Table1[[#This Row],[goal]]</f>
        <v>1.1822050359712231</v>
      </c>
      <c r="T856" s="8">
        <f>IF(Table1[[#This Row],[pledged]]=0,"no backers",Table1[[#This Row],[pledged]]/Table1[[#This Row],[backers_count]])</f>
        <v>65.8623246492986</v>
      </c>
      <c r="U856" t="str">
        <f>LEFT(Table1[[#This Row],[Category and Sub-Category]],FIND("/",Table1[[#This Row],[Category and Sub-Category]])-1)</f>
        <v>music</v>
      </c>
      <c r="V856" t="str">
        <f>RIGHT(Table1[[#This Row],[Category and Sub-Category]],LEN(Table1[[#This Row],[Category and Sub-Category]])-FIND("/",Table1[[#This Row],[Category and Sub-Category]]))</f>
        <v>metal</v>
      </c>
    </row>
    <row r="857" spans="1:22" ht="28.8" x14ac:dyDescent="0.3">
      <c r="A857">
        <v>855</v>
      </c>
      <c r="B857" s="3" t="s">
        <v>856</v>
      </c>
      <c r="C857" s="3" t="s">
        <v>4965</v>
      </c>
      <c r="D857" s="12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>((Table1[[#This Row],[deadline]]/60)/60/24)+DATE(1970,1,1)</f>
        <v>42575.125196759262</v>
      </c>
      <c r="K857">
        <v>1466737217</v>
      </c>
      <c r="L857" s="11">
        <f>((Table1[[#This Row],[launched_at]]/60)/60/24)+DATE(1970,1,1)</f>
        <v>42545.125196759262</v>
      </c>
      <c r="M857">
        <f>MONTH(Table1[[#This Row],[Date Created Conversion]])</f>
        <v>6</v>
      </c>
      <c r="N857">
        <f>YEAR(Table1[[#This Row],[Date Created Conversion]])</f>
        <v>2016</v>
      </c>
      <c r="O857" t="b">
        <v>0</v>
      </c>
      <c r="P857">
        <v>47</v>
      </c>
      <c r="Q857" t="b">
        <v>1</v>
      </c>
      <c r="R857" t="s">
        <v>8277</v>
      </c>
      <c r="S857" s="6">
        <f>Table1[[#This Row],[pledged]]/Table1[[#This Row],[goal]]</f>
        <v>1.0344827586206897</v>
      </c>
      <c r="T857" s="8">
        <f>IF(Table1[[#This Row],[pledged]]=0,"no backers",Table1[[#This Row],[pledged]]/Table1[[#This Row],[backers_count]])</f>
        <v>31.914893617021278</v>
      </c>
      <c r="U857" t="str">
        <f>LEFT(Table1[[#This Row],[Category and Sub-Category]],FIND("/",Table1[[#This Row],[Category and Sub-Category]])-1)</f>
        <v>music</v>
      </c>
      <c r="V857" t="str">
        <f>RIGHT(Table1[[#This Row],[Category and Sub-Category]],LEN(Table1[[#This Row],[Category and Sub-Category]])-FIND("/",Table1[[#This Row],[Category and Sub-Category]]))</f>
        <v>metal</v>
      </c>
    </row>
    <row r="858" spans="1:22" ht="57.6" x14ac:dyDescent="0.3">
      <c r="A858">
        <v>856</v>
      </c>
      <c r="B858" s="3" t="s">
        <v>857</v>
      </c>
      <c r="C858" s="3" t="s">
        <v>4966</v>
      </c>
      <c r="D858" s="12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>((Table1[[#This Row],[deadline]]/60)/60/24)+DATE(1970,1,1)</f>
        <v>42668.791666666672</v>
      </c>
      <c r="K858">
        <v>1472282956</v>
      </c>
      <c r="L858" s="11">
        <f>((Table1[[#This Row],[launched_at]]/60)/60/24)+DATE(1970,1,1)</f>
        <v>42609.311990740738</v>
      </c>
      <c r="M858">
        <f>MONTH(Table1[[#This Row],[Date Created Conversion]])</f>
        <v>8</v>
      </c>
      <c r="N858">
        <f>YEAR(Table1[[#This Row],[Date Created Conversion]])</f>
        <v>2016</v>
      </c>
      <c r="O858" t="b">
        <v>0</v>
      </c>
      <c r="P858">
        <v>28</v>
      </c>
      <c r="Q858" t="b">
        <v>1</v>
      </c>
      <c r="R858" t="s">
        <v>8277</v>
      </c>
      <c r="S858" s="6">
        <f>Table1[[#This Row],[pledged]]/Table1[[#This Row],[goal]]</f>
        <v>2.1800000000000002</v>
      </c>
      <c r="T858" s="8">
        <f>IF(Table1[[#This Row],[pledged]]=0,"no backers",Table1[[#This Row],[pledged]]/Table1[[#This Row],[backers_count]])</f>
        <v>19.464285714285715</v>
      </c>
      <c r="U858" t="str">
        <f>LEFT(Table1[[#This Row],[Category and Sub-Category]],FIND("/",Table1[[#This Row],[Category and Sub-Category]])-1)</f>
        <v>music</v>
      </c>
      <c r="V858" t="str">
        <f>RIGHT(Table1[[#This Row],[Category and Sub-Category]],LEN(Table1[[#This Row],[Category and Sub-Category]])-FIND("/",Table1[[#This Row],[Category and Sub-Category]]))</f>
        <v>metal</v>
      </c>
    </row>
    <row r="859" spans="1:22" ht="43.2" x14ac:dyDescent="0.3">
      <c r="A859">
        <v>857</v>
      </c>
      <c r="B859" s="3" t="s">
        <v>858</v>
      </c>
      <c r="C859" s="3" t="s">
        <v>4967</v>
      </c>
      <c r="D859" s="12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>((Table1[[#This Row],[deadline]]/60)/60/24)+DATE(1970,1,1)</f>
        <v>42333.623043981483</v>
      </c>
      <c r="K859">
        <v>1444831031</v>
      </c>
      <c r="L859" s="11">
        <f>((Table1[[#This Row],[launched_at]]/60)/60/24)+DATE(1970,1,1)</f>
        <v>42291.581377314811</v>
      </c>
      <c r="M859">
        <f>MONTH(Table1[[#This Row],[Date Created Conversion]])</f>
        <v>10</v>
      </c>
      <c r="N859">
        <f>YEAR(Table1[[#This Row],[Date Created Conversion]])</f>
        <v>2015</v>
      </c>
      <c r="O859" t="b">
        <v>0</v>
      </c>
      <c r="P859">
        <v>24</v>
      </c>
      <c r="Q859" t="b">
        <v>1</v>
      </c>
      <c r="R859" t="s">
        <v>8277</v>
      </c>
      <c r="S859" s="6">
        <f>Table1[[#This Row],[pledged]]/Table1[[#This Row],[goal]]</f>
        <v>1</v>
      </c>
      <c r="T859" s="8">
        <f>IF(Table1[[#This Row],[pledged]]=0,"no backers",Table1[[#This Row],[pledged]]/Table1[[#This Row],[backers_count]])</f>
        <v>50</v>
      </c>
      <c r="U859" t="str">
        <f>LEFT(Table1[[#This Row],[Category and Sub-Category]],FIND("/",Table1[[#This Row],[Category and Sub-Category]])-1)</f>
        <v>music</v>
      </c>
      <c r="V859" t="str">
        <f>RIGHT(Table1[[#This Row],[Category and Sub-Category]],LEN(Table1[[#This Row],[Category and Sub-Category]])-FIND("/",Table1[[#This Row],[Category and Sub-Category]]))</f>
        <v>metal</v>
      </c>
    </row>
    <row r="860" spans="1:22" ht="43.2" x14ac:dyDescent="0.3">
      <c r="A860">
        <v>858</v>
      </c>
      <c r="B860" s="3" t="s">
        <v>859</v>
      </c>
      <c r="C860" s="3" t="s">
        <v>4968</v>
      </c>
      <c r="D860" s="12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>((Table1[[#This Row],[deadline]]/60)/60/24)+DATE(1970,1,1)</f>
        <v>42109.957638888889</v>
      </c>
      <c r="K860">
        <v>1426528418</v>
      </c>
      <c r="L860" s="11">
        <f>((Table1[[#This Row],[launched_at]]/60)/60/24)+DATE(1970,1,1)</f>
        <v>42079.745578703703</v>
      </c>
      <c r="M860">
        <f>MONTH(Table1[[#This Row],[Date Created Conversion]])</f>
        <v>3</v>
      </c>
      <c r="N860">
        <f>YEAR(Table1[[#This Row],[Date Created Conversion]])</f>
        <v>2015</v>
      </c>
      <c r="O860" t="b">
        <v>0</v>
      </c>
      <c r="P860">
        <v>76</v>
      </c>
      <c r="Q860" t="b">
        <v>1</v>
      </c>
      <c r="R860" t="s">
        <v>8277</v>
      </c>
      <c r="S860" s="6">
        <f>Table1[[#This Row],[pledged]]/Table1[[#This Row],[goal]]</f>
        <v>1.4400583333333332</v>
      </c>
      <c r="T860" s="8">
        <f>IF(Table1[[#This Row],[pledged]]=0,"no backers",Table1[[#This Row],[pledged]]/Table1[[#This Row],[backers_count]])</f>
        <v>22.737763157894737</v>
      </c>
      <c r="U860" t="str">
        <f>LEFT(Table1[[#This Row],[Category and Sub-Category]],FIND("/",Table1[[#This Row],[Category and Sub-Category]])-1)</f>
        <v>music</v>
      </c>
      <c r="V860" t="str">
        <f>RIGHT(Table1[[#This Row],[Category and Sub-Category]],LEN(Table1[[#This Row],[Category and Sub-Category]])-FIND("/",Table1[[#This Row],[Category and Sub-Category]]))</f>
        <v>metal</v>
      </c>
    </row>
    <row r="861" spans="1:22" ht="43.2" x14ac:dyDescent="0.3">
      <c r="A861">
        <v>859</v>
      </c>
      <c r="B861" s="3" t="s">
        <v>860</v>
      </c>
      <c r="C861" s="3" t="s">
        <v>4969</v>
      </c>
      <c r="D861" s="12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>((Table1[[#This Row],[deadline]]/60)/60/24)+DATE(1970,1,1)</f>
        <v>42159</v>
      </c>
      <c r="K861">
        <v>1430768468</v>
      </c>
      <c r="L861" s="11">
        <f>((Table1[[#This Row],[launched_at]]/60)/60/24)+DATE(1970,1,1)</f>
        <v>42128.820231481484</v>
      </c>
      <c r="M861">
        <f>MONTH(Table1[[#This Row],[Date Created Conversion]])</f>
        <v>5</v>
      </c>
      <c r="N861">
        <f>YEAR(Table1[[#This Row],[Date Created Conversion]])</f>
        <v>2015</v>
      </c>
      <c r="O861" t="b">
        <v>0</v>
      </c>
      <c r="P861">
        <v>98</v>
      </c>
      <c r="Q861" t="b">
        <v>1</v>
      </c>
      <c r="R861" t="s">
        <v>8277</v>
      </c>
      <c r="S861" s="6">
        <f>Table1[[#This Row],[pledged]]/Table1[[#This Row],[goal]]</f>
        <v>1.0467500000000001</v>
      </c>
      <c r="T861" s="8">
        <f>IF(Table1[[#This Row],[pledged]]=0,"no backers",Table1[[#This Row],[pledged]]/Table1[[#This Row],[backers_count]])</f>
        <v>42.724489795918366</v>
      </c>
      <c r="U861" t="str">
        <f>LEFT(Table1[[#This Row],[Category and Sub-Category]],FIND("/",Table1[[#This Row],[Category and Sub-Category]])-1)</f>
        <v>music</v>
      </c>
      <c r="V861" t="str">
        <f>RIGHT(Table1[[#This Row],[Category and Sub-Category]],LEN(Table1[[#This Row],[Category and Sub-Category]])-FIND("/",Table1[[#This Row],[Category and Sub-Category]]))</f>
        <v>metal</v>
      </c>
    </row>
    <row r="862" spans="1:22" ht="43.2" x14ac:dyDescent="0.3">
      <c r="A862">
        <v>860</v>
      </c>
      <c r="B862" s="3" t="s">
        <v>861</v>
      </c>
      <c r="C862" s="3" t="s">
        <v>4970</v>
      </c>
      <c r="D862" s="1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>((Table1[[#This Row],[deadline]]/60)/60/24)+DATE(1970,1,1)</f>
        <v>41600.524456018517</v>
      </c>
      <c r="K862">
        <v>1382528113</v>
      </c>
      <c r="L862" s="11">
        <f>((Table1[[#This Row],[launched_at]]/60)/60/24)+DATE(1970,1,1)</f>
        <v>41570.482789351852</v>
      </c>
      <c r="M862">
        <f>MONTH(Table1[[#This Row],[Date Created Conversion]])</f>
        <v>10</v>
      </c>
      <c r="N862">
        <f>YEAR(Table1[[#This Row],[Date Created Conversion]])</f>
        <v>2013</v>
      </c>
      <c r="O862" t="b">
        <v>0</v>
      </c>
      <c r="P862">
        <v>48</v>
      </c>
      <c r="Q862" t="b">
        <v>0</v>
      </c>
      <c r="R862" t="s">
        <v>8278</v>
      </c>
      <c r="S862" s="6">
        <f>Table1[[#This Row],[pledged]]/Table1[[#This Row],[goal]]</f>
        <v>0.18142857142857144</v>
      </c>
      <c r="T862" s="8">
        <f>IF(Table1[[#This Row],[pledged]]=0,"no backers",Table1[[#This Row],[pledged]]/Table1[[#This Row],[backers_count]])</f>
        <v>52.916666666666664</v>
      </c>
      <c r="U862" t="str">
        <f>LEFT(Table1[[#This Row],[Category and Sub-Category]],FIND("/",Table1[[#This Row],[Category and Sub-Category]])-1)</f>
        <v>music</v>
      </c>
      <c r="V862" t="str">
        <f>RIGHT(Table1[[#This Row],[Category and Sub-Category]],LEN(Table1[[#This Row],[Category and Sub-Category]])-FIND("/",Table1[[#This Row],[Category and Sub-Category]]))</f>
        <v>jazz</v>
      </c>
    </row>
    <row r="863" spans="1:22" ht="43.2" x14ac:dyDescent="0.3">
      <c r="A863">
        <v>861</v>
      </c>
      <c r="B863" s="3" t="s">
        <v>862</v>
      </c>
      <c r="C863" s="3" t="s">
        <v>4971</v>
      </c>
      <c r="D863" s="12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>((Table1[[#This Row],[deadline]]/60)/60/24)+DATE(1970,1,1)</f>
        <v>42629.965324074074</v>
      </c>
      <c r="K863">
        <v>1471475404</v>
      </c>
      <c r="L863" s="11">
        <f>((Table1[[#This Row],[launched_at]]/60)/60/24)+DATE(1970,1,1)</f>
        <v>42599.965324074074</v>
      </c>
      <c r="M863">
        <f>MONTH(Table1[[#This Row],[Date Created Conversion]])</f>
        <v>8</v>
      </c>
      <c r="N863">
        <f>YEAR(Table1[[#This Row],[Date Created Conversion]])</f>
        <v>2016</v>
      </c>
      <c r="O863" t="b">
        <v>0</v>
      </c>
      <c r="P863">
        <v>2</v>
      </c>
      <c r="Q863" t="b">
        <v>0</v>
      </c>
      <c r="R863" t="s">
        <v>8278</v>
      </c>
      <c r="S863" s="6">
        <f>Table1[[#This Row],[pledged]]/Table1[[#This Row],[goal]]</f>
        <v>2.2444444444444444E-2</v>
      </c>
      <c r="T863" s="8">
        <f>IF(Table1[[#This Row],[pledged]]=0,"no backers",Table1[[#This Row],[pledged]]/Table1[[#This Row],[backers_count]])</f>
        <v>50.5</v>
      </c>
      <c r="U863" t="str">
        <f>LEFT(Table1[[#This Row],[Category and Sub-Category]],FIND("/",Table1[[#This Row],[Category and Sub-Category]])-1)</f>
        <v>music</v>
      </c>
      <c r="V863" t="str">
        <f>RIGHT(Table1[[#This Row],[Category and Sub-Category]],LEN(Table1[[#This Row],[Category and Sub-Category]])-FIND("/",Table1[[#This Row],[Category and Sub-Category]]))</f>
        <v>jazz</v>
      </c>
    </row>
    <row r="864" spans="1:22" ht="43.2" x14ac:dyDescent="0.3">
      <c r="A864">
        <v>862</v>
      </c>
      <c r="B864" s="3" t="s">
        <v>863</v>
      </c>
      <c r="C864" s="3" t="s">
        <v>4972</v>
      </c>
      <c r="D864" s="12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>((Table1[[#This Row],[deadline]]/60)/60/24)+DATE(1970,1,1)</f>
        <v>41589.596620370372</v>
      </c>
      <c r="K864">
        <v>1381583948</v>
      </c>
      <c r="L864" s="11">
        <f>((Table1[[#This Row],[launched_at]]/60)/60/24)+DATE(1970,1,1)</f>
        <v>41559.5549537037</v>
      </c>
      <c r="M864">
        <f>MONTH(Table1[[#This Row],[Date Created Conversion]])</f>
        <v>10</v>
      </c>
      <c r="N864">
        <f>YEAR(Table1[[#This Row],[Date Created Conversion]])</f>
        <v>2013</v>
      </c>
      <c r="O864" t="b">
        <v>0</v>
      </c>
      <c r="P864">
        <v>4</v>
      </c>
      <c r="Q864" t="b">
        <v>0</v>
      </c>
      <c r="R864" t="s">
        <v>8278</v>
      </c>
      <c r="S864" s="6">
        <f>Table1[[#This Row],[pledged]]/Table1[[#This Row],[goal]]</f>
        <v>3.3999999999999998E-3</v>
      </c>
      <c r="T864" s="8">
        <f>IF(Table1[[#This Row],[pledged]]=0,"no backers",Table1[[#This Row],[pledged]]/Table1[[#This Row],[backers_count]])</f>
        <v>42.5</v>
      </c>
      <c r="U864" t="str">
        <f>LEFT(Table1[[#This Row],[Category and Sub-Category]],FIND("/",Table1[[#This Row],[Category and Sub-Category]])-1)</f>
        <v>music</v>
      </c>
      <c r="V864" t="str">
        <f>RIGHT(Table1[[#This Row],[Category and Sub-Category]],LEN(Table1[[#This Row],[Category and Sub-Category]])-FIND("/",Table1[[#This Row],[Category and Sub-Category]]))</f>
        <v>jazz</v>
      </c>
    </row>
    <row r="865" spans="1:22" ht="43.2" x14ac:dyDescent="0.3">
      <c r="A865">
        <v>863</v>
      </c>
      <c r="B865" s="3" t="s">
        <v>864</v>
      </c>
      <c r="C865" s="3" t="s">
        <v>4973</v>
      </c>
      <c r="D865" s="12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>((Table1[[#This Row],[deadline]]/60)/60/24)+DATE(1970,1,1)</f>
        <v>40951.117662037039</v>
      </c>
      <c r="K865">
        <v>1326422966</v>
      </c>
      <c r="L865" s="11">
        <f>((Table1[[#This Row],[launched_at]]/60)/60/24)+DATE(1970,1,1)</f>
        <v>40921.117662037039</v>
      </c>
      <c r="M865">
        <f>MONTH(Table1[[#This Row],[Date Created Conversion]])</f>
        <v>1</v>
      </c>
      <c r="N865">
        <f>YEAR(Table1[[#This Row],[Date Created Conversion]])</f>
        <v>2012</v>
      </c>
      <c r="O865" t="b">
        <v>0</v>
      </c>
      <c r="P865">
        <v>5</v>
      </c>
      <c r="Q865" t="b">
        <v>0</v>
      </c>
      <c r="R865" t="s">
        <v>8278</v>
      </c>
      <c r="S865" s="6">
        <f>Table1[[#This Row],[pledged]]/Table1[[#This Row],[goal]]</f>
        <v>4.4999999999999998E-2</v>
      </c>
      <c r="T865" s="8">
        <f>IF(Table1[[#This Row],[pledged]]=0,"no backers",Table1[[#This Row],[pledged]]/Table1[[#This Row],[backers_count]])</f>
        <v>18</v>
      </c>
      <c r="U865" t="str">
        <f>LEFT(Table1[[#This Row],[Category and Sub-Category]],FIND("/",Table1[[#This Row],[Category and Sub-Category]])-1)</f>
        <v>music</v>
      </c>
      <c r="V865" t="str">
        <f>RIGHT(Table1[[#This Row],[Category and Sub-Category]],LEN(Table1[[#This Row],[Category and Sub-Category]])-FIND("/",Table1[[#This Row],[Category and Sub-Category]]))</f>
        <v>jazz</v>
      </c>
    </row>
    <row r="866" spans="1:22" ht="43.2" x14ac:dyDescent="0.3">
      <c r="A866">
        <v>864</v>
      </c>
      <c r="B866" s="3" t="s">
        <v>865</v>
      </c>
      <c r="C866" s="3" t="s">
        <v>4974</v>
      </c>
      <c r="D866" s="12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>((Table1[[#This Row],[deadline]]/60)/60/24)+DATE(1970,1,1)</f>
        <v>41563.415972222225</v>
      </c>
      <c r="K866">
        <v>1379990038</v>
      </c>
      <c r="L866" s="11">
        <f>((Table1[[#This Row],[launched_at]]/60)/60/24)+DATE(1970,1,1)</f>
        <v>41541.106921296298</v>
      </c>
      <c r="M866">
        <f>MONTH(Table1[[#This Row],[Date Created Conversion]])</f>
        <v>9</v>
      </c>
      <c r="N866">
        <f>YEAR(Table1[[#This Row],[Date Created Conversion]])</f>
        <v>2013</v>
      </c>
      <c r="O866" t="b">
        <v>0</v>
      </c>
      <c r="P866">
        <v>79</v>
      </c>
      <c r="Q866" t="b">
        <v>0</v>
      </c>
      <c r="R866" t="s">
        <v>8278</v>
      </c>
      <c r="S866" s="6">
        <f>Table1[[#This Row],[pledged]]/Table1[[#This Row],[goal]]</f>
        <v>0.41538461538461541</v>
      </c>
      <c r="T866" s="8">
        <f>IF(Table1[[#This Row],[pledged]]=0,"no backers",Table1[[#This Row],[pledged]]/Table1[[#This Row],[backers_count]])</f>
        <v>34.177215189873415</v>
      </c>
      <c r="U866" t="str">
        <f>LEFT(Table1[[#This Row],[Category and Sub-Category]],FIND("/",Table1[[#This Row],[Category and Sub-Category]])-1)</f>
        <v>music</v>
      </c>
      <c r="V866" t="str">
        <f>RIGHT(Table1[[#This Row],[Category and Sub-Category]],LEN(Table1[[#This Row],[Category and Sub-Category]])-FIND("/",Table1[[#This Row],[Category and Sub-Category]]))</f>
        <v>jazz</v>
      </c>
    </row>
    <row r="867" spans="1:22" ht="43.2" x14ac:dyDescent="0.3">
      <c r="A867">
        <v>865</v>
      </c>
      <c r="B867" s="3" t="s">
        <v>866</v>
      </c>
      <c r="C867" s="3" t="s">
        <v>4975</v>
      </c>
      <c r="D867" s="12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>((Table1[[#This Row],[deadline]]/60)/60/24)+DATE(1970,1,1)</f>
        <v>41290.77311342593</v>
      </c>
      <c r="K867">
        <v>1353177197</v>
      </c>
      <c r="L867" s="11">
        <f>((Table1[[#This Row],[launched_at]]/60)/60/24)+DATE(1970,1,1)</f>
        <v>41230.77311342593</v>
      </c>
      <c r="M867">
        <f>MONTH(Table1[[#This Row],[Date Created Conversion]])</f>
        <v>11</v>
      </c>
      <c r="N867">
        <f>YEAR(Table1[[#This Row],[Date Created Conversion]])</f>
        <v>2012</v>
      </c>
      <c r="O867" t="b">
        <v>0</v>
      </c>
      <c r="P867">
        <v>2</v>
      </c>
      <c r="Q867" t="b">
        <v>0</v>
      </c>
      <c r="R867" t="s">
        <v>8278</v>
      </c>
      <c r="S867" s="6">
        <f>Table1[[#This Row],[pledged]]/Table1[[#This Row],[goal]]</f>
        <v>2.0454545454545454E-2</v>
      </c>
      <c r="T867" s="8">
        <f>IF(Table1[[#This Row],[pledged]]=0,"no backers",Table1[[#This Row],[pledged]]/Table1[[#This Row],[backers_count]])</f>
        <v>22.5</v>
      </c>
      <c r="U867" t="str">
        <f>LEFT(Table1[[#This Row],[Category and Sub-Category]],FIND("/",Table1[[#This Row],[Category and Sub-Category]])-1)</f>
        <v>music</v>
      </c>
      <c r="V867" t="str">
        <f>RIGHT(Table1[[#This Row],[Category and Sub-Category]],LEN(Table1[[#This Row],[Category and Sub-Category]])-FIND("/",Table1[[#This Row],[Category and Sub-Category]]))</f>
        <v>jazz</v>
      </c>
    </row>
    <row r="868" spans="1:22" ht="43.2" x14ac:dyDescent="0.3">
      <c r="A868">
        <v>866</v>
      </c>
      <c r="B868" s="3" t="s">
        <v>867</v>
      </c>
      <c r="C868" s="3" t="s">
        <v>4976</v>
      </c>
      <c r="D868" s="12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>((Table1[[#This Row],[deadline]]/60)/60/24)+DATE(1970,1,1)</f>
        <v>42063.631944444445</v>
      </c>
      <c r="K868">
        <v>1421853518</v>
      </c>
      <c r="L868" s="11">
        <f>((Table1[[#This Row],[launched_at]]/60)/60/24)+DATE(1970,1,1)</f>
        <v>42025.637939814813</v>
      </c>
      <c r="M868">
        <f>MONTH(Table1[[#This Row],[Date Created Conversion]])</f>
        <v>1</v>
      </c>
      <c r="N868">
        <f>YEAR(Table1[[#This Row],[Date Created Conversion]])</f>
        <v>2015</v>
      </c>
      <c r="O868" t="b">
        <v>0</v>
      </c>
      <c r="P868">
        <v>11</v>
      </c>
      <c r="Q868" t="b">
        <v>0</v>
      </c>
      <c r="R868" t="s">
        <v>8278</v>
      </c>
      <c r="S868" s="6">
        <f>Table1[[#This Row],[pledged]]/Table1[[#This Row],[goal]]</f>
        <v>0.18285714285714286</v>
      </c>
      <c r="T868" s="8">
        <f>IF(Table1[[#This Row],[pledged]]=0,"no backers",Table1[[#This Row],[pledged]]/Table1[[#This Row],[backers_count]])</f>
        <v>58.18181818181818</v>
      </c>
      <c r="U868" t="str">
        <f>LEFT(Table1[[#This Row],[Category and Sub-Category]],FIND("/",Table1[[#This Row],[Category and Sub-Category]])-1)</f>
        <v>music</v>
      </c>
      <c r="V868" t="str">
        <f>RIGHT(Table1[[#This Row],[Category and Sub-Category]],LEN(Table1[[#This Row],[Category and Sub-Category]])-FIND("/",Table1[[#This Row],[Category and Sub-Category]]))</f>
        <v>jazz</v>
      </c>
    </row>
    <row r="869" spans="1:22" ht="43.2" x14ac:dyDescent="0.3">
      <c r="A869">
        <v>867</v>
      </c>
      <c r="B869" s="3" t="s">
        <v>868</v>
      </c>
      <c r="C869" s="3" t="s">
        <v>4977</v>
      </c>
      <c r="D869" s="12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>((Table1[[#This Row],[deadline]]/60)/60/24)+DATE(1970,1,1)</f>
        <v>40148.207638888889</v>
      </c>
      <c r="K869">
        <v>1254450706</v>
      </c>
      <c r="L869" s="11">
        <f>((Table1[[#This Row],[launched_at]]/60)/60/24)+DATE(1970,1,1)</f>
        <v>40088.105393518519</v>
      </c>
      <c r="M869">
        <f>MONTH(Table1[[#This Row],[Date Created Conversion]])</f>
        <v>10</v>
      </c>
      <c r="N869">
        <f>YEAR(Table1[[#This Row],[Date Created Conversion]])</f>
        <v>2009</v>
      </c>
      <c r="O869" t="b">
        <v>0</v>
      </c>
      <c r="P869">
        <v>11</v>
      </c>
      <c r="Q869" t="b">
        <v>0</v>
      </c>
      <c r="R869" t="s">
        <v>8278</v>
      </c>
      <c r="S869" s="6">
        <f>Table1[[#This Row],[pledged]]/Table1[[#This Row],[goal]]</f>
        <v>0.2402</v>
      </c>
      <c r="T869" s="8">
        <f>IF(Table1[[#This Row],[pledged]]=0,"no backers",Table1[[#This Row],[pledged]]/Table1[[#This Row],[backers_count]])</f>
        <v>109.18181818181819</v>
      </c>
      <c r="U869" t="str">
        <f>LEFT(Table1[[#This Row],[Category and Sub-Category]],FIND("/",Table1[[#This Row],[Category and Sub-Category]])-1)</f>
        <v>music</v>
      </c>
      <c r="V869" t="str">
        <f>RIGHT(Table1[[#This Row],[Category and Sub-Category]],LEN(Table1[[#This Row],[Category and Sub-Category]])-FIND("/",Table1[[#This Row],[Category and Sub-Category]]))</f>
        <v>jazz</v>
      </c>
    </row>
    <row r="870" spans="1:22" ht="57.6" x14ac:dyDescent="0.3">
      <c r="A870">
        <v>868</v>
      </c>
      <c r="B870" s="3" t="s">
        <v>869</v>
      </c>
      <c r="C870" s="3" t="s">
        <v>4978</v>
      </c>
      <c r="D870" s="12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>((Table1[[#This Row],[deadline]]/60)/60/24)+DATE(1970,1,1)</f>
        <v>41646.027754629627</v>
      </c>
      <c r="K870">
        <v>1386463198</v>
      </c>
      <c r="L870" s="11">
        <f>((Table1[[#This Row],[launched_at]]/60)/60/24)+DATE(1970,1,1)</f>
        <v>41616.027754629627</v>
      </c>
      <c r="M870">
        <f>MONTH(Table1[[#This Row],[Date Created Conversion]])</f>
        <v>12</v>
      </c>
      <c r="N870">
        <f>YEAR(Table1[[#This Row],[Date Created Conversion]])</f>
        <v>2013</v>
      </c>
      <c r="O870" t="b">
        <v>0</v>
      </c>
      <c r="P870">
        <v>1</v>
      </c>
      <c r="Q870" t="b">
        <v>0</v>
      </c>
      <c r="R870" t="s">
        <v>8278</v>
      </c>
      <c r="S870" s="6">
        <f>Table1[[#This Row],[pledged]]/Table1[[#This Row],[goal]]</f>
        <v>1.1111111111111111E-3</v>
      </c>
      <c r="T870" s="8">
        <f>IF(Table1[[#This Row],[pledged]]=0,"no backers",Table1[[#This Row],[pledged]]/Table1[[#This Row],[backers_count]])</f>
        <v>50</v>
      </c>
      <c r="U870" t="str">
        <f>LEFT(Table1[[#This Row],[Category and Sub-Category]],FIND("/",Table1[[#This Row],[Category and Sub-Category]])-1)</f>
        <v>music</v>
      </c>
      <c r="V870" t="str">
        <f>RIGHT(Table1[[#This Row],[Category and Sub-Category]],LEN(Table1[[#This Row],[Category and Sub-Category]])-FIND("/",Table1[[#This Row],[Category and Sub-Category]]))</f>
        <v>jazz</v>
      </c>
    </row>
    <row r="871" spans="1:22" ht="57.6" x14ac:dyDescent="0.3">
      <c r="A871">
        <v>869</v>
      </c>
      <c r="B871" s="3" t="s">
        <v>870</v>
      </c>
      <c r="C871" s="3" t="s">
        <v>4979</v>
      </c>
      <c r="D871" s="12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>((Table1[[#This Row],[deadline]]/60)/60/24)+DATE(1970,1,1)</f>
        <v>41372.803900462961</v>
      </c>
      <c r="K871">
        <v>1362860257</v>
      </c>
      <c r="L871" s="11">
        <f>((Table1[[#This Row],[launched_at]]/60)/60/24)+DATE(1970,1,1)</f>
        <v>41342.845567129632</v>
      </c>
      <c r="M871">
        <f>MONTH(Table1[[#This Row],[Date Created Conversion]])</f>
        <v>3</v>
      </c>
      <c r="N871">
        <f>YEAR(Table1[[#This Row],[Date Created Conversion]])</f>
        <v>2013</v>
      </c>
      <c r="O871" t="b">
        <v>0</v>
      </c>
      <c r="P871">
        <v>3</v>
      </c>
      <c r="Q871" t="b">
        <v>0</v>
      </c>
      <c r="R871" t="s">
        <v>8278</v>
      </c>
      <c r="S871" s="6">
        <f>Table1[[#This Row],[pledged]]/Table1[[#This Row],[goal]]</f>
        <v>0.11818181818181818</v>
      </c>
      <c r="T871" s="8">
        <f>IF(Table1[[#This Row],[pledged]]=0,"no backers",Table1[[#This Row],[pledged]]/Table1[[#This Row],[backers_count]])</f>
        <v>346.66666666666669</v>
      </c>
      <c r="U871" t="str">
        <f>LEFT(Table1[[#This Row],[Category and Sub-Category]],FIND("/",Table1[[#This Row],[Category and Sub-Category]])-1)</f>
        <v>music</v>
      </c>
      <c r="V871" t="str">
        <f>RIGHT(Table1[[#This Row],[Category and Sub-Category]],LEN(Table1[[#This Row],[Category and Sub-Category]])-FIND("/",Table1[[#This Row],[Category and Sub-Category]]))</f>
        <v>jazz</v>
      </c>
    </row>
    <row r="872" spans="1:22" ht="43.2" x14ac:dyDescent="0.3">
      <c r="A872">
        <v>870</v>
      </c>
      <c r="B872" s="3" t="s">
        <v>871</v>
      </c>
      <c r="C872" s="3" t="s">
        <v>4980</v>
      </c>
      <c r="D872" s="1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>((Table1[[#This Row],[deadline]]/60)/60/24)+DATE(1970,1,1)</f>
        <v>41518.022256944445</v>
      </c>
      <c r="K872">
        <v>1375403523</v>
      </c>
      <c r="L872" s="11">
        <f>((Table1[[#This Row],[launched_at]]/60)/60/24)+DATE(1970,1,1)</f>
        <v>41488.022256944445</v>
      </c>
      <c r="M872">
        <f>MONTH(Table1[[#This Row],[Date Created Conversion]])</f>
        <v>8</v>
      </c>
      <c r="N872">
        <f>YEAR(Table1[[#This Row],[Date Created Conversion]])</f>
        <v>2013</v>
      </c>
      <c r="O872" t="b">
        <v>0</v>
      </c>
      <c r="P872">
        <v>5</v>
      </c>
      <c r="Q872" t="b">
        <v>0</v>
      </c>
      <c r="R872" t="s">
        <v>8278</v>
      </c>
      <c r="S872" s="6">
        <f>Table1[[#This Row],[pledged]]/Table1[[#This Row],[goal]]</f>
        <v>3.0999999999999999E-3</v>
      </c>
      <c r="T872" s="8">
        <f>IF(Table1[[#This Row],[pledged]]=0,"no backers",Table1[[#This Row],[pledged]]/Table1[[#This Row],[backers_count]])</f>
        <v>12.4</v>
      </c>
      <c r="U872" t="str">
        <f>LEFT(Table1[[#This Row],[Category and Sub-Category]],FIND("/",Table1[[#This Row],[Category and Sub-Category]])-1)</f>
        <v>music</v>
      </c>
      <c r="V872" t="str">
        <f>RIGHT(Table1[[#This Row],[Category and Sub-Category]],LEN(Table1[[#This Row],[Category and Sub-Category]])-FIND("/",Table1[[#This Row],[Category and Sub-Category]]))</f>
        <v>jazz</v>
      </c>
    </row>
    <row r="873" spans="1:22" ht="43.2" x14ac:dyDescent="0.3">
      <c r="A873">
        <v>871</v>
      </c>
      <c r="B873" s="3" t="s">
        <v>872</v>
      </c>
      <c r="C873" s="3" t="s">
        <v>4981</v>
      </c>
      <c r="D873" s="12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>((Table1[[#This Row],[deadline]]/60)/60/24)+DATE(1970,1,1)</f>
        <v>41607.602951388886</v>
      </c>
      <c r="K873">
        <v>1383139695</v>
      </c>
      <c r="L873" s="11">
        <f>((Table1[[#This Row],[launched_at]]/60)/60/24)+DATE(1970,1,1)</f>
        <v>41577.561284722222</v>
      </c>
      <c r="M873">
        <f>MONTH(Table1[[#This Row],[Date Created Conversion]])</f>
        <v>10</v>
      </c>
      <c r="N873">
        <f>YEAR(Table1[[#This Row],[Date Created Conversion]])</f>
        <v>2013</v>
      </c>
      <c r="O873" t="b">
        <v>0</v>
      </c>
      <c r="P873">
        <v>12</v>
      </c>
      <c r="Q873" t="b">
        <v>0</v>
      </c>
      <c r="R873" t="s">
        <v>8278</v>
      </c>
      <c r="S873" s="6">
        <f>Table1[[#This Row],[pledged]]/Table1[[#This Row],[goal]]</f>
        <v>5.4166666666666669E-2</v>
      </c>
      <c r="T873" s="8">
        <f>IF(Table1[[#This Row],[pledged]]=0,"no backers",Table1[[#This Row],[pledged]]/Table1[[#This Row],[backers_count]])</f>
        <v>27.083333333333332</v>
      </c>
      <c r="U873" t="str">
        <f>LEFT(Table1[[#This Row],[Category and Sub-Category]],FIND("/",Table1[[#This Row],[Category and Sub-Category]])-1)</f>
        <v>music</v>
      </c>
      <c r="V873" t="str">
        <f>RIGHT(Table1[[#This Row],[Category and Sub-Category]],LEN(Table1[[#This Row],[Category and Sub-Category]])-FIND("/",Table1[[#This Row],[Category and Sub-Category]]))</f>
        <v>jazz</v>
      </c>
    </row>
    <row r="874" spans="1:22" ht="43.2" x14ac:dyDescent="0.3">
      <c r="A874">
        <v>872</v>
      </c>
      <c r="B874" s="3" t="s">
        <v>873</v>
      </c>
      <c r="C874" s="3" t="s">
        <v>4982</v>
      </c>
      <c r="D874" s="12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>((Table1[[#This Row],[deadline]]/60)/60/24)+DATE(1970,1,1)</f>
        <v>40612.825543981482</v>
      </c>
      <c r="K874">
        <v>1295898527</v>
      </c>
      <c r="L874" s="11">
        <f>((Table1[[#This Row],[launched_at]]/60)/60/24)+DATE(1970,1,1)</f>
        <v>40567.825543981482</v>
      </c>
      <c r="M874">
        <f>MONTH(Table1[[#This Row],[Date Created Conversion]])</f>
        <v>1</v>
      </c>
      <c r="N874">
        <f>YEAR(Table1[[#This Row],[Date Created Conversion]])</f>
        <v>2011</v>
      </c>
      <c r="O874" t="b">
        <v>0</v>
      </c>
      <c r="P874">
        <v>2</v>
      </c>
      <c r="Q874" t="b">
        <v>0</v>
      </c>
      <c r="R874" t="s">
        <v>8278</v>
      </c>
      <c r="S874" s="6">
        <f>Table1[[#This Row],[pledged]]/Table1[[#This Row],[goal]]</f>
        <v>8.1250000000000003E-3</v>
      </c>
      <c r="T874" s="8">
        <f>IF(Table1[[#This Row],[pledged]]=0,"no backers",Table1[[#This Row],[pledged]]/Table1[[#This Row],[backers_count]])</f>
        <v>32.5</v>
      </c>
      <c r="U874" t="str">
        <f>LEFT(Table1[[#This Row],[Category and Sub-Category]],FIND("/",Table1[[#This Row],[Category and Sub-Category]])-1)</f>
        <v>music</v>
      </c>
      <c r="V874" t="str">
        <f>RIGHT(Table1[[#This Row],[Category and Sub-Category]],LEN(Table1[[#This Row],[Category and Sub-Category]])-FIND("/",Table1[[#This Row],[Category and Sub-Category]]))</f>
        <v>jazz</v>
      </c>
    </row>
    <row r="875" spans="1:22" ht="28.8" x14ac:dyDescent="0.3">
      <c r="A875">
        <v>873</v>
      </c>
      <c r="B875" s="3" t="s">
        <v>874</v>
      </c>
      <c r="C875" s="3" t="s">
        <v>4983</v>
      </c>
      <c r="D875" s="12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>((Table1[[#This Row],[deadline]]/60)/60/24)+DATE(1970,1,1)</f>
        <v>41224.208796296298</v>
      </c>
      <c r="K875">
        <v>1349150440</v>
      </c>
      <c r="L875" s="11">
        <f>((Table1[[#This Row],[launched_at]]/60)/60/24)+DATE(1970,1,1)</f>
        <v>41184.167129629634</v>
      </c>
      <c r="M875">
        <f>MONTH(Table1[[#This Row],[Date Created Conversion]])</f>
        <v>10</v>
      </c>
      <c r="N875">
        <f>YEAR(Table1[[#This Row],[Date Created Conversion]])</f>
        <v>2012</v>
      </c>
      <c r="O875" t="b">
        <v>0</v>
      </c>
      <c r="P875">
        <v>5</v>
      </c>
      <c r="Q875" t="b">
        <v>0</v>
      </c>
      <c r="R875" t="s">
        <v>8278</v>
      </c>
      <c r="S875" s="6">
        <f>Table1[[#This Row],[pledged]]/Table1[[#This Row],[goal]]</f>
        <v>1.2857142857142857E-2</v>
      </c>
      <c r="T875" s="8">
        <f>IF(Table1[[#This Row],[pledged]]=0,"no backers",Table1[[#This Row],[pledged]]/Table1[[#This Row],[backers_count]])</f>
        <v>9</v>
      </c>
      <c r="U875" t="str">
        <f>LEFT(Table1[[#This Row],[Category and Sub-Category]],FIND("/",Table1[[#This Row],[Category and Sub-Category]])-1)</f>
        <v>music</v>
      </c>
      <c r="V875" t="str">
        <f>RIGHT(Table1[[#This Row],[Category and Sub-Category]],LEN(Table1[[#This Row],[Category and Sub-Category]])-FIND("/",Table1[[#This Row],[Category and Sub-Category]]))</f>
        <v>jazz</v>
      </c>
    </row>
    <row r="876" spans="1:22" ht="57.6" x14ac:dyDescent="0.3">
      <c r="A876">
        <v>874</v>
      </c>
      <c r="B876" s="3" t="s">
        <v>875</v>
      </c>
      <c r="C876" s="3" t="s">
        <v>4984</v>
      </c>
      <c r="D876" s="12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>((Table1[[#This Row],[deadline]]/60)/60/24)+DATE(1970,1,1)</f>
        <v>41398.583726851852</v>
      </c>
      <c r="K876">
        <v>1365084034</v>
      </c>
      <c r="L876" s="11">
        <f>((Table1[[#This Row],[launched_at]]/60)/60/24)+DATE(1970,1,1)</f>
        <v>41368.583726851852</v>
      </c>
      <c r="M876">
        <f>MONTH(Table1[[#This Row],[Date Created Conversion]])</f>
        <v>4</v>
      </c>
      <c r="N876">
        <f>YEAR(Table1[[#This Row],[Date Created Conversion]])</f>
        <v>2013</v>
      </c>
      <c r="O876" t="b">
        <v>0</v>
      </c>
      <c r="P876">
        <v>21</v>
      </c>
      <c r="Q876" t="b">
        <v>0</v>
      </c>
      <c r="R876" t="s">
        <v>8278</v>
      </c>
      <c r="S876" s="6">
        <f>Table1[[#This Row],[pledged]]/Table1[[#This Row],[goal]]</f>
        <v>0.24333333333333335</v>
      </c>
      <c r="T876" s="8">
        <f>IF(Table1[[#This Row],[pledged]]=0,"no backers",Table1[[#This Row],[pledged]]/Table1[[#This Row],[backers_count]])</f>
        <v>34.761904761904759</v>
      </c>
      <c r="U876" t="str">
        <f>LEFT(Table1[[#This Row],[Category and Sub-Category]],FIND("/",Table1[[#This Row],[Category and Sub-Category]])-1)</f>
        <v>music</v>
      </c>
      <c r="V876" t="str">
        <f>RIGHT(Table1[[#This Row],[Category and Sub-Category]],LEN(Table1[[#This Row],[Category and Sub-Category]])-FIND("/",Table1[[#This Row],[Category and Sub-Category]]))</f>
        <v>jazz</v>
      </c>
    </row>
    <row r="877" spans="1:22" ht="57.6" x14ac:dyDescent="0.3">
      <c r="A877">
        <v>875</v>
      </c>
      <c r="B877" s="3" t="s">
        <v>876</v>
      </c>
      <c r="C877" s="3" t="s">
        <v>4985</v>
      </c>
      <c r="D877" s="12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>((Table1[[#This Row],[deadline]]/60)/60/24)+DATE(1970,1,1)</f>
        <v>42268.723738425921</v>
      </c>
      <c r="K877">
        <v>1441128131</v>
      </c>
      <c r="L877" s="11">
        <f>((Table1[[#This Row],[launched_at]]/60)/60/24)+DATE(1970,1,1)</f>
        <v>42248.723738425921</v>
      </c>
      <c r="M877">
        <f>MONTH(Table1[[#This Row],[Date Created Conversion]])</f>
        <v>9</v>
      </c>
      <c r="N877">
        <f>YEAR(Table1[[#This Row],[Date Created Conversion]])</f>
        <v>2015</v>
      </c>
      <c r="O877" t="b">
        <v>0</v>
      </c>
      <c r="P877">
        <v>0</v>
      </c>
      <c r="Q877" t="b">
        <v>0</v>
      </c>
      <c r="R877" t="s">
        <v>8278</v>
      </c>
      <c r="S877" s="6">
        <f>Table1[[#This Row],[pledged]]/Table1[[#This Row],[goal]]</f>
        <v>0</v>
      </c>
      <c r="T877" s="8" t="str">
        <f>IF(Table1[[#This Row],[pledged]]=0,"no backers",Table1[[#This Row],[pledged]]/Table1[[#This Row],[backers_count]])</f>
        <v>no backers</v>
      </c>
      <c r="U877" t="str">
        <f>LEFT(Table1[[#This Row],[Category and Sub-Category]],FIND("/",Table1[[#This Row],[Category and Sub-Category]])-1)</f>
        <v>music</v>
      </c>
      <c r="V877" t="str">
        <f>RIGHT(Table1[[#This Row],[Category and Sub-Category]],LEN(Table1[[#This Row],[Category and Sub-Category]])-FIND("/",Table1[[#This Row],[Category and Sub-Category]]))</f>
        <v>jazz</v>
      </c>
    </row>
    <row r="878" spans="1:22" ht="28.8" x14ac:dyDescent="0.3">
      <c r="A878">
        <v>876</v>
      </c>
      <c r="B878" s="3" t="s">
        <v>877</v>
      </c>
      <c r="C878" s="3" t="s">
        <v>4986</v>
      </c>
      <c r="D878" s="12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>((Table1[[#This Row],[deadline]]/60)/60/24)+DATE(1970,1,1)</f>
        <v>41309.496840277774</v>
      </c>
      <c r="K878">
        <v>1357127727</v>
      </c>
      <c r="L878" s="11">
        <f>((Table1[[#This Row],[launched_at]]/60)/60/24)+DATE(1970,1,1)</f>
        <v>41276.496840277774</v>
      </c>
      <c r="M878">
        <f>MONTH(Table1[[#This Row],[Date Created Conversion]])</f>
        <v>1</v>
      </c>
      <c r="N878">
        <f>YEAR(Table1[[#This Row],[Date Created Conversion]])</f>
        <v>2013</v>
      </c>
      <c r="O878" t="b">
        <v>0</v>
      </c>
      <c r="P878">
        <v>45</v>
      </c>
      <c r="Q878" t="b">
        <v>0</v>
      </c>
      <c r="R878" t="s">
        <v>8278</v>
      </c>
      <c r="S878" s="6">
        <f>Table1[[#This Row],[pledged]]/Table1[[#This Row],[goal]]</f>
        <v>0.40799492385786801</v>
      </c>
      <c r="T878" s="8">
        <f>IF(Table1[[#This Row],[pledged]]=0,"no backers",Table1[[#This Row],[pledged]]/Table1[[#This Row],[backers_count]])</f>
        <v>28.577777777777779</v>
      </c>
      <c r="U878" t="str">
        <f>LEFT(Table1[[#This Row],[Category and Sub-Category]],FIND("/",Table1[[#This Row],[Category and Sub-Category]])-1)</f>
        <v>music</v>
      </c>
      <c r="V878" t="str">
        <f>RIGHT(Table1[[#This Row],[Category and Sub-Category]],LEN(Table1[[#This Row],[Category and Sub-Category]])-FIND("/",Table1[[#This Row],[Category and Sub-Category]]))</f>
        <v>jazz</v>
      </c>
    </row>
    <row r="879" spans="1:22" ht="43.2" x14ac:dyDescent="0.3">
      <c r="A879">
        <v>877</v>
      </c>
      <c r="B879" s="3" t="s">
        <v>878</v>
      </c>
      <c r="C879" s="3" t="s">
        <v>4987</v>
      </c>
      <c r="D879" s="12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>((Table1[[#This Row],[deadline]]/60)/60/24)+DATE(1970,1,1)</f>
        <v>41627.788888888892</v>
      </c>
      <c r="K879">
        <v>1384887360</v>
      </c>
      <c r="L879" s="11">
        <f>((Table1[[#This Row],[launched_at]]/60)/60/24)+DATE(1970,1,1)</f>
        <v>41597.788888888892</v>
      </c>
      <c r="M879">
        <f>MONTH(Table1[[#This Row],[Date Created Conversion]])</f>
        <v>11</v>
      </c>
      <c r="N879">
        <f>YEAR(Table1[[#This Row],[Date Created Conversion]])</f>
        <v>2013</v>
      </c>
      <c r="O879" t="b">
        <v>0</v>
      </c>
      <c r="P879">
        <v>29</v>
      </c>
      <c r="Q879" t="b">
        <v>0</v>
      </c>
      <c r="R879" t="s">
        <v>8278</v>
      </c>
      <c r="S879" s="6">
        <f>Table1[[#This Row],[pledged]]/Table1[[#This Row],[goal]]</f>
        <v>0.67549999999999999</v>
      </c>
      <c r="T879" s="8">
        <f>IF(Table1[[#This Row],[pledged]]=0,"no backers",Table1[[#This Row],[pledged]]/Table1[[#This Row],[backers_count]])</f>
        <v>46.586206896551722</v>
      </c>
      <c r="U879" t="str">
        <f>LEFT(Table1[[#This Row],[Category and Sub-Category]],FIND("/",Table1[[#This Row],[Category and Sub-Category]])-1)</f>
        <v>music</v>
      </c>
      <c r="V879" t="str">
        <f>RIGHT(Table1[[#This Row],[Category and Sub-Category]],LEN(Table1[[#This Row],[Category and Sub-Category]])-FIND("/",Table1[[#This Row],[Category and Sub-Category]]))</f>
        <v>jazz</v>
      </c>
    </row>
    <row r="880" spans="1:22" ht="43.2" x14ac:dyDescent="0.3">
      <c r="A880">
        <v>878</v>
      </c>
      <c r="B880" s="3" t="s">
        <v>879</v>
      </c>
      <c r="C880" s="3" t="s">
        <v>4988</v>
      </c>
      <c r="D880" s="12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>((Table1[[#This Row],[deadline]]/60)/60/24)+DATE(1970,1,1)</f>
        <v>40535.232916666668</v>
      </c>
      <c r="K880">
        <v>1290490524</v>
      </c>
      <c r="L880" s="11">
        <f>((Table1[[#This Row],[launched_at]]/60)/60/24)+DATE(1970,1,1)</f>
        <v>40505.232916666668</v>
      </c>
      <c r="M880">
        <f>MONTH(Table1[[#This Row],[Date Created Conversion]])</f>
        <v>11</v>
      </c>
      <c r="N880">
        <f>YEAR(Table1[[#This Row],[Date Created Conversion]])</f>
        <v>2010</v>
      </c>
      <c r="O880" t="b">
        <v>0</v>
      </c>
      <c r="P880">
        <v>2</v>
      </c>
      <c r="Q880" t="b">
        <v>0</v>
      </c>
      <c r="R880" t="s">
        <v>8278</v>
      </c>
      <c r="S880" s="6">
        <f>Table1[[#This Row],[pledged]]/Table1[[#This Row],[goal]]</f>
        <v>1.2999999999999999E-2</v>
      </c>
      <c r="T880" s="8">
        <f>IF(Table1[[#This Row],[pledged]]=0,"no backers",Table1[[#This Row],[pledged]]/Table1[[#This Row],[backers_count]])</f>
        <v>32.5</v>
      </c>
      <c r="U880" t="str">
        <f>LEFT(Table1[[#This Row],[Category and Sub-Category]],FIND("/",Table1[[#This Row],[Category and Sub-Category]])-1)</f>
        <v>music</v>
      </c>
      <c r="V880" t="str">
        <f>RIGHT(Table1[[#This Row],[Category and Sub-Category]],LEN(Table1[[#This Row],[Category and Sub-Category]])-FIND("/",Table1[[#This Row],[Category and Sub-Category]]))</f>
        <v>jazz</v>
      </c>
    </row>
    <row r="881" spans="1:22" ht="43.2" x14ac:dyDescent="0.3">
      <c r="A881">
        <v>879</v>
      </c>
      <c r="B881" s="3" t="s">
        <v>880</v>
      </c>
      <c r="C881" s="3" t="s">
        <v>4989</v>
      </c>
      <c r="D881" s="12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>((Table1[[#This Row],[deadline]]/60)/60/24)+DATE(1970,1,1)</f>
        <v>41058.829918981479</v>
      </c>
      <c r="K881">
        <v>1336506905</v>
      </c>
      <c r="L881" s="11">
        <f>((Table1[[#This Row],[launched_at]]/60)/60/24)+DATE(1970,1,1)</f>
        <v>41037.829918981479</v>
      </c>
      <c r="M881">
        <f>MONTH(Table1[[#This Row],[Date Created Conversion]])</f>
        <v>5</v>
      </c>
      <c r="N881">
        <f>YEAR(Table1[[#This Row],[Date Created Conversion]])</f>
        <v>2012</v>
      </c>
      <c r="O881" t="b">
        <v>0</v>
      </c>
      <c r="P881">
        <v>30</v>
      </c>
      <c r="Q881" t="b">
        <v>0</v>
      </c>
      <c r="R881" t="s">
        <v>8278</v>
      </c>
      <c r="S881" s="6">
        <f>Table1[[#This Row],[pledged]]/Table1[[#This Row],[goal]]</f>
        <v>0.30666666666666664</v>
      </c>
      <c r="T881" s="8">
        <f>IF(Table1[[#This Row],[pledged]]=0,"no backers",Table1[[#This Row],[pledged]]/Table1[[#This Row],[backers_count]])</f>
        <v>21.466666666666665</v>
      </c>
      <c r="U881" t="str">
        <f>LEFT(Table1[[#This Row],[Category and Sub-Category]],FIND("/",Table1[[#This Row],[Category and Sub-Category]])-1)</f>
        <v>music</v>
      </c>
      <c r="V881" t="str">
        <f>RIGHT(Table1[[#This Row],[Category and Sub-Category]],LEN(Table1[[#This Row],[Category and Sub-Category]])-FIND("/",Table1[[#This Row],[Category and Sub-Category]]))</f>
        <v>jazz</v>
      </c>
    </row>
    <row r="882" spans="1:22" ht="43.2" x14ac:dyDescent="0.3">
      <c r="A882">
        <v>880</v>
      </c>
      <c r="B882" s="3" t="s">
        <v>881</v>
      </c>
      <c r="C882" s="3" t="s">
        <v>4990</v>
      </c>
      <c r="D882" s="1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>((Table1[[#This Row],[deadline]]/60)/60/24)+DATE(1970,1,1)</f>
        <v>41212.32104166667</v>
      </c>
      <c r="K882">
        <v>1348731738</v>
      </c>
      <c r="L882" s="11">
        <f>((Table1[[#This Row],[launched_at]]/60)/60/24)+DATE(1970,1,1)</f>
        <v>41179.32104166667</v>
      </c>
      <c r="M882">
        <f>MONTH(Table1[[#This Row],[Date Created Conversion]])</f>
        <v>9</v>
      </c>
      <c r="N882">
        <f>YEAR(Table1[[#This Row],[Date Created Conversion]])</f>
        <v>2012</v>
      </c>
      <c r="O882" t="b">
        <v>0</v>
      </c>
      <c r="P882">
        <v>8</v>
      </c>
      <c r="Q882" t="b">
        <v>0</v>
      </c>
      <c r="R882" t="s">
        <v>8279</v>
      </c>
      <c r="S882" s="6">
        <f>Table1[[#This Row],[pledged]]/Table1[[#This Row],[goal]]</f>
        <v>2.9894179894179893E-2</v>
      </c>
      <c r="T882" s="8">
        <f>IF(Table1[[#This Row],[pledged]]=0,"no backers",Table1[[#This Row],[pledged]]/Table1[[#This Row],[backers_count]])</f>
        <v>14.125</v>
      </c>
      <c r="U882" t="str">
        <f>LEFT(Table1[[#This Row],[Category and Sub-Category]],FIND("/",Table1[[#This Row],[Category and Sub-Category]])-1)</f>
        <v>music</v>
      </c>
      <c r="V882" t="str">
        <f>RIGHT(Table1[[#This Row],[Category and Sub-Category]],LEN(Table1[[#This Row],[Category and Sub-Category]])-FIND("/",Table1[[#This Row],[Category and Sub-Category]]))</f>
        <v>indie rock</v>
      </c>
    </row>
    <row r="883" spans="1:22" ht="43.2" x14ac:dyDescent="0.3">
      <c r="A883">
        <v>881</v>
      </c>
      <c r="B883" s="3" t="s">
        <v>882</v>
      </c>
      <c r="C883" s="3" t="s">
        <v>4991</v>
      </c>
      <c r="D883" s="12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>((Table1[[#This Row],[deadline]]/60)/60/24)+DATE(1970,1,1)</f>
        <v>40922.25099537037</v>
      </c>
      <c r="K883">
        <v>1322632886</v>
      </c>
      <c r="L883" s="11">
        <f>((Table1[[#This Row],[launched_at]]/60)/60/24)+DATE(1970,1,1)</f>
        <v>40877.25099537037</v>
      </c>
      <c r="M883">
        <f>MONTH(Table1[[#This Row],[Date Created Conversion]])</f>
        <v>11</v>
      </c>
      <c r="N883">
        <f>YEAR(Table1[[#This Row],[Date Created Conversion]])</f>
        <v>2011</v>
      </c>
      <c r="O883" t="b">
        <v>0</v>
      </c>
      <c r="P883">
        <v>1</v>
      </c>
      <c r="Q883" t="b">
        <v>0</v>
      </c>
      <c r="R883" t="s">
        <v>8279</v>
      </c>
      <c r="S883" s="6">
        <f>Table1[[#This Row],[pledged]]/Table1[[#This Row],[goal]]</f>
        <v>8.0000000000000002E-3</v>
      </c>
      <c r="T883" s="8">
        <f>IF(Table1[[#This Row],[pledged]]=0,"no backers",Table1[[#This Row],[pledged]]/Table1[[#This Row],[backers_count]])</f>
        <v>30</v>
      </c>
      <c r="U883" t="str">
        <f>LEFT(Table1[[#This Row],[Category and Sub-Category]],FIND("/",Table1[[#This Row],[Category and Sub-Category]])-1)</f>
        <v>music</v>
      </c>
      <c r="V883" t="str">
        <f>RIGHT(Table1[[#This Row],[Category and Sub-Category]],LEN(Table1[[#This Row],[Category and Sub-Category]])-FIND("/",Table1[[#This Row],[Category and Sub-Category]]))</f>
        <v>indie rock</v>
      </c>
    </row>
    <row r="884" spans="1:22" ht="43.2" x14ac:dyDescent="0.3">
      <c r="A884">
        <v>882</v>
      </c>
      <c r="B884" s="3" t="s">
        <v>883</v>
      </c>
      <c r="C884" s="3" t="s">
        <v>4992</v>
      </c>
      <c r="D884" s="12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>((Table1[[#This Row],[deadline]]/60)/60/24)+DATE(1970,1,1)</f>
        <v>40792.860532407409</v>
      </c>
      <c r="K884">
        <v>1312490350</v>
      </c>
      <c r="L884" s="11">
        <f>((Table1[[#This Row],[launched_at]]/60)/60/24)+DATE(1970,1,1)</f>
        <v>40759.860532407409</v>
      </c>
      <c r="M884">
        <f>MONTH(Table1[[#This Row],[Date Created Conversion]])</f>
        <v>8</v>
      </c>
      <c r="N884">
        <f>YEAR(Table1[[#This Row],[Date Created Conversion]])</f>
        <v>2011</v>
      </c>
      <c r="O884" t="b">
        <v>0</v>
      </c>
      <c r="P884">
        <v>14</v>
      </c>
      <c r="Q884" t="b">
        <v>0</v>
      </c>
      <c r="R884" t="s">
        <v>8279</v>
      </c>
      <c r="S884" s="6">
        <f>Table1[[#This Row],[pledged]]/Table1[[#This Row],[goal]]</f>
        <v>0.20133333333333334</v>
      </c>
      <c r="T884" s="8">
        <f>IF(Table1[[#This Row],[pledged]]=0,"no backers",Table1[[#This Row],[pledged]]/Table1[[#This Row],[backers_count]])</f>
        <v>21.571428571428573</v>
      </c>
      <c r="U884" t="str">
        <f>LEFT(Table1[[#This Row],[Category and Sub-Category]],FIND("/",Table1[[#This Row],[Category and Sub-Category]])-1)</f>
        <v>music</v>
      </c>
      <c r="V884" t="str">
        <f>RIGHT(Table1[[#This Row],[Category and Sub-Category]],LEN(Table1[[#This Row],[Category and Sub-Category]])-FIND("/",Table1[[#This Row],[Category and Sub-Category]]))</f>
        <v>indie rock</v>
      </c>
    </row>
    <row r="885" spans="1:22" ht="57.6" x14ac:dyDescent="0.3">
      <c r="A885">
        <v>883</v>
      </c>
      <c r="B885" s="3" t="s">
        <v>884</v>
      </c>
      <c r="C885" s="3" t="s">
        <v>4993</v>
      </c>
      <c r="D885" s="12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>((Table1[[#This Row],[deadline]]/60)/60/24)+DATE(1970,1,1)</f>
        <v>42431.935590277775</v>
      </c>
      <c r="K885">
        <v>1451773635</v>
      </c>
      <c r="L885" s="11">
        <f>((Table1[[#This Row],[launched_at]]/60)/60/24)+DATE(1970,1,1)</f>
        <v>42371.935590277775</v>
      </c>
      <c r="M885">
        <f>MONTH(Table1[[#This Row],[Date Created Conversion]])</f>
        <v>1</v>
      </c>
      <c r="N885">
        <f>YEAR(Table1[[#This Row],[Date Created Conversion]])</f>
        <v>2016</v>
      </c>
      <c r="O885" t="b">
        <v>0</v>
      </c>
      <c r="P885">
        <v>24</v>
      </c>
      <c r="Q885" t="b">
        <v>0</v>
      </c>
      <c r="R885" t="s">
        <v>8279</v>
      </c>
      <c r="S885" s="6">
        <f>Table1[[#This Row],[pledged]]/Table1[[#This Row],[goal]]</f>
        <v>0.4002</v>
      </c>
      <c r="T885" s="8">
        <f>IF(Table1[[#This Row],[pledged]]=0,"no backers",Table1[[#This Row],[pledged]]/Table1[[#This Row],[backers_count]])</f>
        <v>83.375</v>
      </c>
      <c r="U885" t="str">
        <f>LEFT(Table1[[#This Row],[Category and Sub-Category]],FIND("/",Table1[[#This Row],[Category and Sub-Category]])-1)</f>
        <v>music</v>
      </c>
      <c r="V885" t="str">
        <f>RIGHT(Table1[[#This Row],[Category and Sub-Category]],LEN(Table1[[#This Row],[Category and Sub-Category]])-FIND("/",Table1[[#This Row],[Category and Sub-Category]]))</f>
        <v>indie rock</v>
      </c>
    </row>
    <row r="886" spans="1:22" ht="43.2" x14ac:dyDescent="0.3">
      <c r="A886">
        <v>884</v>
      </c>
      <c r="B886" s="3" t="s">
        <v>885</v>
      </c>
      <c r="C886" s="3" t="s">
        <v>4994</v>
      </c>
      <c r="D886" s="12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>((Table1[[#This Row],[deadline]]/60)/60/24)+DATE(1970,1,1)</f>
        <v>41041.104861111111</v>
      </c>
      <c r="K886">
        <v>1331666146</v>
      </c>
      <c r="L886" s="11">
        <f>((Table1[[#This Row],[launched_at]]/60)/60/24)+DATE(1970,1,1)</f>
        <v>40981.802615740737</v>
      </c>
      <c r="M886">
        <f>MONTH(Table1[[#This Row],[Date Created Conversion]])</f>
        <v>3</v>
      </c>
      <c r="N886">
        <f>YEAR(Table1[[#This Row],[Date Created Conversion]])</f>
        <v>2012</v>
      </c>
      <c r="O886" t="b">
        <v>0</v>
      </c>
      <c r="P886">
        <v>2</v>
      </c>
      <c r="Q886" t="b">
        <v>0</v>
      </c>
      <c r="R886" t="s">
        <v>8279</v>
      </c>
      <c r="S886" s="6">
        <f>Table1[[#This Row],[pledged]]/Table1[[#This Row],[goal]]</f>
        <v>0.01</v>
      </c>
      <c r="T886" s="8">
        <f>IF(Table1[[#This Row],[pledged]]=0,"no backers",Table1[[#This Row],[pledged]]/Table1[[#This Row],[backers_count]])</f>
        <v>10</v>
      </c>
      <c r="U886" t="str">
        <f>LEFT(Table1[[#This Row],[Category and Sub-Category]],FIND("/",Table1[[#This Row],[Category and Sub-Category]])-1)</f>
        <v>music</v>
      </c>
      <c r="V886" t="str">
        <f>RIGHT(Table1[[#This Row],[Category and Sub-Category]],LEN(Table1[[#This Row],[Category and Sub-Category]])-FIND("/",Table1[[#This Row],[Category and Sub-Category]]))</f>
        <v>indie rock</v>
      </c>
    </row>
    <row r="887" spans="1:22" ht="43.2" x14ac:dyDescent="0.3">
      <c r="A887">
        <v>885</v>
      </c>
      <c r="B887" s="3" t="s">
        <v>886</v>
      </c>
      <c r="C887" s="3" t="s">
        <v>4995</v>
      </c>
      <c r="D887" s="12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>((Table1[[#This Row],[deadline]]/60)/60/24)+DATE(1970,1,1)</f>
        <v>42734.941099537042</v>
      </c>
      <c r="K887">
        <v>1481322911</v>
      </c>
      <c r="L887" s="11">
        <f>((Table1[[#This Row],[launched_at]]/60)/60/24)+DATE(1970,1,1)</f>
        <v>42713.941099537042</v>
      </c>
      <c r="M887">
        <f>MONTH(Table1[[#This Row],[Date Created Conversion]])</f>
        <v>12</v>
      </c>
      <c r="N887">
        <f>YEAR(Table1[[#This Row],[Date Created Conversion]])</f>
        <v>2016</v>
      </c>
      <c r="O887" t="b">
        <v>0</v>
      </c>
      <c r="P887">
        <v>21</v>
      </c>
      <c r="Q887" t="b">
        <v>0</v>
      </c>
      <c r="R887" t="s">
        <v>8279</v>
      </c>
      <c r="S887" s="6">
        <f>Table1[[#This Row],[pledged]]/Table1[[#This Row],[goal]]</f>
        <v>0.75</v>
      </c>
      <c r="T887" s="8">
        <f>IF(Table1[[#This Row],[pledged]]=0,"no backers",Table1[[#This Row],[pledged]]/Table1[[#This Row],[backers_count]])</f>
        <v>35.714285714285715</v>
      </c>
      <c r="U887" t="str">
        <f>LEFT(Table1[[#This Row],[Category and Sub-Category]],FIND("/",Table1[[#This Row],[Category and Sub-Category]])-1)</f>
        <v>music</v>
      </c>
      <c r="V887" t="str">
        <f>RIGHT(Table1[[#This Row],[Category and Sub-Category]],LEN(Table1[[#This Row],[Category and Sub-Category]])-FIND("/",Table1[[#This Row],[Category and Sub-Category]]))</f>
        <v>indie rock</v>
      </c>
    </row>
    <row r="888" spans="1:22" ht="43.2" x14ac:dyDescent="0.3">
      <c r="A888">
        <v>886</v>
      </c>
      <c r="B888" s="3" t="s">
        <v>887</v>
      </c>
      <c r="C888" s="3" t="s">
        <v>4996</v>
      </c>
      <c r="D888" s="12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>((Table1[[#This Row],[deadline]]/60)/60/24)+DATE(1970,1,1)</f>
        <v>42628.870520833334</v>
      </c>
      <c r="K888">
        <v>1471812813</v>
      </c>
      <c r="L888" s="11">
        <f>((Table1[[#This Row],[launched_at]]/60)/60/24)+DATE(1970,1,1)</f>
        <v>42603.870520833334</v>
      </c>
      <c r="M888">
        <f>MONTH(Table1[[#This Row],[Date Created Conversion]])</f>
        <v>8</v>
      </c>
      <c r="N888">
        <f>YEAR(Table1[[#This Row],[Date Created Conversion]])</f>
        <v>2016</v>
      </c>
      <c r="O888" t="b">
        <v>0</v>
      </c>
      <c r="P888">
        <v>7</v>
      </c>
      <c r="Q888" t="b">
        <v>0</v>
      </c>
      <c r="R888" t="s">
        <v>8279</v>
      </c>
      <c r="S888" s="6">
        <f>Table1[[#This Row],[pledged]]/Table1[[#This Row],[goal]]</f>
        <v>0.41</v>
      </c>
      <c r="T888" s="8">
        <f>IF(Table1[[#This Row],[pledged]]=0,"no backers",Table1[[#This Row],[pledged]]/Table1[[#This Row],[backers_count]])</f>
        <v>29.285714285714285</v>
      </c>
      <c r="U888" t="str">
        <f>LEFT(Table1[[#This Row],[Category and Sub-Category]],FIND("/",Table1[[#This Row],[Category and Sub-Category]])-1)</f>
        <v>music</v>
      </c>
      <c r="V888" t="str">
        <f>RIGHT(Table1[[#This Row],[Category and Sub-Category]],LEN(Table1[[#This Row],[Category and Sub-Category]])-FIND("/",Table1[[#This Row],[Category and Sub-Category]]))</f>
        <v>indie rock</v>
      </c>
    </row>
    <row r="889" spans="1:22" ht="43.2" x14ac:dyDescent="0.3">
      <c r="A889">
        <v>887</v>
      </c>
      <c r="B889" s="3" t="s">
        <v>888</v>
      </c>
      <c r="C889" s="3" t="s">
        <v>4997</v>
      </c>
      <c r="D889" s="12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>((Table1[[#This Row],[deadline]]/60)/60/24)+DATE(1970,1,1)</f>
        <v>41056.958969907406</v>
      </c>
      <c r="K889">
        <v>1335567655</v>
      </c>
      <c r="L889" s="11">
        <f>((Table1[[#This Row],[launched_at]]/60)/60/24)+DATE(1970,1,1)</f>
        <v>41026.958969907406</v>
      </c>
      <c r="M889">
        <f>MONTH(Table1[[#This Row],[Date Created Conversion]])</f>
        <v>4</v>
      </c>
      <c r="N889">
        <f>YEAR(Table1[[#This Row],[Date Created Conversion]])</f>
        <v>2012</v>
      </c>
      <c r="O889" t="b">
        <v>0</v>
      </c>
      <c r="P889">
        <v>0</v>
      </c>
      <c r="Q889" t="b">
        <v>0</v>
      </c>
      <c r="R889" t="s">
        <v>8279</v>
      </c>
      <c r="S889" s="6">
        <f>Table1[[#This Row],[pledged]]/Table1[[#This Row],[goal]]</f>
        <v>0</v>
      </c>
      <c r="T889" s="8" t="str">
        <f>IF(Table1[[#This Row],[pledged]]=0,"no backers",Table1[[#This Row],[pledged]]/Table1[[#This Row],[backers_count]])</f>
        <v>no backers</v>
      </c>
      <c r="U889" t="str">
        <f>LEFT(Table1[[#This Row],[Category and Sub-Category]],FIND("/",Table1[[#This Row],[Category and Sub-Category]])-1)</f>
        <v>music</v>
      </c>
      <c r="V889" t="str">
        <f>RIGHT(Table1[[#This Row],[Category and Sub-Category]],LEN(Table1[[#This Row],[Category and Sub-Category]])-FIND("/",Table1[[#This Row],[Category and Sub-Category]]))</f>
        <v>indie rock</v>
      </c>
    </row>
    <row r="890" spans="1:22" ht="57.6" x14ac:dyDescent="0.3">
      <c r="A890">
        <v>888</v>
      </c>
      <c r="B890" s="3" t="s">
        <v>889</v>
      </c>
      <c r="C890" s="3" t="s">
        <v>4998</v>
      </c>
      <c r="D890" s="12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>((Table1[[#This Row],[deadline]]/60)/60/24)+DATE(1970,1,1)</f>
        <v>40787.25</v>
      </c>
      <c r="K890">
        <v>1311789885</v>
      </c>
      <c r="L890" s="11">
        <f>((Table1[[#This Row],[launched_at]]/60)/60/24)+DATE(1970,1,1)</f>
        <v>40751.753298611111</v>
      </c>
      <c r="M890">
        <f>MONTH(Table1[[#This Row],[Date Created Conversion]])</f>
        <v>7</v>
      </c>
      <c r="N890">
        <f>YEAR(Table1[[#This Row],[Date Created Conversion]])</f>
        <v>2011</v>
      </c>
      <c r="O890" t="b">
        <v>0</v>
      </c>
      <c r="P890">
        <v>4</v>
      </c>
      <c r="Q890" t="b">
        <v>0</v>
      </c>
      <c r="R890" t="s">
        <v>8279</v>
      </c>
      <c r="S890" s="6">
        <f>Table1[[#This Row],[pledged]]/Table1[[#This Row],[goal]]</f>
        <v>7.1999999999999995E-2</v>
      </c>
      <c r="T890" s="8">
        <f>IF(Table1[[#This Row],[pledged]]=0,"no backers",Table1[[#This Row],[pledged]]/Table1[[#This Row],[backers_count]])</f>
        <v>18</v>
      </c>
      <c r="U890" t="str">
        <f>LEFT(Table1[[#This Row],[Category and Sub-Category]],FIND("/",Table1[[#This Row],[Category and Sub-Category]])-1)</f>
        <v>music</v>
      </c>
      <c r="V890" t="str">
        <f>RIGHT(Table1[[#This Row],[Category and Sub-Category]],LEN(Table1[[#This Row],[Category and Sub-Category]])-FIND("/",Table1[[#This Row],[Category and Sub-Category]]))</f>
        <v>indie rock</v>
      </c>
    </row>
    <row r="891" spans="1:22" ht="43.2" x14ac:dyDescent="0.3">
      <c r="A891">
        <v>889</v>
      </c>
      <c r="B891" s="3" t="s">
        <v>890</v>
      </c>
      <c r="C891" s="3" t="s">
        <v>4999</v>
      </c>
      <c r="D891" s="12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>((Table1[[#This Row],[deadline]]/60)/60/24)+DATE(1970,1,1)</f>
        <v>41917.784062500003</v>
      </c>
      <c r="K891">
        <v>1409942943</v>
      </c>
      <c r="L891" s="11">
        <f>((Table1[[#This Row],[launched_at]]/60)/60/24)+DATE(1970,1,1)</f>
        <v>41887.784062500003</v>
      </c>
      <c r="M891">
        <f>MONTH(Table1[[#This Row],[Date Created Conversion]])</f>
        <v>9</v>
      </c>
      <c r="N891">
        <f>YEAR(Table1[[#This Row],[Date Created Conversion]])</f>
        <v>2014</v>
      </c>
      <c r="O891" t="b">
        <v>0</v>
      </c>
      <c r="P891">
        <v>32</v>
      </c>
      <c r="Q891" t="b">
        <v>0</v>
      </c>
      <c r="R891" t="s">
        <v>8279</v>
      </c>
      <c r="S891" s="6">
        <f>Table1[[#This Row],[pledged]]/Table1[[#This Row],[goal]]</f>
        <v>9.4412800000000005E-2</v>
      </c>
      <c r="T891" s="8">
        <f>IF(Table1[[#This Row],[pledged]]=0,"no backers",Table1[[#This Row],[pledged]]/Table1[[#This Row],[backers_count]])</f>
        <v>73.760000000000005</v>
      </c>
      <c r="U891" t="str">
        <f>LEFT(Table1[[#This Row],[Category and Sub-Category]],FIND("/",Table1[[#This Row],[Category and Sub-Category]])-1)</f>
        <v>music</v>
      </c>
      <c r="V891" t="str">
        <f>RIGHT(Table1[[#This Row],[Category and Sub-Category]],LEN(Table1[[#This Row],[Category and Sub-Category]])-FIND("/",Table1[[#This Row],[Category and Sub-Category]]))</f>
        <v>indie rock</v>
      </c>
    </row>
    <row r="892" spans="1:22" ht="57.6" x14ac:dyDescent="0.3">
      <c r="A892">
        <v>890</v>
      </c>
      <c r="B892" s="3" t="s">
        <v>891</v>
      </c>
      <c r="C892" s="3" t="s">
        <v>5000</v>
      </c>
      <c r="D892" s="1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>((Table1[[#This Row],[deadline]]/60)/60/24)+DATE(1970,1,1)</f>
        <v>41599.740497685183</v>
      </c>
      <c r="K892">
        <v>1382460379</v>
      </c>
      <c r="L892" s="11">
        <f>((Table1[[#This Row],[launched_at]]/60)/60/24)+DATE(1970,1,1)</f>
        <v>41569.698831018519</v>
      </c>
      <c r="M892">
        <f>MONTH(Table1[[#This Row],[Date Created Conversion]])</f>
        <v>10</v>
      </c>
      <c r="N892">
        <f>YEAR(Table1[[#This Row],[Date Created Conversion]])</f>
        <v>2013</v>
      </c>
      <c r="O892" t="b">
        <v>0</v>
      </c>
      <c r="P892">
        <v>4</v>
      </c>
      <c r="Q892" t="b">
        <v>0</v>
      </c>
      <c r="R892" t="s">
        <v>8279</v>
      </c>
      <c r="S892" s="6">
        <f>Table1[[#This Row],[pledged]]/Table1[[#This Row],[goal]]</f>
        <v>4.1666666666666664E-2</v>
      </c>
      <c r="T892" s="8">
        <f>IF(Table1[[#This Row],[pledged]]=0,"no backers",Table1[[#This Row],[pledged]]/Table1[[#This Row],[backers_count]])</f>
        <v>31.25</v>
      </c>
      <c r="U892" t="str">
        <f>LEFT(Table1[[#This Row],[Category and Sub-Category]],FIND("/",Table1[[#This Row],[Category and Sub-Category]])-1)</f>
        <v>music</v>
      </c>
      <c r="V892" t="str">
        <f>RIGHT(Table1[[#This Row],[Category and Sub-Category]],LEN(Table1[[#This Row],[Category and Sub-Category]])-FIND("/",Table1[[#This Row],[Category and Sub-Category]]))</f>
        <v>indie rock</v>
      </c>
    </row>
    <row r="893" spans="1:22" ht="43.2" x14ac:dyDescent="0.3">
      <c r="A893">
        <v>891</v>
      </c>
      <c r="B893" s="3" t="s">
        <v>892</v>
      </c>
      <c r="C893" s="3" t="s">
        <v>5001</v>
      </c>
      <c r="D893" s="12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>((Table1[[#This Row],[deadline]]/60)/60/24)+DATE(1970,1,1)</f>
        <v>41872.031597222223</v>
      </c>
      <c r="K893">
        <v>1405989930</v>
      </c>
      <c r="L893" s="11">
        <f>((Table1[[#This Row],[launched_at]]/60)/60/24)+DATE(1970,1,1)</f>
        <v>41842.031597222223</v>
      </c>
      <c r="M893">
        <f>MONTH(Table1[[#This Row],[Date Created Conversion]])</f>
        <v>7</v>
      </c>
      <c r="N893">
        <f>YEAR(Table1[[#This Row],[Date Created Conversion]])</f>
        <v>2014</v>
      </c>
      <c r="O893" t="b">
        <v>0</v>
      </c>
      <c r="P893">
        <v>9</v>
      </c>
      <c r="Q893" t="b">
        <v>0</v>
      </c>
      <c r="R893" t="s">
        <v>8279</v>
      </c>
      <c r="S893" s="6">
        <f>Table1[[#This Row],[pledged]]/Table1[[#This Row],[goal]]</f>
        <v>3.2500000000000001E-2</v>
      </c>
      <c r="T893" s="8">
        <f>IF(Table1[[#This Row],[pledged]]=0,"no backers",Table1[[#This Row],[pledged]]/Table1[[#This Row],[backers_count]])</f>
        <v>28.888888888888889</v>
      </c>
      <c r="U893" t="str">
        <f>LEFT(Table1[[#This Row],[Category and Sub-Category]],FIND("/",Table1[[#This Row],[Category and Sub-Category]])-1)</f>
        <v>music</v>
      </c>
      <c r="V893" t="str">
        <f>RIGHT(Table1[[#This Row],[Category and Sub-Category]],LEN(Table1[[#This Row],[Category and Sub-Category]])-FIND("/",Table1[[#This Row],[Category and Sub-Category]]))</f>
        <v>indie rock</v>
      </c>
    </row>
    <row r="894" spans="1:22" ht="43.2" x14ac:dyDescent="0.3">
      <c r="A894">
        <v>892</v>
      </c>
      <c r="B894" s="3" t="s">
        <v>893</v>
      </c>
      <c r="C894" s="3" t="s">
        <v>5002</v>
      </c>
      <c r="D894" s="12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>((Table1[[#This Row],[deadline]]/60)/60/24)+DATE(1970,1,1)</f>
        <v>40391.166666666664</v>
      </c>
      <c r="K894">
        <v>1273121283</v>
      </c>
      <c r="L894" s="11">
        <f>((Table1[[#This Row],[launched_at]]/60)/60/24)+DATE(1970,1,1)</f>
        <v>40304.20003472222</v>
      </c>
      <c r="M894">
        <f>MONTH(Table1[[#This Row],[Date Created Conversion]])</f>
        <v>5</v>
      </c>
      <c r="N894">
        <f>YEAR(Table1[[#This Row],[Date Created Conversion]])</f>
        <v>2010</v>
      </c>
      <c r="O894" t="b">
        <v>0</v>
      </c>
      <c r="P894">
        <v>17</v>
      </c>
      <c r="Q894" t="b">
        <v>0</v>
      </c>
      <c r="R894" t="s">
        <v>8279</v>
      </c>
      <c r="S894" s="6">
        <f>Table1[[#This Row],[pledged]]/Table1[[#This Row],[goal]]</f>
        <v>0.40749999999999997</v>
      </c>
      <c r="T894" s="8">
        <f>IF(Table1[[#This Row],[pledged]]=0,"no backers",Table1[[#This Row],[pledged]]/Table1[[#This Row],[backers_count]])</f>
        <v>143.8235294117647</v>
      </c>
      <c r="U894" t="str">
        <f>LEFT(Table1[[#This Row],[Category and Sub-Category]],FIND("/",Table1[[#This Row],[Category and Sub-Category]])-1)</f>
        <v>music</v>
      </c>
      <c r="V894" t="str">
        <f>RIGHT(Table1[[#This Row],[Category and Sub-Category]],LEN(Table1[[#This Row],[Category and Sub-Category]])-FIND("/",Table1[[#This Row],[Category and Sub-Category]]))</f>
        <v>indie rock</v>
      </c>
    </row>
    <row r="895" spans="1:22" ht="43.2" x14ac:dyDescent="0.3">
      <c r="A895">
        <v>893</v>
      </c>
      <c r="B895" s="3" t="s">
        <v>894</v>
      </c>
      <c r="C895" s="3" t="s">
        <v>5003</v>
      </c>
      <c r="D895" s="12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>((Table1[[#This Row],[deadline]]/60)/60/24)+DATE(1970,1,1)</f>
        <v>42095.856053240743</v>
      </c>
      <c r="K895">
        <v>1425331963</v>
      </c>
      <c r="L895" s="11">
        <f>((Table1[[#This Row],[launched_at]]/60)/60/24)+DATE(1970,1,1)</f>
        <v>42065.897719907407</v>
      </c>
      <c r="M895">
        <f>MONTH(Table1[[#This Row],[Date Created Conversion]])</f>
        <v>3</v>
      </c>
      <c r="N895">
        <f>YEAR(Table1[[#This Row],[Date Created Conversion]])</f>
        <v>2015</v>
      </c>
      <c r="O895" t="b">
        <v>0</v>
      </c>
      <c r="P895">
        <v>5</v>
      </c>
      <c r="Q895" t="b">
        <v>0</v>
      </c>
      <c r="R895" t="s">
        <v>8279</v>
      </c>
      <c r="S895" s="6">
        <f>Table1[[#This Row],[pledged]]/Table1[[#This Row],[goal]]</f>
        <v>0.1</v>
      </c>
      <c r="T895" s="8">
        <f>IF(Table1[[#This Row],[pledged]]=0,"no backers",Table1[[#This Row],[pledged]]/Table1[[#This Row],[backers_count]])</f>
        <v>40</v>
      </c>
      <c r="U895" t="str">
        <f>LEFT(Table1[[#This Row],[Category and Sub-Category]],FIND("/",Table1[[#This Row],[Category and Sub-Category]])-1)</f>
        <v>music</v>
      </c>
      <c r="V895" t="str">
        <f>RIGHT(Table1[[#This Row],[Category and Sub-Category]],LEN(Table1[[#This Row],[Category and Sub-Category]])-FIND("/",Table1[[#This Row],[Category and Sub-Category]]))</f>
        <v>indie rock</v>
      </c>
    </row>
    <row r="896" spans="1:22" ht="43.2" x14ac:dyDescent="0.3">
      <c r="A896">
        <v>894</v>
      </c>
      <c r="B896" s="3" t="s">
        <v>895</v>
      </c>
      <c r="C896" s="3" t="s">
        <v>5004</v>
      </c>
      <c r="D896" s="12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>((Table1[[#This Row],[deadline]]/60)/60/24)+DATE(1970,1,1)</f>
        <v>42526.981597222228</v>
      </c>
      <c r="K896">
        <v>1462577610</v>
      </c>
      <c r="L896" s="11">
        <f>((Table1[[#This Row],[launched_at]]/60)/60/24)+DATE(1970,1,1)</f>
        <v>42496.981597222228</v>
      </c>
      <c r="M896">
        <f>MONTH(Table1[[#This Row],[Date Created Conversion]])</f>
        <v>5</v>
      </c>
      <c r="N896">
        <f>YEAR(Table1[[#This Row],[Date Created Conversion]])</f>
        <v>2016</v>
      </c>
      <c r="O896" t="b">
        <v>0</v>
      </c>
      <c r="P896">
        <v>53</v>
      </c>
      <c r="Q896" t="b">
        <v>0</v>
      </c>
      <c r="R896" t="s">
        <v>8279</v>
      </c>
      <c r="S896" s="6">
        <f>Table1[[#This Row],[pledged]]/Table1[[#This Row],[goal]]</f>
        <v>0.39169999999999999</v>
      </c>
      <c r="T896" s="8">
        <f>IF(Table1[[#This Row],[pledged]]=0,"no backers",Table1[[#This Row],[pledged]]/Table1[[#This Row],[backers_count]])</f>
        <v>147.81132075471697</v>
      </c>
      <c r="U896" t="str">
        <f>LEFT(Table1[[#This Row],[Category and Sub-Category]],FIND("/",Table1[[#This Row],[Category and Sub-Category]])-1)</f>
        <v>music</v>
      </c>
      <c r="V896" t="str">
        <f>RIGHT(Table1[[#This Row],[Category and Sub-Category]],LEN(Table1[[#This Row],[Category and Sub-Category]])-FIND("/",Table1[[#This Row],[Category and Sub-Category]]))</f>
        <v>indie rock</v>
      </c>
    </row>
    <row r="897" spans="1:22" ht="43.2" x14ac:dyDescent="0.3">
      <c r="A897">
        <v>895</v>
      </c>
      <c r="B897" s="3" t="s">
        <v>896</v>
      </c>
      <c r="C897" s="3" t="s">
        <v>5005</v>
      </c>
      <c r="D897" s="12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>((Table1[[#This Row],[deadline]]/60)/60/24)+DATE(1970,1,1)</f>
        <v>40476.127650462964</v>
      </c>
      <c r="K897">
        <v>1284087829</v>
      </c>
      <c r="L897" s="11">
        <f>((Table1[[#This Row],[launched_at]]/60)/60/24)+DATE(1970,1,1)</f>
        <v>40431.127650462964</v>
      </c>
      <c r="M897">
        <f>MONTH(Table1[[#This Row],[Date Created Conversion]])</f>
        <v>9</v>
      </c>
      <c r="N897">
        <f>YEAR(Table1[[#This Row],[Date Created Conversion]])</f>
        <v>2010</v>
      </c>
      <c r="O897" t="b">
        <v>0</v>
      </c>
      <c r="P897">
        <v>7</v>
      </c>
      <c r="Q897" t="b">
        <v>0</v>
      </c>
      <c r="R897" t="s">
        <v>8279</v>
      </c>
      <c r="S897" s="6">
        <f>Table1[[#This Row],[pledged]]/Table1[[#This Row],[goal]]</f>
        <v>2.4375000000000001E-2</v>
      </c>
      <c r="T897" s="8">
        <f>IF(Table1[[#This Row],[pledged]]=0,"no backers",Table1[[#This Row],[pledged]]/Table1[[#This Row],[backers_count]])</f>
        <v>27.857142857142858</v>
      </c>
      <c r="U897" t="str">
        <f>LEFT(Table1[[#This Row],[Category and Sub-Category]],FIND("/",Table1[[#This Row],[Category and Sub-Category]])-1)</f>
        <v>music</v>
      </c>
      <c r="V897" t="str">
        <f>RIGHT(Table1[[#This Row],[Category and Sub-Category]],LEN(Table1[[#This Row],[Category and Sub-Category]])-FIND("/",Table1[[#This Row],[Category and Sub-Category]]))</f>
        <v>indie rock</v>
      </c>
    </row>
    <row r="898" spans="1:22" ht="43.2" x14ac:dyDescent="0.3">
      <c r="A898">
        <v>896</v>
      </c>
      <c r="B898" s="3" t="s">
        <v>897</v>
      </c>
      <c r="C898" s="3" t="s">
        <v>5006</v>
      </c>
      <c r="D898" s="12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>((Table1[[#This Row],[deadline]]/60)/60/24)+DATE(1970,1,1)</f>
        <v>42244.166666666672</v>
      </c>
      <c r="K898">
        <v>1438549026</v>
      </c>
      <c r="L898" s="11">
        <f>((Table1[[#This Row],[launched_at]]/60)/60/24)+DATE(1970,1,1)</f>
        <v>42218.872986111113</v>
      </c>
      <c r="M898">
        <f>MONTH(Table1[[#This Row],[Date Created Conversion]])</f>
        <v>8</v>
      </c>
      <c r="N898">
        <f>YEAR(Table1[[#This Row],[Date Created Conversion]])</f>
        <v>2015</v>
      </c>
      <c r="O898" t="b">
        <v>0</v>
      </c>
      <c r="P898">
        <v>72</v>
      </c>
      <c r="Q898" t="b">
        <v>0</v>
      </c>
      <c r="R898" t="s">
        <v>8279</v>
      </c>
      <c r="S898" s="6">
        <f>Table1[[#This Row],[pledged]]/Table1[[#This Row],[goal]]</f>
        <v>0.4</v>
      </c>
      <c r="T898" s="8">
        <f>IF(Table1[[#This Row],[pledged]]=0,"no backers",Table1[[#This Row],[pledged]]/Table1[[#This Row],[backers_count]])</f>
        <v>44.444444444444443</v>
      </c>
      <c r="U898" t="str">
        <f>LEFT(Table1[[#This Row],[Category and Sub-Category]],FIND("/",Table1[[#This Row],[Category and Sub-Category]])-1)</f>
        <v>music</v>
      </c>
      <c r="V898" t="str">
        <f>RIGHT(Table1[[#This Row],[Category and Sub-Category]],LEN(Table1[[#This Row],[Category and Sub-Category]])-FIND("/",Table1[[#This Row],[Category and Sub-Category]]))</f>
        <v>indie rock</v>
      </c>
    </row>
    <row r="899" spans="1:22" ht="43.2" x14ac:dyDescent="0.3">
      <c r="A899">
        <v>897</v>
      </c>
      <c r="B899" s="3" t="s">
        <v>898</v>
      </c>
      <c r="C899" s="3" t="s">
        <v>5007</v>
      </c>
      <c r="D899" s="12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>((Table1[[#This Row],[deadline]]/60)/60/24)+DATE(1970,1,1)</f>
        <v>41241.730416666665</v>
      </c>
      <c r="K899">
        <v>1351528308</v>
      </c>
      <c r="L899" s="11">
        <f>((Table1[[#This Row],[launched_at]]/60)/60/24)+DATE(1970,1,1)</f>
        <v>41211.688750000001</v>
      </c>
      <c r="M899">
        <f>MONTH(Table1[[#This Row],[Date Created Conversion]])</f>
        <v>10</v>
      </c>
      <c r="N899">
        <f>YEAR(Table1[[#This Row],[Date Created Conversion]])</f>
        <v>2012</v>
      </c>
      <c r="O899" t="b">
        <v>0</v>
      </c>
      <c r="P899">
        <v>0</v>
      </c>
      <c r="Q899" t="b">
        <v>0</v>
      </c>
      <c r="R899" t="s">
        <v>8279</v>
      </c>
      <c r="S899" s="6">
        <f>Table1[[#This Row],[pledged]]/Table1[[#This Row],[goal]]</f>
        <v>0</v>
      </c>
      <c r="T899" s="8" t="str">
        <f>IF(Table1[[#This Row],[pledged]]=0,"no backers",Table1[[#This Row],[pledged]]/Table1[[#This Row],[backers_count]])</f>
        <v>no backers</v>
      </c>
      <c r="U899" t="str">
        <f>LEFT(Table1[[#This Row],[Category and Sub-Category]],FIND("/",Table1[[#This Row],[Category and Sub-Category]])-1)</f>
        <v>music</v>
      </c>
      <c r="V899" t="str">
        <f>RIGHT(Table1[[#This Row],[Category and Sub-Category]],LEN(Table1[[#This Row],[Category and Sub-Category]])-FIND("/",Table1[[#This Row],[Category and Sub-Category]]))</f>
        <v>indie rock</v>
      </c>
    </row>
    <row r="900" spans="1:22" ht="43.2" x14ac:dyDescent="0.3">
      <c r="A900">
        <v>898</v>
      </c>
      <c r="B900" s="3" t="s">
        <v>899</v>
      </c>
      <c r="C900" s="3" t="s">
        <v>5008</v>
      </c>
      <c r="D900" s="12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>((Table1[[#This Row],[deadline]]/60)/60/24)+DATE(1970,1,1)</f>
        <v>40923.758217592593</v>
      </c>
      <c r="K900">
        <v>1322763110</v>
      </c>
      <c r="L900" s="11">
        <f>((Table1[[#This Row],[launched_at]]/60)/60/24)+DATE(1970,1,1)</f>
        <v>40878.758217592593</v>
      </c>
      <c r="M900">
        <f>MONTH(Table1[[#This Row],[Date Created Conversion]])</f>
        <v>12</v>
      </c>
      <c r="N900">
        <f>YEAR(Table1[[#This Row],[Date Created Conversion]])</f>
        <v>2011</v>
      </c>
      <c r="O900" t="b">
        <v>0</v>
      </c>
      <c r="P900">
        <v>2</v>
      </c>
      <c r="Q900" t="b">
        <v>0</v>
      </c>
      <c r="R900" t="s">
        <v>8279</v>
      </c>
      <c r="S900" s="6">
        <f>Table1[[#This Row],[pledged]]/Table1[[#This Row],[goal]]</f>
        <v>2.8000000000000001E-2</v>
      </c>
      <c r="T900" s="8">
        <f>IF(Table1[[#This Row],[pledged]]=0,"no backers",Table1[[#This Row],[pledged]]/Table1[[#This Row],[backers_count]])</f>
        <v>35</v>
      </c>
      <c r="U900" t="str">
        <f>LEFT(Table1[[#This Row],[Category and Sub-Category]],FIND("/",Table1[[#This Row],[Category and Sub-Category]])-1)</f>
        <v>music</v>
      </c>
      <c r="V900" t="str">
        <f>RIGHT(Table1[[#This Row],[Category and Sub-Category]],LEN(Table1[[#This Row],[Category and Sub-Category]])-FIND("/",Table1[[#This Row],[Category and Sub-Category]]))</f>
        <v>indie rock</v>
      </c>
    </row>
    <row r="901" spans="1:22" ht="43.2" x14ac:dyDescent="0.3">
      <c r="A901">
        <v>899</v>
      </c>
      <c r="B901" s="3" t="s">
        <v>900</v>
      </c>
      <c r="C901" s="3" t="s">
        <v>5009</v>
      </c>
      <c r="D901" s="12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>((Table1[[#This Row],[deadline]]/60)/60/24)+DATE(1970,1,1)</f>
        <v>40691.099097222221</v>
      </c>
      <c r="K901">
        <v>1302661362</v>
      </c>
      <c r="L901" s="11">
        <f>((Table1[[#This Row],[launched_at]]/60)/60/24)+DATE(1970,1,1)</f>
        <v>40646.099097222221</v>
      </c>
      <c r="M901">
        <f>MONTH(Table1[[#This Row],[Date Created Conversion]])</f>
        <v>4</v>
      </c>
      <c r="N901">
        <f>YEAR(Table1[[#This Row],[Date Created Conversion]])</f>
        <v>2011</v>
      </c>
      <c r="O901" t="b">
        <v>0</v>
      </c>
      <c r="P901">
        <v>8</v>
      </c>
      <c r="Q901" t="b">
        <v>0</v>
      </c>
      <c r="R901" t="s">
        <v>8279</v>
      </c>
      <c r="S901" s="6">
        <f>Table1[[#This Row],[pledged]]/Table1[[#This Row],[goal]]</f>
        <v>0.37333333333333335</v>
      </c>
      <c r="T901" s="8">
        <f>IF(Table1[[#This Row],[pledged]]=0,"no backers",Table1[[#This Row],[pledged]]/Table1[[#This Row],[backers_count]])</f>
        <v>35</v>
      </c>
      <c r="U901" t="str">
        <f>LEFT(Table1[[#This Row],[Category and Sub-Category]],FIND("/",Table1[[#This Row],[Category and Sub-Category]])-1)</f>
        <v>music</v>
      </c>
      <c r="V901" t="str">
        <f>RIGHT(Table1[[#This Row],[Category and Sub-Category]],LEN(Table1[[#This Row],[Category and Sub-Category]])-FIND("/",Table1[[#This Row],[Category and Sub-Category]]))</f>
        <v>indie rock</v>
      </c>
    </row>
    <row r="902" spans="1:22" ht="28.8" x14ac:dyDescent="0.3">
      <c r="A902">
        <v>900</v>
      </c>
      <c r="B902" s="3" t="s">
        <v>901</v>
      </c>
      <c r="C902" s="3" t="s">
        <v>5010</v>
      </c>
      <c r="D902" s="1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>((Table1[[#This Row],[deadline]]/60)/60/24)+DATE(1970,1,1)</f>
        <v>42459.807893518519</v>
      </c>
      <c r="K902">
        <v>1456777402</v>
      </c>
      <c r="L902" s="11">
        <f>((Table1[[#This Row],[launched_at]]/60)/60/24)+DATE(1970,1,1)</f>
        <v>42429.84956018519</v>
      </c>
      <c r="M902">
        <f>MONTH(Table1[[#This Row],[Date Created Conversion]])</f>
        <v>2</v>
      </c>
      <c r="N902">
        <f>YEAR(Table1[[#This Row],[Date Created Conversion]])</f>
        <v>2016</v>
      </c>
      <c r="O902" t="b">
        <v>0</v>
      </c>
      <c r="P902">
        <v>2</v>
      </c>
      <c r="Q902" t="b">
        <v>0</v>
      </c>
      <c r="R902" t="s">
        <v>8278</v>
      </c>
      <c r="S902" s="6">
        <f>Table1[[#This Row],[pledged]]/Table1[[#This Row],[goal]]</f>
        <v>4.1999999999999997E-3</v>
      </c>
      <c r="T902" s="8">
        <f>IF(Table1[[#This Row],[pledged]]=0,"no backers",Table1[[#This Row],[pledged]]/Table1[[#This Row],[backers_count]])</f>
        <v>10.5</v>
      </c>
      <c r="U902" t="str">
        <f>LEFT(Table1[[#This Row],[Category and Sub-Category]],FIND("/",Table1[[#This Row],[Category and Sub-Category]])-1)</f>
        <v>music</v>
      </c>
      <c r="V902" t="str">
        <f>RIGHT(Table1[[#This Row],[Category and Sub-Category]],LEN(Table1[[#This Row],[Category and Sub-Category]])-FIND("/",Table1[[#This Row],[Category and Sub-Category]]))</f>
        <v>jazz</v>
      </c>
    </row>
    <row r="903" spans="1:22" ht="57.6" x14ac:dyDescent="0.3">
      <c r="A903">
        <v>901</v>
      </c>
      <c r="B903" s="3" t="s">
        <v>902</v>
      </c>
      <c r="C903" s="3" t="s">
        <v>5011</v>
      </c>
      <c r="D903" s="12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>((Table1[[#This Row],[deadline]]/60)/60/24)+DATE(1970,1,1)</f>
        <v>40337.799305555556</v>
      </c>
      <c r="K903">
        <v>1272050914</v>
      </c>
      <c r="L903" s="11">
        <f>((Table1[[#This Row],[launched_at]]/60)/60/24)+DATE(1970,1,1)</f>
        <v>40291.81150462963</v>
      </c>
      <c r="M903">
        <f>MONTH(Table1[[#This Row],[Date Created Conversion]])</f>
        <v>4</v>
      </c>
      <c r="N903">
        <f>YEAR(Table1[[#This Row],[Date Created Conversion]])</f>
        <v>2010</v>
      </c>
      <c r="O903" t="b">
        <v>0</v>
      </c>
      <c r="P903">
        <v>0</v>
      </c>
      <c r="Q903" t="b">
        <v>0</v>
      </c>
      <c r="R903" t="s">
        <v>8278</v>
      </c>
      <c r="S903" s="6">
        <f>Table1[[#This Row],[pledged]]/Table1[[#This Row],[goal]]</f>
        <v>0</v>
      </c>
      <c r="T903" s="8" t="str">
        <f>IF(Table1[[#This Row],[pledged]]=0,"no backers",Table1[[#This Row],[pledged]]/Table1[[#This Row],[backers_count]])</f>
        <v>no backers</v>
      </c>
      <c r="U903" t="str">
        <f>LEFT(Table1[[#This Row],[Category and Sub-Category]],FIND("/",Table1[[#This Row],[Category and Sub-Category]])-1)</f>
        <v>music</v>
      </c>
      <c r="V903" t="str">
        <f>RIGHT(Table1[[#This Row],[Category and Sub-Category]],LEN(Table1[[#This Row],[Category and Sub-Category]])-FIND("/",Table1[[#This Row],[Category and Sub-Category]]))</f>
        <v>jazz</v>
      </c>
    </row>
    <row r="904" spans="1:22" ht="57.6" x14ac:dyDescent="0.3">
      <c r="A904">
        <v>902</v>
      </c>
      <c r="B904" s="3" t="s">
        <v>903</v>
      </c>
      <c r="C904" s="3" t="s">
        <v>5012</v>
      </c>
      <c r="D904" s="12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>((Table1[[#This Row],[deadline]]/60)/60/24)+DATE(1970,1,1)</f>
        <v>41881.645833333336</v>
      </c>
      <c r="K904">
        <v>1404947422</v>
      </c>
      <c r="L904" s="11">
        <f>((Table1[[#This Row],[launched_at]]/60)/60/24)+DATE(1970,1,1)</f>
        <v>41829.965532407405</v>
      </c>
      <c r="M904">
        <f>MONTH(Table1[[#This Row],[Date Created Conversion]])</f>
        <v>7</v>
      </c>
      <c r="N904">
        <f>YEAR(Table1[[#This Row],[Date Created Conversion]])</f>
        <v>2014</v>
      </c>
      <c r="O904" t="b">
        <v>0</v>
      </c>
      <c r="P904">
        <v>3</v>
      </c>
      <c r="Q904" t="b">
        <v>0</v>
      </c>
      <c r="R904" t="s">
        <v>8278</v>
      </c>
      <c r="S904" s="6">
        <f>Table1[[#This Row],[pledged]]/Table1[[#This Row],[goal]]</f>
        <v>3.0000000000000001E-3</v>
      </c>
      <c r="T904" s="8">
        <f>IF(Table1[[#This Row],[pledged]]=0,"no backers",Table1[[#This Row],[pledged]]/Table1[[#This Row],[backers_count]])</f>
        <v>30</v>
      </c>
      <c r="U904" t="str">
        <f>LEFT(Table1[[#This Row],[Category and Sub-Category]],FIND("/",Table1[[#This Row],[Category and Sub-Category]])-1)</f>
        <v>music</v>
      </c>
      <c r="V904" t="str">
        <f>RIGHT(Table1[[#This Row],[Category and Sub-Category]],LEN(Table1[[#This Row],[Category and Sub-Category]])-FIND("/",Table1[[#This Row],[Category and Sub-Category]]))</f>
        <v>jazz</v>
      </c>
    </row>
    <row r="905" spans="1:22" ht="43.2" x14ac:dyDescent="0.3">
      <c r="A905">
        <v>903</v>
      </c>
      <c r="B905" s="3" t="s">
        <v>904</v>
      </c>
      <c r="C905" s="3" t="s">
        <v>5013</v>
      </c>
      <c r="D905" s="12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>((Table1[[#This Row],[deadline]]/60)/60/24)+DATE(1970,1,1)</f>
        <v>41175.100694444445</v>
      </c>
      <c r="K905">
        <v>1346180780</v>
      </c>
      <c r="L905" s="11">
        <f>((Table1[[#This Row],[launched_at]]/60)/60/24)+DATE(1970,1,1)</f>
        <v>41149.796064814815</v>
      </c>
      <c r="M905">
        <f>MONTH(Table1[[#This Row],[Date Created Conversion]])</f>
        <v>8</v>
      </c>
      <c r="N905">
        <f>YEAR(Table1[[#This Row],[Date Created Conversion]])</f>
        <v>2012</v>
      </c>
      <c r="O905" t="b">
        <v>0</v>
      </c>
      <c r="P905">
        <v>4</v>
      </c>
      <c r="Q905" t="b">
        <v>0</v>
      </c>
      <c r="R905" t="s">
        <v>8278</v>
      </c>
      <c r="S905" s="6">
        <f>Table1[[#This Row],[pledged]]/Table1[[#This Row],[goal]]</f>
        <v>3.2000000000000001E-2</v>
      </c>
      <c r="T905" s="8">
        <f>IF(Table1[[#This Row],[pledged]]=0,"no backers",Table1[[#This Row],[pledged]]/Table1[[#This Row],[backers_count]])</f>
        <v>40</v>
      </c>
      <c r="U905" t="str">
        <f>LEFT(Table1[[#This Row],[Category and Sub-Category]],FIND("/",Table1[[#This Row],[Category and Sub-Category]])-1)</f>
        <v>music</v>
      </c>
      <c r="V905" t="str">
        <f>RIGHT(Table1[[#This Row],[Category and Sub-Category]],LEN(Table1[[#This Row],[Category and Sub-Category]])-FIND("/",Table1[[#This Row],[Category and Sub-Category]]))</f>
        <v>jazz</v>
      </c>
    </row>
    <row r="906" spans="1:22" ht="43.2" x14ac:dyDescent="0.3">
      <c r="A906">
        <v>904</v>
      </c>
      <c r="B906" s="3" t="s">
        <v>905</v>
      </c>
      <c r="C906" s="3" t="s">
        <v>5014</v>
      </c>
      <c r="D906" s="12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>((Table1[[#This Row],[deadline]]/60)/60/24)+DATE(1970,1,1)</f>
        <v>42372.080289351856</v>
      </c>
      <c r="K906">
        <v>1449194137</v>
      </c>
      <c r="L906" s="11">
        <f>((Table1[[#This Row],[launched_at]]/60)/60/24)+DATE(1970,1,1)</f>
        <v>42342.080289351856</v>
      </c>
      <c r="M906">
        <f>MONTH(Table1[[#This Row],[Date Created Conversion]])</f>
        <v>12</v>
      </c>
      <c r="N906">
        <f>YEAR(Table1[[#This Row],[Date Created Conversion]])</f>
        <v>2015</v>
      </c>
      <c r="O906" t="b">
        <v>0</v>
      </c>
      <c r="P906">
        <v>3</v>
      </c>
      <c r="Q906" t="b">
        <v>0</v>
      </c>
      <c r="R906" t="s">
        <v>8278</v>
      </c>
      <c r="S906" s="6">
        <f>Table1[[#This Row],[pledged]]/Table1[[#This Row],[goal]]</f>
        <v>3.0200000000000001E-3</v>
      </c>
      <c r="T906" s="8">
        <f>IF(Table1[[#This Row],[pledged]]=0,"no backers",Table1[[#This Row],[pledged]]/Table1[[#This Row],[backers_count]])</f>
        <v>50.333333333333336</v>
      </c>
      <c r="U906" t="str">
        <f>LEFT(Table1[[#This Row],[Category and Sub-Category]],FIND("/",Table1[[#This Row],[Category and Sub-Category]])-1)</f>
        <v>music</v>
      </c>
      <c r="V906" t="str">
        <f>RIGHT(Table1[[#This Row],[Category and Sub-Category]],LEN(Table1[[#This Row],[Category and Sub-Category]])-FIND("/",Table1[[#This Row],[Category and Sub-Category]]))</f>
        <v>jazz</v>
      </c>
    </row>
    <row r="907" spans="1:22" ht="43.2" x14ac:dyDescent="0.3">
      <c r="A907">
        <v>905</v>
      </c>
      <c r="B907" s="3" t="s">
        <v>906</v>
      </c>
      <c r="C907" s="3" t="s">
        <v>5015</v>
      </c>
      <c r="D907" s="12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>((Table1[[#This Row],[deadline]]/60)/60/24)+DATE(1970,1,1)</f>
        <v>40567.239884259259</v>
      </c>
      <c r="K907">
        <v>1290663926</v>
      </c>
      <c r="L907" s="11">
        <f>((Table1[[#This Row],[launched_at]]/60)/60/24)+DATE(1970,1,1)</f>
        <v>40507.239884259259</v>
      </c>
      <c r="M907">
        <f>MONTH(Table1[[#This Row],[Date Created Conversion]])</f>
        <v>11</v>
      </c>
      <c r="N907">
        <f>YEAR(Table1[[#This Row],[Date Created Conversion]])</f>
        <v>2010</v>
      </c>
      <c r="O907" t="b">
        <v>0</v>
      </c>
      <c r="P907">
        <v>6</v>
      </c>
      <c r="Q907" t="b">
        <v>0</v>
      </c>
      <c r="R907" t="s">
        <v>8278</v>
      </c>
      <c r="S907" s="6">
        <f>Table1[[#This Row],[pledged]]/Table1[[#This Row],[goal]]</f>
        <v>3.0153846153846153E-2</v>
      </c>
      <c r="T907" s="8">
        <f>IF(Table1[[#This Row],[pledged]]=0,"no backers",Table1[[#This Row],[pledged]]/Table1[[#This Row],[backers_count]])</f>
        <v>32.666666666666664</v>
      </c>
      <c r="U907" t="str">
        <f>LEFT(Table1[[#This Row],[Category and Sub-Category]],FIND("/",Table1[[#This Row],[Category and Sub-Category]])-1)</f>
        <v>music</v>
      </c>
      <c r="V907" t="str">
        <f>RIGHT(Table1[[#This Row],[Category and Sub-Category]],LEN(Table1[[#This Row],[Category and Sub-Category]])-FIND("/",Table1[[#This Row],[Category and Sub-Category]]))</f>
        <v>jazz</v>
      </c>
    </row>
    <row r="908" spans="1:22" ht="28.8" x14ac:dyDescent="0.3">
      <c r="A908">
        <v>906</v>
      </c>
      <c r="B908" s="3" t="s">
        <v>907</v>
      </c>
      <c r="C908" s="3" t="s">
        <v>5016</v>
      </c>
      <c r="D908" s="12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>((Table1[[#This Row],[deadline]]/60)/60/24)+DATE(1970,1,1)</f>
        <v>41711.148032407407</v>
      </c>
      <c r="K908">
        <v>1392093190</v>
      </c>
      <c r="L908" s="11">
        <f>((Table1[[#This Row],[launched_at]]/60)/60/24)+DATE(1970,1,1)</f>
        <v>41681.189699074072</v>
      </c>
      <c r="M908">
        <f>MONTH(Table1[[#This Row],[Date Created Conversion]])</f>
        <v>2</v>
      </c>
      <c r="N908">
        <f>YEAR(Table1[[#This Row],[Date Created Conversion]])</f>
        <v>2014</v>
      </c>
      <c r="O908" t="b">
        <v>0</v>
      </c>
      <c r="P908">
        <v>0</v>
      </c>
      <c r="Q908" t="b">
        <v>0</v>
      </c>
      <c r="R908" t="s">
        <v>8278</v>
      </c>
      <c r="S908" s="6">
        <f>Table1[[#This Row],[pledged]]/Table1[[#This Row],[goal]]</f>
        <v>0</v>
      </c>
      <c r="T908" s="8" t="str">
        <f>IF(Table1[[#This Row],[pledged]]=0,"no backers",Table1[[#This Row],[pledged]]/Table1[[#This Row],[backers_count]])</f>
        <v>no backers</v>
      </c>
      <c r="U908" t="str">
        <f>LEFT(Table1[[#This Row],[Category and Sub-Category]],FIND("/",Table1[[#This Row],[Category and Sub-Category]])-1)</f>
        <v>music</v>
      </c>
      <c r="V908" t="str">
        <f>RIGHT(Table1[[#This Row],[Category and Sub-Category]],LEN(Table1[[#This Row],[Category and Sub-Category]])-FIND("/",Table1[[#This Row],[Category and Sub-Category]]))</f>
        <v>jazz</v>
      </c>
    </row>
    <row r="909" spans="1:22" ht="28.8" x14ac:dyDescent="0.3">
      <c r="A909">
        <v>907</v>
      </c>
      <c r="B909" s="3" t="s">
        <v>908</v>
      </c>
      <c r="C909" s="3" t="s">
        <v>5017</v>
      </c>
      <c r="D909" s="12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>((Table1[[#This Row],[deadline]]/60)/60/24)+DATE(1970,1,1)</f>
        <v>40797.192395833335</v>
      </c>
      <c r="K909">
        <v>1313123823</v>
      </c>
      <c r="L909" s="11">
        <f>((Table1[[#This Row],[launched_at]]/60)/60/24)+DATE(1970,1,1)</f>
        <v>40767.192395833335</v>
      </c>
      <c r="M909">
        <f>MONTH(Table1[[#This Row],[Date Created Conversion]])</f>
        <v>8</v>
      </c>
      <c r="N909">
        <f>YEAR(Table1[[#This Row],[Date Created Conversion]])</f>
        <v>2011</v>
      </c>
      <c r="O909" t="b">
        <v>0</v>
      </c>
      <c r="P909">
        <v>0</v>
      </c>
      <c r="Q909" t="b">
        <v>0</v>
      </c>
      <c r="R909" t="s">
        <v>8278</v>
      </c>
      <c r="S909" s="6">
        <f>Table1[[#This Row],[pledged]]/Table1[[#This Row],[goal]]</f>
        <v>0</v>
      </c>
      <c r="T909" s="8" t="str">
        <f>IF(Table1[[#This Row],[pledged]]=0,"no backers",Table1[[#This Row],[pledged]]/Table1[[#This Row],[backers_count]])</f>
        <v>no backers</v>
      </c>
      <c r="U909" t="str">
        <f>LEFT(Table1[[#This Row],[Category and Sub-Category]],FIND("/",Table1[[#This Row],[Category and Sub-Category]])-1)</f>
        <v>music</v>
      </c>
      <c r="V909" t="str">
        <f>RIGHT(Table1[[#This Row],[Category and Sub-Category]],LEN(Table1[[#This Row],[Category and Sub-Category]])-FIND("/",Table1[[#This Row],[Category and Sub-Category]]))</f>
        <v>jazz</v>
      </c>
    </row>
    <row r="910" spans="1:22" ht="43.2" x14ac:dyDescent="0.3">
      <c r="A910">
        <v>908</v>
      </c>
      <c r="B910" s="3" t="s">
        <v>909</v>
      </c>
      <c r="C910" s="3" t="s">
        <v>5018</v>
      </c>
      <c r="D910" s="12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>((Table1[[#This Row],[deadline]]/60)/60/24)+DATE(1970,1,1)</f>
        <v>40386.207638888889</v>
      </c>
      <c r="K910">
        <v>1276283655</v>
      </c>
      <c r="L910" s="11">
        <f>((Table1[[#This Row],[launched_at]]/60)/60/24)+DATE(1970,1,1)</f>
        <v>40340.801562499997</v>
      </c>
      <c r="M910">
        <f>MONTH(Table1[[#This Row],[Date Created Conversion]])</f>
        <v>6</v>
      </c>
      <c r="N910">
        <f>YEAR(Table1[[#This Row],[Date Created Conversion]])</f>
        <v>2010</v>
      </c>
      <c r="O910" t="b">
        <v>0</v>
      </c>
      <c r="P910">
        <v>0</v>
      </c>
      <c r="Q910" t="b">
        <v>0</v>
      </c>
      <c r="R910" t="s">
        <v>8278</v>
      </c>
      <c r="S910" s="6">
        <f>Table1[[#This Row],[pledged]]/Table1[[#This Row],[goal]]</f>
        <v>0</v>
      </c>
      <c r="T910" s="8" t="str">
        <f>IF(Table1[[#This Row],[pledged]]=0,"no backers",Table1[[#This Row],[pledged]]/Table1[[#This Row],[backers_count]])</f>
        <v>no backers</v>
      </c>
      <c r="U910" t="str">
        <f>LEFT(Table1[[#This Row],[Category and Sub-Category]],FIND("/",Table1[[#This Row],[Category and Sub-Category]])-1)</f>
        <v>music</v>
      </c>
      <c r="V910" t="str">
        <f>RIGHT(Table1[[#This Row],[Category and Sub-Category]],LEN(Table1[[#This Row],[Category and Sub-Category]])-FIND("/",Table1[[#This Row],[Category and Sub-Category]]))</f>
        <v>jazz</v>
      </c>
    </row>
    <row r="911" spans="1:22" ht="57.6" x14ac:dyDescent="0.3">
      <c r="A911">
        <v>909</v>
      </c>
      <c r="B911" s="3" t="s">
        <v>910</v>
      </c>
      <c r="C911" s="3" t="s">
        <v>5019</v>
      </c>
      <c r="D911" s="12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>((Table1[[#This Row],[deadline]]/60)/60/24)+DATE(1970,1,1)</f>
        <v>41113.166666666664</v>
      </c>
      <c r="K911">
        <v>1340296440</v>
      </c>
      <c r="L911" s="11">
        <f>((Table1[[#This Row],[launched_at]]/60)/60/24)+DATE(1970,1,1)</f>
        <v>41081.69027777778</v>
      </c>
      <c r="M911">
        <f>MONTH(Table1[[#This Row],[Date Created Conversion]])</f>
        <v>6</v>
      </c>
      <c r="N911">
        <f>YEAR(Table1[[#This Row],[Date Created Conversion]])</f>
        <v>2012</v>
      </c>
      <c r="O911" t="b">
        <v>0</v>
      </c>
      <c r="P911">
        <v>8</v>
      </c>
      <c r="Q911" t="b">
        <v>0</v>
      </c>
      <c r="R911" t="s">
        <v>8278</v>
      </c>
      <c r="S911" s="6">
        <f>Table1[[#This Row],[pledged]]/Table1[[#This Row],[goal]]</f>
        <v>3.2500000000000001E-2</v>
      </c>
      <c r="T911" s="8">
        <f>IF(Table1[[#This Row],[pledged]]=0,"no backers",Table1[[#This Row],[pledged]]/Table1[[#This Row],[backers_count]])</f>
        <v>65</v>
      </c>
      <c r="U911" t="str">
        <f>LEFT(Table1[[#This Row],[Category and Sub-Category]],FIND("/",Table1[[#This Row],[Category and Sub-Category]])-1)</f>
        <v>music</v>
      </c>
      <c r="V911" t="str">
        <f>RIGHT(Table1[[#This Row],[Category and Sub-Category]],LEN(Table1[[#This Row],[Category and Sub-Category]])-FIND("/",Table1[[#This Row],[Category and Sub-Category]]))</f>
        <v>jazz</v>
      </c>
    </row>
    <row r="912" spans="1:22" ht="43.2" x14ac:dyDescent="0.3">
      <c r="A912">
        <v>910</v>
      </c>
      <c r="B912" s="3" t="s">
        <v>911</v>
      </c>
      <c r="C912" s="3" t="s">
        <v>5020</v>
      </c>
      <c r="D912" s="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>((Table1[[#This Row],[deadline]]/60)/60/24)+DATE(1970,1,1)</f>
        <v>42797.545358796298</v>
      </c>
      <c r="K912">
        <v>1483362319</v>
      </c>
      <c r="L912" s="11">
        <f>((Table1[[#This Row],[launched_at]]/60)/60/24)+DATE(1970,1,1)</f>
        <v>42737.545358796298</v>
      </c>
      <c r="M912">
        <f>MONTH(Table1[[#This Row],[Date Created Conversion]])</f>
        <v>1</v>
      </c>
      <c r="N912">
        <f>YEAR(Table1[[#This Row],[Date Created Conversion]])</f>
        <v>2017</v>
      </c>
      <c r="O912" t="b">
        <v>0</v>
      </c>
      <c r="P912">
        <v>5</v>
      </c>
      <c r="Q912" t="b">
        <v>0</v>
      </c>
      <c r="R912" t="s">
        <v>8278</v>
      </c>
      <c r="S912" s="6">
        <f>Table1[[#This Row],[pledged]]/Table1[[#This Row],[goal]]</f>
        <v>0.22363636363636363</v>
      </c>
      <c r="T912" s="8">
        <f>IF(Table1[[#This Row],[pledged]]=0,"no backers",Table1[[#This Row],[pledged]]/Table1[[#This Row],[backers_count]])</f>
        <v>24.6</v>
      </c>
      <c r="U912" t="str">
        <f>LEFT(Table1[[#This Row],[Category and Sub-Category]],FIND("/",Table1[[#This Row],[Category and Sub-Category]])-1)</f>
        <v>music</v>
      </c>
      <c r="V912" t="str">
        <f>RIGHT(Table1[[#This Row],[Category and Sub-Category]],LEN(Table1[[#This Row],[Category and Sub-Category]])-FIND("/",Table1[[#This Row],[Category and Sub-Category]]))</f>
        <v>jazz</v>
      </c>
    </row>
    <row r="913" spans="1:22" ht="43.2" x14ac:dyDescent="0.3">
      <c r="A913">
        <v>911</v>
      </c>
      <c r="B913" s="3" t="s">
        <v>912</v>
      </c>
      <c r="C913" s="3" t="s">
        <v>5021</v>
      </c>
      <c r="D913" s="12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>((Table1[[#This Row],[deadline]]/60)/60/24)+DATE(1970,1,1)</f>
        <v>41663.005150462966</v>
      </c>
      <c r="K913">
        <v>1388707645</v>
      </c>
      <c r="L913" s="11">
        <f>((Table1[[#This Row],[launched_at]]/60)/60/24)+DATE(1970,1,1)</f>
        <v>41642.005150462966</v>
      </c>
      <c r="M913">
        <f>MONTH(Table1[[#This Row],[Date Created Conversion]])</f>
        <v>1</v>
      </c>
      <c r="N913">
        <f>YEAR(Table1[[#This Row],[Date Created Conversion]])</f>
        <v>2014</v>
      </c>
      <c r="O913" t="b">
        <v>0</v>
      </c>
      <c r="P913">
        <v>0</v>
      </c>
      <c r="Q913" t="b">
        <v>0</v>
      </c>
      <c r="R913" t="s">
        <v>8278</v>
      </c>
      <c r="S913" s="6">
        <f>Table1[[#This Row],[pledged]]/Table1[[#This Row],[goal]]</f>
        <v>0</v>
      </c>
      <c r="T913" s="8" t="str">
        <f>IF(Table1[[#This Row],[pledged]]=0,"no backers",Table1[[#This Row],[pledged]]/Table1[[#This Row],[backers_count]])</f>
        <v>no backers</v>
      </c>
      <c r="U913" t="str">
        <f>LEFT(Table1[[#This Row],[Category and Sub-Category]],FIND("/",Table1[[#This Row],[Category and Sub-Category]])-1)</f>
        <v>music</v>
      </c>
      <c r="V913" t="str">
        <f>RIGHT(Table1[[#This Row],[Category and Sub-Category]],LEN(Table1[[#This Row],[Category and Sub-Category]])-FIND("/",Table1[[#This Row],[Category and Sub-Category]]))</f>
        <v>jazz</v>
      </c>
    </row>
    <row r="914" spans="1:22" ht="43.2" x14ac:dyDescent="0.3">
      <c r="A914">
        <v>912</v>
      </c>
      <c r="B914" s="3" t="s">
        <v>913</v>
      </c>
      <c r="C914" s="3" t="s">
        <v>5022</v>
      </c>
      <c r="D914" s="12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>((Table1[[#This Row],[deadline]]/60)/60/24)+DATE(1970,1,1)</f>
        <v>41254.151006944441</v>
      </c>
      <c r="K914">
        <v>1350009447</v>
      </c>
      <c r="L914" s="11">
        <f>((Table1[[#This Row],[launched_at]]/60)/60/24)+DATE(1970,1,1)</f>
        <v>41194.109340277777</v>
      </c>
      <c r="M914">
        <f>MONTH(Table1[[#This Row],[Date Created Conversion]])</f>
        <v>10</v>
      </c>
      <c r="N914">
        <f>YEAR(Table1[[#This Row],[Date Created Conversion]])</f>
        <v>2012</v>
      </c>
      <c r="O914" t="b">
        <v>0</v>
      </c>
      <c r="P914">
        <v>2</v>
      </c>
      <c r="Q914" t="b">
        <v>0</v>
      </c>
      <c r="R914" t="s">
        <v>8278</v>
      </c>
      <c r="S914" s="6">
        <f>Table1[[#This Row],[pledged]]/Table1[[#This Row],[goal]]</f>
        <v>8.5714285714285719E-3</v>
      </c>
      <c r="T914" s="8">
        <f>IF(Table1[[#This Row],[pledged]]=0,"no backers",Table1[[#This Row],[pledged]]/Table1[[#This Row],[backers_count]])</f>
        <v>15</v>
      </c>
      <c r="U914" t="str">
        <f>LEFT(Table1[[#This Row],[Category and Sub-Category]],FIND("/",Table1[[#This Row],[Category and Sub-Category]])-1)</f>
        <v>music</v>
      </c>
      <c r="V914" t="str">
        <f>RIGHT(Table1[[#This Row],[Category and Sub-Category]],LEN(Table1[[#This Row],[Category and Sub-Category]])-FIND("/",Table1[[#This Row],[Category and Sub-Category]]))</f>
        <v>jazz</v>
      </c>
    </row>
    <row r="915" spans="1:22" ht="43.2" x14ac:dyDescent="0.3">
      <c r="A915">
        <v>913</v>
      </c>
      <c r="B915" s="3" t="s">
        <v>914</v>
      </c>
      <c r="C915" s="3" t="s">
        <v>5023</v>
      </c>
      <c r="D915" s="12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>((Table1[[#This Row],[deadline]]/60)/60/24)+DATE(1970,1,1)</f>
        <v>41034.139108796298</v>
      </c>
      <c r="K915">
        <v>1333596019</v>
      </c>
      <c r="L915" s="11">
        <f>((Table1[[#This Row],[launched_at]]/60)/60/24)+DATE(1970,1,1)</f>
        <v>41004.139108796298</v>
      </c>
      <c r="M915">
        <f>MONTH(Table1[[#This Row],[Date Created Conversion]])</f>
        <v>4</v>
      </c>
      <c r="N915">
        <f>YEAR(Table1[[#This Row],[Date Created Conversion]])</f>
        <v>2012</v>
      </c>
      <c r="O915" t="b">
        <v>0</v>
      </c>
      <c r="P915">
        <v>24</v>
      </c>
      <c r="Q915" t="b">
        <v>0</v>
      </c>
      <c r="R915" t="s">
        <v>8278</v>
      </c>
      <c r="S915" s="6">
        <f>Table1[[#This Row],[pledged]]/Table1[[#This Row],[goal]]</f>
        <v>6.6066666666666662E-2</v>
      </c>
      <c r="T915" s="8">
        <f>IF(Table1[[#This Row],[pledged]]=0,"no backers",Table1[[#This Row],[pledged]]/Table1[[#This Row],[backers_count]])</f>
        <v>82.583333333333329</v>
      </c>
      <c r="U915" t="str">
        <f>LEFT(Table1[[#This Row],[Category and Sub-Category]],FIND("/",Table1[[#This Row],[Category and Sub-Category]])-1)</f>
        <v>music</v>
      </c>
      <c r="V915" t="str">
        <f>RIGHT(Table1[[#This Row],[Category and Sub-Category]],LEN(Table1[[#This Row],[Category and Sub-Category]])-FIND("/",Table1[[#This Row],[Category and Sub-Category]]))</f>
        <v>jazz</v>
      </c>
    </row>
    <row r="916" spans="1:22" ht="43.2" x14ac:dyDescent="0.3">
      <c r="A916">
        <v>914</v>
      </c>
      <c r="B916" s="3" t="s">
        <v>915</v>
      </c>
      <c r="C916" s="3" t="s">
        <v>5024</v>
      </c>
      <c r="D916" s="12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>((Table1[[#This Row],[deadline]]/60)/60/24)+DATE(1970,1,1)</f>
        <v>41146.763275462967</v>
      </c>
      <c r="K916">
        <v>1343326747</v>
      </c>
      <c r="L916" s="11">
        <f>((Table1[[#This Row],[launched_at]]/60)/60/24)+DATE(1970,1,1)</f>
        <v>41116.763275462967</v>
      </c>
      <c r="M916">
        <f>MONTH(Table1[[#This Row],[Date Created Conversion]])</f>
        <v>7</v>
      </c>
      <c r="N916">
        <f>YEAR(Table1[[#This Row],[Date Created Conversion]])</f>
        <v>2012</v>
      </c>
      <c r="O916" t="b">
        <v>0</v>
      </c>
      <c r="P916">
        <v>0</v>
      </c>
      <c r="Q916" t="b">
        <v>0</v>
      </c>
      <c r="R916" t="s">
        <v>8278</v>
      </c>
      <c r="S916" s="6">
        <f>Table1[[#This Row],[pledged]]/Table1[[#This Row],[goal]]</f>
        <v>0</v>
      </c>
      <c r="T916" s="8" t="str">
        <f>IF(Table1[[#This Row],[pledged]]=0,"no backers",Table1[[#This Row],[pledged]]/Table1[[#This Row],[backers_count]])</f>
        <v>no backers</v>
      </c>
      <c r="U916" t="str">
        <f>LEFT(Table1[[#This Row],[Category and Sub-Category]],FIND("/",Table1[[#This Row],[Category and Sub-Category]])-1)</f>
        <v>music</v>
      </c>
      <c r="V916" t="str">
        <f>RIGHT(Table1[[#This Row],[Category and Sub-Category]],LEN(Table1[[#This Row],[Category and Sub-Category]])-FIND("/",Table1[[#This Row],[Category and Sub-Category]]))</f>
        <v>jazz</v>
      </c>
    </row>
    <row r="917" spans="1:22" ht="43.2" x14ac:dyDescent="0.3">
      <c r="A917">
        <v>915</v>
      </c>
      <c r="B917" s="3" t="s">
        <v>916</v>
      </c>
      <c r="C917" s="3" t="s">
        <v>5025</v>
      </c>
      <c r="D917" s="12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>((Table1[[#This Row],[deadline]]/60)/60/24)+DATE(1970,1,1)</f>
        <v>40969.207638888889</v>
      </c>
      <c r="K917">
        <v>1327853914</v>
      </c>
      <c r="L917" s="11">
        <f>((Table1[[#This Row],[launched_at]]/60)/60/24)+DATE(1970,1,1)</f>
        <v>40937.679560185185</v>
      </c>
      <c r="M917">
        <f>MONTH(Table1[[#This Row],[Date Created Conversion]])</f>
        <v>1</v>
      </c>
      <c r="N917">
        <f>YEAR(Table1[[#This Row],[Date Created Conversion]])</f>
        <v>2012</v>
      </c>
      <c r="O917" t="b">
        <v>0</v>
      </c>
      <c r="P917">
        <v>9</v>
      </c>
      <c r="Q917" t="b">
        <v>0</v>
      </c>
      <c r="R917" t="s">
        <v>8278</v>
      </c>
      <c r="S917" s="6">
        <f>Table1[[#This Row],[pledged]]/Table1[[#This Row],[goal]]</f>
        <v>5.7692307692307696E-2</v>
      </c>
      <c r="T917" s="8">
        <f>IF(Table1[[#This Row],[pledged]]=0,"no backers",Table1[[#This Row],[pledged]]/Table1[[#This Row],[backers_count]])</f>
        <v>41.666666666666664</v>
      </c>
      <c r="U917" t="str">
        <f>LEFT(Table1[[#This Row],[Category and Sub-Category]],FIND("/",Table1[[#This Row],[Category and Sub-Category]])-1)</f>
        <v>music</v>
      </c>
      <c r="V917" t="str">
        <f>RIGHT(Table1[[#This Row],[Category and Sub-Category]],LEN(Table1[[#This Row],[Category and Sub-Category]])-FIND("/",Table1[[#This Row],[Category and Sub-Category]]))</f>
        <v>jazz</v>
      </c>
    </row>
    <row r="918" spans="1:22" ht="43.2" x14ac:dyDescent="0.3">
      <c r="A918">
        <v>916</v>
      </c>
      <c r="B918" s="3" t="s">
        <v>917</v>
      </c>
      <c r="C918" s="3" t="s">
        <v>5026</v>
      </c>
      <c r="D918" s="12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>((Table1[[#This Row],[deadline]]/60)/60/24)+DATE(1970,1,1)</f>
        <v>40473.208333333336</v>
      </c>
      <c r="K918">
        <v>1284409734</v>
      </c>
      <c r="L918" s="11">
        <f>((Table1[[#This Row],[launched_at]]/60)/60/24)+DATE(1970,1,1)</f>
        <v>40434.853402777779</v>
      </c>
      <c r="M918">
        <f>MONTH(Table1[[#This Row],[Date Created Conversion]])</f>
        <v>9</v>
      </c>
      <c r="N918">
        <f>YEAR(Table1[[#This Row],[Date Created Conversion]])</f>
        <v>2010</v>
      </c>
      <c r="O918" t="b">
        <v>0</v>
      </c>
      <c r="P918">
        <v>0</v>
      </c>
      <c r="Q918" t="b">
        <v>0</v>
      </c>
      <c r="R918" t="s">
        <v>8278</v>
      </c>
      <c r="S918" s="6">
        <f>Table1[[#This Row],[pledged]]/Table1[[#This Row],[goal]]</f>
        <v>0</v>
      </c>
      <c r="T918" s="8" t="str">
        <f>IF(Table1[[#This Row],[pledged]]=0,"no backers",Table1[[#This Row],[pledged]]/Table1[[#This Row],[backers_count]])</f>
        <v>no backers</v>
      </c>
      <c r="U918" t="str">
        <f>LEFT(Table1[[#This Row],[Category and Sub-Category]],FIND("/",Table1[[#This Row],[Category and Sub-Category]])-1)</f>
        <v>music</v>
      </c>
      <c r="V918" t="str">
        <f>RIGHT(Table1[[#This Row],[Category and Sub-Category]],LEN(Table1[[#This Row],[Category and Sub-Category]])-FIND("/",Table1[[#This Row],[Category and Sub-Category]]))</f>
        <v>jazz</v>
      </c>
    </row>
    <row r="919" spans="1:22" ht="43.2" x14ac:dyDescent="0.3">
      <c r="A919">
        <v>917</v>
      </c>
      <c r="B919" s="3" t="s">
        <v>918</v>
      </c>
      <c r="C919" s="3" t="s">
        <v>5027</v>
      </c>
      <c r="D919" s="12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>((Table1[[#This Row],[deadline]]/60)/60/24)+DATE(1970,1,1)</f>
        <v>41834.104166666664</v>
      </c>
      <c r="K919">
        <v>1402612730</v>
      </c>
      <c r="L919" s="11">
        <f>((Table1[[#This Row],[launched_at]]/60)/60/24)+DATE(1970,1,1)</f>
        <v>41802.94363425926</v>
      </c>
      <c r="M919">
        <f>MONTH(Table1[[#This Row],[Date Created Conversion]])</f>
        <v>6</v>
      </c>
      <c r="N919">
        <f>YEAR(Table1[[#This Row],[Date Created Conversion]])</f>
        <v>2014</v>
      </c>
      <c r="O919" t="b">
        <v>0</v>
      </c>
      <c r="P919">
        <v>1</v>
      </c>
      <c r="Q919" t="b">
        <v>0</v>
      </c>
      <c r="R919" t="s">
        <v>8278</v>
      </c>
      <c r="S919" s="6">
        <f>Table1[[#This Row],[pledged]]/Table1[[#This Row],[goal]]</f>
        <v>6.0000000000000001E-3</v>
      </c>
      <c r="T919" s="8">
        <f>IF(Table1[[#This Row],[pledged]]=0,"no backers",Table1[[#This Row],[pledged]]/Table1[[#This Row],[backers_count]])</f>
        <v>30</v>
      </c>
      <c r="U919" t="str">
        <f>LEFT(Table1[[#This Row],[Category and Sub-Category]],FIND("/",Table1[[#This Row],[Category and Sub-Category]])-1)</f>
        <v>music</v>
      </c>
      <c r="V919" t="str">
        <f>RIGHT(Table1[[#This Row],[Category and Sub-Category]],LEN(Table1[[#This Row],[Category and Sub-Category]])-FIND("/",Table1[[#This Row],[Category and Sub-Category]]))</f>
        <v>jazz</v>
      </c>
    </row>
    <row r="920" spans="1:22" ht="57.6" x14ac:dyDescent="0.3">
      <c r="A920">
        <v>918</v>
      </c>
      <c r="B920" s="3" t="s">
        <v>919</v>
      </c>
      <c r="C920" s="3" t="s">
        <v>5028</v>
      </c>
      <c r="D920" s="12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>((Table1[[#This Row],[deadline]]/60)/60/24)+DATE(1970,1,1)</f>
        <v>41974.957881944443</v>
      </c>
      <c r="K920">
        <v>1414879161</v>
      </c>
      <c r="L920" s="11">
        <f>((Table1[[#This Row],[launched_at]]/60)/60/24)+DATE(1970,1,1)</f>
        <v>41944.916215277779</v>
      </c>
      <c r="M920">
        <f>MONTH(Table1[[#This Row],[Date Created Conversion]])</f>
        <v>11</v>
      </c>
      <c r="N920">
        <f>YEAR(Table1[[#This Row],[Date Created Conversion]])</f>
        <v>2014</v>
      </c>
      <c r="O920" t="b">
        <v>0</v>
      </c>
      <c r="P920">
        <v>10</v>
      </c>
      <c r="Q920" t="b">
        <v>0</v>
      </c>
      <c r="R920" t="s">
        <v>8278</v>
      </c>
      <c r="S920" s="6">
        <f>Table1[[#This Row],[pledged]]/Table1[[#This Row],[goal]]</f>
        <v>5.0256410256410255E-2</v>
      </c>
      <c r="T920" s="8">
        <f>IF(Table1[[#This Row],[pledged]]=0,"no backers",Table1[[#This Row],[pledged]]/Table1[[#This Row],[backers_count]])</f>
        <v>19.600000000000001</v>
      </c>
      <c r="U920" t="str">
        <f>LEFT(Table1[[#This Row],[Category and Sub-Category]],FIND("/",Table1[[#This Row],[Category and Sub-Category]])-1)</f>
        <v>music</v>
      </c>
      <c r="V920" t="str">
        <f>RIGHT(Table1[[#This Row],[Category and Sub-Category]],LEN(Table1[[#This Row],[Category and Sub-Category]])-FIND("/",Table1[[#This Row],[Category and Sub-Category]]))</f>
        <v>jazz</v>
      </c>
    </row>
    <row r="921" spans="1:22" x14ac:dyDescent="0.3">
      <c r="A921">
        <v>919</v>
      </c>
      <c r="B921" s="3" t="s">
        <v>920</v>
      </c>
      <c r="C921" s="3" t="s">
        <v>5029</v>
      </c>
      <c r="D921" s="12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>((Table1[[#This Row],[deadline]]/60)/60/24)+DATE(1970,1,1)</f>
        <v>41262.641724537039</v>
      </c>
      <c r="K921">
        <v>1352906645</v>
      </c>
      <c r="L921" s="11">
        <f>((Table1[[#This Row],[launched_at]]/60)/60/24)+DATE(1970,1,1)</f>
        <v>41227.641724537039</v>
      </c>
      <c r="M921">
        <f>MONTH(Table1[[#This Row],[Date Created Conversion]])</f>
        <v>11</v>
      </c>
      <c r="N921">
        <f>YEAR(Table1[[#This Row],[Date Created Conversion]])</f>
        <v>2012</v>
      </c>
      <c r="O921" t="b">
        <v>0</v>
      </c>
      <c r="P921">
        <v>1</v>
      </c>
      <c r="Q921" t="b">
        <v>0</v>
      </c>
      <c r="R921" t="s">
        <v>8278</v>
      </c>
      <c r="S921" s="6">
        <f>Table1[[#This Row],[pledged]]/Table1[[#This Row],[goal]]</f>
        <v>5.0000000000000001E-3</v>
      </c>
      <c r="T921" s="8">
        <f>IF(Table1[[#This Row],[pledged]]=0,"no backers",Table1[[#This Row],[pledged]]/Table1[[#This Row],[backers_count]])</f>
        <v>100</v>
      </c>
      <c r="U921" t="str">
        <f>LEFT(Table1[[#This Row],[Category and Sub-Category]],FIND("/",Table1[[#This Row],[Category and Sub-Category]])-1)</f>
        <v>music</v>
      </c>
      <c r="V921" t="str">
        <f>RIGHT(Table1[[#This Row],[Category and Sub-Category]],LEN(Table1[[#This Row],[Category and Sub-Category]])-FIND("/",Table1[[#This Row],[Category and Sub-Category]]))</f>
        <v>jazz</v>
      </c>
    </row>
    <row r="922" spans="1:22" ht="43.2" x14ac:dyDescent="0.3">
      <c r="A922">
        <v>920</v>
      </c>
      <c r="B922" s="3" t="s">
        <v>921</v>
      </c>
      <c r="C922" s="3" t="s">
        <v>5030</v>
      </c>
      <c r="D922" s="1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>((Table1[[#This Row],[deadline]]/60)/60/24)+DATE(1970,1,1)</f>
        <v>41592.713217592594</v>
      </c>
      <c r="K922">
        <v>1381853222</v>
      </c>
      <c r="L922" s="11">
        <f>((Table1[[#This Row],[launched_at]]/60)/60/24)+DATE(1970,1,1)</f>
        <v>41562.67155092593</v>
      </c>
      <c r="M922">
        <f>MONTH(Table1[[#This Row],[Date Created Conversion]])</f>
        <v>10</v>
      </c>
      <c r="N922">
        <f>YEAR(Table1[[#This Row],[Date Created Conversion]])</f>
        <v>2013</v>
      </c>
      <c r="O922" t="b">
        <v>0</v>
      </c>
      <c r="P922">
        <v>0</v>
      </c>
      <c r="Q922" t="b">
        <v>0</v>
      </c>
      <c r="R922" t="s">
        <v>8278</v>
      </c>
      <c r="S922" s="6">
        <f>Table1[[#This Row],[pledged]]/Table1[[#This Row],[goal]]</f>
        <v>0</v>
      </c>
      <c r="T922" s="8" t="str">
        <f>IF(Table1[[#This Row],[pledged]]=0,"no backers",Table1[[#This Row],[pledged]]/Table1[[#This Row],[backers_count]])</f>
        <v>no backers</v>
      </c>
      <c r="U922" t="str">
        <f>LEFT(Table1[[#This Row],[Category and Sub-Category]],FIND("/",Table1[[#This Row],[Category and Sub-Category]])-1)</f>
        <v>music</v>
      </c>
      <c r="V922" t="str">
        <f>RIGHT(Table1[[#This Row],[Category and Sub-Category]],LEN(Table1[[#This Row],[Category and Sub-Category]])-FIND("/",Table1[[#This Row],[Category and Sub-Category]]))</f>
        <v>jazz</v>
      </c>
    </row>
    <row r="923" spans="1:22" ht="43.2" x14ac:dyDescent="0.3">
      <c r="A923">
        <v>921</v>
      </c>
      <c r="B923" s="3" t="s">
        <v>922</v>
      </c>
      <c r="C923" s="3" t="s">
        <v>5031</v>
      </c>
      <c r="D923" s="12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>((Table1[[#This Row],[deadline]]/60)/60/24)+DATE(1970,1,1)</f>
        <v>40889.212685185186</v>
      </c>
      <c r="K923">
        <v>1320033976</v>
      </c>
      <c r="L923" s="11">
        <f>((Table1[[#This Row],[launched_at]]/60)/60/24)+DATE(1970,1,1)</f>
        <v>40847.171018518515</v>
      </c>
      <c r="M923">
        <f>MONTH(Table1[[#This Row],[Date Created Conversion]])</f>
        <v>10</v>
      </c>
      <c r="N923">
        <f>YEAR(Table1[[#This Row],[Date Created Conversion]])</f>
        <v>2011</v>
      </c>
      <c r="O923" t="b">
        <v>0</v>
      </c>
      <c r="P923">
        <v>20</v>
      </c>
      <c r="Q923" t="b">
        <v>0</v>
      </c>
      <c r="R923" t="s">
        <v>8278</v>
      </c>
      <c r="S923" s="6">
        <f>Table1[[#This Row],[pledged]]/Table1[[#This Row],[goal]]</f>
        <v>0.309</v>
      </c>
      <c r="T923" s="8">
        <f>IF(Table1[[#This Row],[pledged]]=0,"no backers",Table1[[#This Row],[pledged]]/Table1[[#This Row],[backers_count]])</f>
        <v>231.75</v>
      </c>
      <c r="U923" t="str">
        <f>LEFT(Table1[[#This Row],[Category and Sub-Category]],FIND("/",Table1[[#This Row],[Category and Sub-Category]])-1)</f>
        <v>music</v>
      </c>
      <c r="V923" t="str">
        <f>RIGHT(Table1[[#This Row],[Category and Sub-Category]],LEN(Table1[[#This Row],[Category and Sub-Category]])-FIND("/",Table1[[#This Row],[Category and Sub-Category]]))</f>
        <v>jazz</v>
      </c>
    </row>
    <row r="924" spans="1:22" ht="43.2" x14ac:dyDescent="0.3">
      <c r="A924">
        <v>922</v>
      </c>
      <c r="B924" s="3" t="s">
        <v>923</v>
      </c>
      <c r="C924" s="3" t="s">
        <v>5032</v>
      </c>
      <c r="D924" s="12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>((Table1[[#This Row],[deadline]]/60)/60/24)+DATE(1970,1,1)</f>
        <v>41913.530011574076</v>
      </c>
      <c r="K924">
        <v>1409143393</v>
      </c>
      <c r="L924" s="11">
        <f>((Table1[[#This Row],[launched_at]]/60)/60/24)+DATE(1970,1,1)</f>
        <v>41878.530011574076</v>
      </c>
      <c r="M924">
        <f>MONTH(Table1[[#This Row],[Date Created Conversion]])</f>
        <v>8</v>
      </c>
      <c r="N924">
        <f>YEAR(Table1[[#This Row],[Date Created Conversion]])</f>
        <v>2014</v>
      </c>
      <c r="O924" t="b">
        <v>0</v>
      </c>
      <c r="P924">
        <v>30</v>
      </c>
      <c r="Q924" t="b">
        <v>0</v>
      </c>
      <c r="R924" t="s">
        <v>8278</v>
      </c>
      <c r="S924" s="6">
        <f>Table1[[#This Row],[pledged]]/Table1[[#This Row],[goal]]</f>
        <v>0.21037037037037037</v>
      </c>
      <c r="T924" s="8">
        <f>IF(Table1[[#This Row],[pledged]]=0,"no backers",Table1[[#This Row],[pledged]]/Table1[[#This Row],[backers_count]])</f>
        <v>189.33333333333334</v>
      </c>
      <c r="U924" t="str">
        <f>LEFT(Table1[[#This Row],[Category and Sub-Category]],FIND("/",Table1[[#This Row],[Category and Sub-Category]])-1)</f>
        <v>music</v>
      </c>
      <c r="V924" t="str">
        <f>RIGHT(Table1[[#This Row],[Category and Sub-Category]],LEN(Table1[[#This Row],[Category and Sub-Category]])-FIND("/",Table1[[#This Row],[Category and Sub-Category]]))</f>
        <v>jazz</v>
      </c>
    </row>
    <row r="925" spans="1:22" ht="43.2" x14ac:dyDescent="0.3">
      <c r="A925">
        <v>923</v>
      </c>
      <c r="B925" s="3" t="s">
        <v>924</v>
      </c>
      <c r="C925" s="3" t="s">
        <v>5033</v>
      </c>
      <c r="D925" s="12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>((Table1[[#This Row],[deadline]]/60)/60/24)+DATE(1970,1,1)</f>
        <v>41965.001423611116</v>
      </c>
      <c r="K925">
        <v>1414018923</v>
      </c>
      <c r="L925" s="11">
        <f>((Table1[[#This Row],[launched_at]]/60)/60/24)+DATE(1970,1,1)</f>
        <v>41934.959756944445</v>
      </c>
      <c r="M925">
        <f>MONTH(Table1[[#This Row],[Date Created Conversion]])</f>
        <v>10</v>
      </c>
      <c r="N925">
        <f>YEAR(Table1[[#This Row],[Date Created Conversion]])</f>
        <v>2014</v>
      </c>
      <c r="O925" t="b">
        <v>0</v>
      </c>
      <c r="P925">
        <v>6</v>
      </c>
      <c r="Q925" t="b">
        <v>0</v>
      </c>
      <c r="R925" t="s">
        <v>8278</v>
      </c>
      <c r="S925" s="6">
        <f>Table1[[#This Row],[pledged]]/Table1[[#This Row],[goal]]</f>
        <v>2.1999999999999999E-2</v>
      </c>
      <c r="T925" s="8">
        <f>IF(Table1[[#This Row],[pledged]]=0,"no backers",Table1[[#This Row],[pledged]]/Table1[[#This Row],[backers_count]])</f>
        <v>55</v>
      </c>
      <c r="U925" t="str">
        <f>LEFT(Table1[[#This Row],[Category and Sub-Category]],FIND("/",Table1[[#This Row],[Category and Sub-Category]])-1)</f>
        <v>music</v>
      </c>
      <c r="V925" t="str">
        <f>RIGHT(Table1[[#This Row],[Category and Sub-Category]],LEN(Table1[[#This Row],[Category and Sub-Category]])-FIND("/",Table1[[#This Row],[Category and Sub-Category]]))</f>
        <v>jazz</v>
      </c>
    </row>
    <row r="926" spans="1:22" ht="43.2" x14ac:dyDescent="0.3">
      <c r="A926">
        <v>924</v>
      </c>
      <c r="B926" s="3" t="s">
        <v>925</v>
      </c>
      <c r="C926" s="3" t="s">
        <v>5034</v>
      </c>
      <c r="D926" s="12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>((Table1[[#This Row],[deadline]]/60)/60/24)+DATE(1970,1,1)</f>
        <v>41318.942928240744</v>
      </c>
      <c r="K926">
        <v>1358203069</v>
      </c>
      <c r="L926" s="11">
        <f>((Table1[[#This Row],[launched_at]]/60)/60/24)+DATE(1970,1,1)</f>
        <v>41288.942928240744</v>
      </c>
      <c r="M926">
        <f>MONTH(Table1[[#This Row],[Date Created Conversion]])</f>
        <v>1</v>
      </c>
      <c r="N926">
        <f>YEAR(Table1[[#This Row],[Date Created Conversion]])</f>
        <v>2013</v>
      </c>
      <c r="O926" t="b">
        <v>0</v>
      </c>
      <c r="P926">
        <v>15</v>
      </c>
      <c r="Q926" t="b">
        <v>0</v>
      </c>
      <c r="R926" t="s">
        <v>8278</v>
      </c>
      <c r="S926" s="6">
        <f>Table1[[#This Row],[pledged]]/Table1[[#This Row],[goal]]</f>
        <v>0.109</v>
      </c>
      <c r="T926" s="8">
        <f>IF(Table1[[#This Row],[pledged]]=0,"no backers",Table1[[#This Row],[pledged]]/Table1[[#This Row],[backers_count]])</f>
        <v>21.8</v>
      </c>
      <c r="U926" t="str">
        <f>LEFT(Table1[[#This Row],[Category and Sub-Category]],FIND("/",Table1[[#This Row],[Category and Sub-Category]])-1)</f>
        <v>music</v>
      </c>
      <c r="V926" t="str">
        <f>RIGHT(Table1[[#This Row],[Category and Sub-Category]],LEN(Table1[[#This Row],[Category and Sub-Category]])-FIND("/",Table1[[#This Row],[Category and Sub-Category]]))</f>
        <v>jazz</v>
      </c>
    </row>
    <row r="927" spans="1:22" ht="43.2" x14ac:dyDescent="0.3">
      <c r="A927">
        <v>925</v>
      </c>
      <c r="B927" s="3" t="s">
        <v>926</v>
      </c>
      <c r="C927" s="3" t="s">
        <v>5035</v>
      </c>
      <c r="D927" s="12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>((Table1[[#This Row],[deadline]]/60)/60/24)+DATE(1970,1,1)</f>
        <v>41605.922581018516</v>
      </c>
      <c r="K927">
        <v>1382994511</v>
      </c>
      <c r="L927" s="11">
        <f>((Table1[[#This Row],[launched_at]]/60)/60/24)+DATE(1970,1,1)</f>
        <v>41575.880914351852</v>
      </c>
      <c r="M927">
        <f>MONTH(Table1[[#This Row],[Date Created Conversion]])</f>
        <v>10</v>
      </c>
      <c r="N927">
        <f>YEAR(Table1[[#This Row],[Date Created Conversion]])</f>
        <v>2013</v>
      </c>
      <c r="O927" t="b">
        <v>0</v>
      </c>
      <c r="P927">
        <v>5</v>
      </c>
      <c r="Q927" t="b">
        <v>0</v>
      </c>
      <c r="R927" t="s">
        <v>8278</v>
      </c>
      <c r="S927" s="6">
        <f>Table1[[#This Row],[pledged]]/Table1[[#This Row],[goal]]</f>
        <v>2.6666666666666668E-2</v>
      </c>
      <c r="T927" s="8">
        <f>IF(Table1[[#This Row],[pledged]]=0,"no backers",Table1[[#This Row],[pledged]]/Table1[[#This Row],[backers_count]])</f>
        <v>32</v>
      </c>
      <c r="U927" t="str">
        <f>LEFT(Table1[[#This Row],[Category and Sub-Category]],FIND("/",Table1[[#This Row],[Category and Sub-Category]])-1)</f>
        <v>music</v>
      </c>
      <c r="V927" t="str">
        <f>RIGHT(Table1[[#This Row],[Category and Sub-Category]],LEN(Table1[[#This Row],[Category and Sub-Category]])-FIND("/",Table1[[#This Row],[Category and Sub-Category]]))</f>
        <v>jazz</v>
      </c>
    </row>
    <row r="928" spans="1:22" ht="57.6" x14ac:dyDescent="0.3">
      <c r="A928">
        <v>926</v>
      </c>
      <c r="B928" s="3" t="s">
        <v>927</v>
      </c>
      <c r="C928" s="3" t="s">
        <v>5036</v>
      </c>
      <c r="D928" s="12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>((Table1[[#This Row],[deadline]]/60)/60/24)+DATE(1970,1,1)</f>
        <v>40367.944444444445</v>
      </c>
      <c r="K928">
        <v>1276043330</v>
      </c>
      <c r="L928" s="11">
        <f>((Table1[[#This Row],[launched_at]]/60)/60/24)+DATE(1970,1,1)</f>
        <v>40338.02002314815</v>
      </c>
      <c r="M928">
        <f>MONTH(Table1[[#This Row],[Date Created Conversion]])</f>
        <v>6</v>
      </c>
      <c r="N928">
        <f>YEAR(Table1[[#This Row],[Date Created Conversion]])</f>
        <v>2010</v>
      </c>
      <c r="O928" t="b">
        <v>0</v>
      </c>
      <c r="P928">
        <v>0</v>
      </c>
      <c r="Q928" t="b">
        <v>0</v>
      </c>
      <c r="R928" t="s">
        <v>8278</v>
      </c>
      <c r="S928" s="6">
        <f>Table1[[#This Row],[pledged]]/Table1[[#This Row],[goal]]</f>
        <v>0</v>
      </c>
      <c r="T928" s="8" t="str">
        <f>IF(Table1[[#This Row],[pledged]]=0,"no backers",Table1[[#This Row],[pledged]]/Table1[[#This Row],[backers_count]])</f>
        <v>no backers</v>
      </c>
      <c r="U928" t="str">
        <f>LEFT(Table1[[#This Row],[Category and Sub-Category]],FIND("/",Table1[[#This Row],[Category and Sub-Category]])-1)</f>
        <v>music</v>
      </c>
      <c r="V928" t="str">
        <f>RIGHT(Table1[[#This Row],[Category and Sub-Category]],LEN(Table1[[#This Row],[Category and Sub-Category]])-FIND("/",Table1[[#This Row],[Category and Sub-Category]]))</f>
        <v>jazz</v>
      </c>
    </row>
    <row r="929" spans="1:22" ht="28.8" x14ac:dyDescent="0.3">
      <c r="A929">
        <v>927</v>
      </c>
      <c r="B929" s="3" t="s">
        <v>928</v>
      </c>
      <c r="C929" s="3" t="s">
        <v>5037</v>
      </c>
      <c r="D929" s="12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>((Table1[[#This Row],[deadline]]/60)/60/24)+DATE(1970,1,1)</f>
        <v>41043.822858796295</v>
      </c>
      <c r="K929">
        <v>1334432695</v>
      </c>
      <c r="L929" s="11">
        <f>((Table1[[#This Row],[launched_at]]/60)/60/24)+DATE(1970,1,1)</f>
        <v>41013.822858796295</v>
      </c>
      <c r="M929">
        <f>MONTH(Table1[[#This Row],[Date Created Conversion]])</f>
        <v>4</v>
      </c>
      <c r="N929">
        <f>YEAR(Table1[[#This Row],[Date Created Conversion]])</f>
        <v>2012</v>
      </c>
      <c r="O929" t="b">
        <v>0</v>
      </c>
      <c r="P929">
        <v>0</v>
      </c>
      <c r="Q929" t="b">
        <v>0</v>
      </c>
      <c r="R929" t="s">
        <v>8278</v>
      </c>
      <c r="S929" s="6">
        <f>Table1[[#This Row],[pledged]]/Table1[[#This Row],[goal]]</f>
        <v>0</v>
      </c>
      <c r="T929" s="8" t="str">
        <f>IF(Table1[[#This Row],[pledged]]=0,"no backers",Table1[[#This Row],[pledged]]/Table1[[#This Row],[backers_count]])</f>
        <v>no backers</v>
      </c>
      <c r="U929" t="str">
        <f>LEFT(Table1[[#This Row],[Category and Sub-Category]],FIND("/",Table1[[#This Row],[Category and Sub-Category]])-1)</f>
        <v>music</v>
      </c>
      <c r="V929" t="str">
        <f>RIGHT(Table1[[#This Row],[Category and Sub-Category]],LEN(Table1[[#This Row],[Category and Sub-Category]])-FIND("/",Table1[[#This Row],[Category and Sub-Category]]))</f>
        <v>jazz</v>
      </c>
    </row>
    <row r="930" spans="1:22" ht="43.2" x14ac:dyDescent="0.3">
      <c r="A930">
        <v>928</v>
      </c>
      <c r="B930" s="3" t="s">
        <v>929</v>
      </c>
      <c r="C930" s="3" t="s">
        <v>5038</v>
      </c>
      <c r="D930" s="12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>((Table1[[#This Row],[deadline]]/60)/60/24)+DATE(1970,1,1)</f>
        <v>41231</v>
      </c>
      <c r="K930">
        <v>1348864913</v>
      </c>
      <c r="L930" s="11">
        <f>((Table1[[#This Row],[launched_at]]/60)/60/24)+DATE(1970,1,1)</f>
        <v>41180.86241898148</v>
      </c>
      <c r="M930">
        <f>MONTH(Table1[[#This Row],[Date Created Conversion]])</f>
        <v>9</v>
      </c>
      <c r="N930">
        <f>YEAR(Table1[[#This Row],[Date Created Conversion]])</f>
        <v>2012</v>
      </c>
      <c r="O930" t="b">
        <v>0</v>
      </c>
      <c r="P930">
        <v>28</v>
      </c>
      <c r="Q930" t="b">
        <v>0</v>
      </c>
      <c r="R930" t="s">
        <v>8278</v>
      </c>
      <c r="S930" s="6">
        <f>Table1[[#This Row],[pledged]]/Table1[[#This Row],[goal]]</f>
        <v>0.10862068965517241</v>
      </c>
      <c r="T930" s="8">
        <f>IF(Table1[[#This Row],[pledged]]=0,"no backers",Table1[[#This Row],[pledged]]/Table1[[#This Row],[backers_count]])</f>
        <v>56.25</v>
      </c>
      <c r="U930" t="str">
        <f>LEFT(Table1[[#This Row],[Category and Sub-Category]],FIND("/",Table1[[#This Row],[Category and Sub-Category]])-1)</f>
        <v>music</v>
      </c>
      <c r="V930" t="str">
        <f>RIGHT(Table1[[#This Row],[Category and Sub-Category]],LEN(Table1[[#This Row],[Category and Sub-Category]])-FIND("/",Table1[[#This Row],[Category and Sub-Category]]))</f>
        <v>jazz</v>
      </c>
    </row>
    <row r="931" spans="1:22" ht="43.2" x14ac:dyDescent="0.3">
      <c r="A931">
        <v>929</v>
      </c>
      <c r="B931" s="3" t="s">
        <v>930</v>
      </c>
      <c r="C931" s="3" t="s">
        <v>5039</v>
      </c>
      <c r="D931" s="12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>((Table1[[#This Row],[deadline]]/60)/60/24)+DATE(1970,1,1)</f>
        <v>41008.196400462963</v>
      </c>
      <c r="K931">
        <v>1331358169</v>
      </c>
      <c r="L931" s="11">
        <f>((Table1[[#This Row],[launched_at]]/60)/60/24)+DATE(1970,1,1)</f>
        <v>40978.238067129627</v>
      </c>
      <c r="M931">
        <f>MONTH(Table1[[#This Row],[Date Created Conversion]])</f>
        <v>3</v>
      </c>
      <c r="N931">
        <f>YEAR(Table1[[#This Row],[Date Created Conversion]])</f>
        <v>2012</v>
      </c>
      <c r="O931" t="b">
        <v>0</v>
      </c>
      <c r="P931">
        <v>0</v>
      </c>
      <c r="Q931" t="b">
        <v>0</v>
      </c>
      <c r="R931" t="s">
        <v>8278</v>
      </c>
      <c r="S931" s="6">
        <f>Table1[[#This Row],[pledged]]/Table1[[#This Row],[goal]]</f>
        <v>0</v>
      </c>
      <c r="T931" s="8" t="str">
        <f>IF(Table1[[#This Row],[pledged]]=0,"no backers",Table1[[#This Row],[pledged]]/Table1[[#This Row],[backers_count]])</f>
        <v>no backers</v>
      </c>
      <c r="U931" t="str">
        <f>LEFT(Table1[[#This Row],[Category and Sub-Category]],FIND("/",Table1[[#This Row],[Category and Sub-Category]])-1)</f>
        <v>music</v>
      </c>
      <c r="V931" t="str">
        <f>RIGHT(Table1[[#This Row],[Category and Sub-Category]],LEN(Table1[[#This Row],[Category and Sub-Category]])-FIND("/",Table1[[#This Row],[Category and Sub-Category]]))</f>
        <v>jazz</v>
      </c>
    </row>
    <row r="932" spans="1:22" ht="57.6" x14ac:dyDescent="0.3">
      <c r="A932">
        <v>930</v>
      </c>
      <c r="B932" s="3" t="s">
        <v>931</v>
      </c>
      <c r="C932" s="3" t="s">
        <v>5040</v>
      </c>
      <c r="D932" s="1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>((Table1[[#This Row],[deadline]]/60)/60/24)+DATE(1970,1,1)</f>
        <v>40354.897222222222</v>
      </c>
      <c r="K932">
        <v>1273874306</v>
      </c>
      <c r="L932" s="11">
        <f>((Table1[[#This Row],[launched_at]]/60)/60/24)+DATE(1970,1,1)</f>
        <v>40312.915578703702</v>
      </c>
      <c r="M932">
        <f>MONTH(Table1[[#This Row],[Date Created Conversion]])</f>
        <v>5</v>
      </c>
      <c r="N932">
        <f>YEAR(Table1[[#This Row],[Date Created Conversion]])</f>
        <v>2010</v>
      </c>
      <c r="O932" t="b">
        <v>0</v>
      </c>
      <c r="P932">
        <v>5</v>
      </c>
      <c r="Q932" t="b">
        <v>0</v>
      </c>
      <c r="R932" t="s">
        <v>8278</v>
      </c>
      <c r="S932" s="6">
        <f>Table1[[#This Row],[pledged]]/Table1[[#This Row],[goal]]</f>
        <v>0.38333333333333336</v>
      </c>
      <c r="T932" s="8">
        <f>IF(Table1[[#This Row],[pledged]]=0,"no backers",Table1[[#This Row],[pledged]]/Table1[[#This Row],[backers_count]])</f>
        <v>69</v>
      </c>
      <c r="U932" t="str">
        <f>LEFT(Table1[[#This Row],[Category and Sub-Category]],FIND("/",Table1[[#This Row],[Category and Sub-Category]])-1)</f>
        <v>music</v>
      </c>
      <c r="V932" t="str">
        <f>RIGHT(Table1[[#This Row],[Category and Sub-Category]],LEN(Table1[[#This Row],[Category and Sub-Category]])-FIND("/",Table1[[#This Row],[Category and Sub-Category]]))</f>
        <v>jazz</v>
      </c>
    </row>
    <row r="933" spans="1:22" ht="43.2" x14ac:dyDescent="0.3">
      <c r="A933">
        <v>931</v>
      </c>
      <c r="B933" s="3" t="s">
        <v>932</v>
      </c>
      <c r="C933" s="3" t="s">
        <v>5041</v>
      </c>
      <c r="D933" s="12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>((Table1[[#This Row],[deadline]]/60)/60/24)+DATE(1970,1,1)</f>
        <v>41714.916666666664</v>
      </c>
      <c r="K933">
        <v>1392021502</v>
      </c>
      <c r="L933" s="11">
        <f>((Table1[[#This Row],[launched_at]]/60)/60/24)+DATE(1970,1,1)</f>
        <v>41680.359976851854</v>
      </c>
      <c r="M933">
        <f>MONTH(Table1[[#This Row],[Date Created Conversion]])</f>
        <v>2</v>
      </c>
      <c r="N933">
        <f>YEAR(Table1[[#This Row],[Date Created Conversion]])</f>
        <v>2014</v>
      </c>
      <c r="O933" t="b">
        <v>0</v>
      </c>
      <c r="P933">
        <v>7</v>
      </c>
      <c r="Q933" t="b">
        <v>0</v>
      </c>
      <c r="R933" t="s">
        <v>8278</v>
      </c>
      <c r="S933" s="6">
        <f>Table1[[#This Row],[pledged]]/Table1[[#This Row],[goal]]</f>
        <v>6.5500000000000003E-2</v>
      </c>
      <c r="T933" s="8">
        <f>IF(Table1[[#This Row],[pledged]]=0,"no backers",Table1[[#This Row],[pledged]]/Table1[[#This Row],[backers_count]])</f>
        <v>18.714285714285715</v>
      </c>
      <c r="U933" t="str">
        <f>LEFT(Table1[[#This Row],[Category and Sub-Category]],FIND("/",Table1[[#This Row],[Category and Sub-Category]])-1)</f>
        <v>music</v>
      </c>
      <c r="V933" t="str">
        <f>RIGHT(Table1[[#This Row],[Category and Sub-Category]],LEN(Table1[[#This Row],[Category and Sub-Category]])-FIND("/",Table1[[#This Row],[Category and Sub-Category]]))</f>
        <v>jazz</v>
      </c>
    </row>
    <row r="934" spans="1:22" ht="28.8" x14ac:dyDescent="0.3">
      <c r="A934">
        <v>932</v>
      </c>
      <c r="B934" s="3" t="s">
        <v>933</v>
      </c>
      <c r="C934" s="3" t="s">
        <v>5042</v>
      </c>
      <c r="D934" s="12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>((Table1[[#This Row],[deadline]]/60)/60/24)+DATE(1970,1,1)</f>
        <v>41355.927604166667</v>
      </c>
      <c r="K934">
        <v>1360106145</v>
      </c>
      <c r="L934" s="11">
        <f>((Table1[[#This Row],[launched_at]]/60)/60/24)+DATE(1970,1,1)</f>
        <v>41310.969270833331</v>
      </c>
      <c r="M934">
        <f>MONTH(Table1[[#This Row],[Date Created Conversion]])</f>
        <v>2</v>
      </c>
      <c r="N934">
        <f>YEAR(Table1[[#This Row],[Date Created Conversion]])</f>
        <v>2013</v>
      </c>
      <c r="O934" t="b">
        <v>0</v>
      </c>
      <c r="P934">
        <v>30</v>
      </c>
      <c r="Q934" t="b">
        <v>0</v>
      </c>
      <c r="R934" t="s">
        <v>8278</v>
      </c>
      <c r="S934" s="6">
        <f>Table1[[#This Row],[pledged]]/Table1[[#This Row],[goal]]</f>
        <v>0.14536842105263159</v>
      </c>
      <c r="T934" s="8">
        <f>IF(Table1[[#This Row],[pledged]]=0,"no backers",Table1[[#This Row],[pledged]]/Table1[[#This Row],[backers_count]])</f>
        <v>46.033333333333331</v>
      </c>
      <c r="U934" t="str">
        <f>LEFT(Table1[[#This Row],[Category and Sub-Category]],FIND("/",Table1[[#This Row],[Category and Sub-Category]])-1)</f>
        <v>music</v>
      </c>
      <c r="V934" t="str">
        <f>RIGHT(Table1[[#This Row],[Category and Sub-Category]],LEN(Table1[[#This Row],[Category and Sub-Category]])-FIND("/",Table1[[#This Row],[Category and Sub-Category]]))</f>
        <v>jazz</v>
      </c>
    </row>
    <row r="935" spans="1:22" ht="43.2" x14ac:dyDescent="0.3">
      <c r="A935">
        <v>933</v>
      </c>
      <c r="B935" s="3" t="s">
        <v>934</v>
      </c>
      <c r="C935" s="3" t="s">
        <v>5043</v>
      </c>
      <c r="D935" s="12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>((Table1[[#This Row],[deadline]]/60)/60/24)+DATE(1970,1,1)</f>
        <v>41771.169085648151</v>
      </c>
      <c r="K935">
        <v>1394683409</v>
      </c>
      <c r="L935" s="11">
        <f>((Table1[[#This Row],[launched_at]]/60)/60/24)+DATE(1970,1,1)</f>
        <v>41711.169085648151</v>
      </c>
      <c r="M935">
        <f>MONTH(Table1[[#This Row],[Date Created Conversion]])</f>
        <v>3</v>
      </c>
      <c r="N935">
        <f>YEAR(Table1[[#This Row],[Date Created Conversion]])</f>
        <v>2014</v>
      </c>
      <c r="O935" t="b">
        <v>0</v>
      </c>
      <c r="P935">
        <v>2</v>
      </c>
      <c r="Q935" t="b">
        <v>0</v>
      </c>
      <c r="R935" t="s">
        <v>8278</v>
      </c>
      <c r="S935" s="6">
        <f>Table1[[#This Row],[pledged]]/Table1[[#This Row],[goal]]</f>
        <v>0.06</v>
      </c>
      <c r="T935" s="8">
        <f>IF(Table1[[#This Row],[pledged]]=0,"no backers",Table1[[#This Row],[pledged]]/Table1[[#This Row],[backers_count]])</f>
        <v>60</v>
      </c>
      <c r="U935" t="str">
        <f>LEFT(Table1[[#This Row],[Category and Sub-Category]],FIND("/",Table1[[#This Row],[Category and Sub-Category]])-1)</f>
        <v>music</v>
      </c>
      <c r="V935" t="str">
        <f>RIGHT(Table1[[#This Row],[Category and Sub-Category]],LEN(Table1[[#This Row],[Category and Sub-Category]])-FIND("/",Table1[[#This Row],[Category and Sub-Category]]))</f>
        <v>jazz</v>
      </c>
    </row>
    <row r="936" spans="1:22" ht="43.2" x14ac:dyDescent="0.3">
      <c r="A936">
        <v>934</v>
      </c>
      <c r="B936" s="3" t="s">
        <v>935</v>
      </c>
      <c r="C936" s="3" t="s">
        <v>5044</v>
      </c>
      <c r="D936" s="12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>((Table1[[#This Row],[deadline]]/60)/60/24)+DATE(1970,1,1)</f>
        <v>41763.25</v>
      </c>
      <c r="K936">
        <v>1396633284</v>
      </c>
      <c r="L936" s="11">
        <f>((Table1[[#This Row],[launched_at]]/60)/60/24)+DATE(1970,1,1)</f>
        <v>41733.737083333333</v>
      </c>
      <c r="M936">
        <f>MONTH(Table1[[#This Row],[Date Created Conversion]])</f>
        <v>4</v>
      </c>
      <c r="N936">
        <f>YEAR(Table1[[#This Row],[Date Created Conversion]])</f>
        <v>2014</v>
      </c>
      <c r="O936" t="b">
        <v>0</v>
      </c>
      <c r="P936">
        <v>30</v>
      </c>
      <c r="Q936" t="b">
        <v>0</v>
      </c>
      <c r="R936" t="s">
        <v>8278</v>
      </c>
      <c r="S936" s="6">
        <f>Table1[[#This Row],[pledged]]/Table1[[#This Row],[goal]]</f>
        <v>0.30399999999999999</v>
      </c>
      <c r="T936" s="8">
        <f>IF(Table1[[#This Row],[pledged]]=0,"no backers",Table1[[#This Row],[pledged]]/Table1[[#This Row],[backers_count]])</f>
        <v>50.666666666666664</v>
      </c>
      <c r="U936" t="str">
        <f>LEFT(Table1[[#This Row],[Category and Sub-Category]],FIND("/",Table1[[#This Row],[Category and Sub-Category]])-1)</f>
        <v>music</v>
      </c>
      <c r="V936" t="str">
        <f>RIGHT(Table1[[#This Row],[Category and Sub-Category]],LEN(Table1[[#This Row],[Category and Sub-Category]])-FIND("/",Table1[[#This Row],[Category and Sub-Category]]))</f>
        <v>jazz</v>
      </c>
    </row>
    <row r="937" spans="1:22" ht="43.2" x14ac:dyDescent="0.3">
      <c r="A937">
        <v>935</v>
      </c>
      <c r="B937" s="3" t="s">
        <v>936</v>
      </c>
      <c r="C937" s="3" t="s">
        <v>5045</v>
      </c>
      <c r="D937" s="12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>((Table1[[#This Row],[deadline]]/60)/60/24)+DATE(1970,1,1)</f>
        <v>42398.333668981482</v>
      </c>
      <c r="K937">
        <v>1451462429</v>
      </c>
      <c r="L937" s="11">
        <f>((Table1[[#This Row],[launched_at]]/60)/60/24)+DATE(1970,1,1)</f>
        <v>42368.333668981482</v>
      </c>
      <c r="M937">
        <f>MONTH(Table1[[#This Row],[Date Created Conversion]])</f>
        <v>12</v>
      </c>
      <c r="N937">
        <f>YEAR(Table1[[#This Row],[Date Created Conversion]])</f>
        <v>2015</v>
      </c>
      <c r="O937" t="b">
        <v>0</v>
      </c>
      <c r="P937">
        <v>2</v>
      </c>
      <c r="Q937" t="b">
        <v>0</v>
      </c>
      <c r="R937" t="s">
        <v>8278</v>
      </c>
      <c r="S937" s="6">
        <f>Table1[[#This Row],[pledged]]/Table1[[#This Row],[goal]]</f>
        <v>1.4285714285714285E-2</v>
      </c>
      <c r="T937" s="8">
        <f>IF(Table1[[#This Row],[pledged]]=0,"no backers",Table1[[#This Row],[pledged]]/Table1[[#This Row],[backers_count]])</f>
        <v>25</v>
      </c>
      <c r="U937" t="str">
        <f>LEFT(Table1[[#This Row],[Category and Sub-Category]],FIND("/",Table1[[#This Row],[Category and Sub-Category]])-1)</f>
        <v>music</v>
      </c>
      <c r="V937" t="str">
        <f>RIGHT(Table1[[#This Row],[Category and Sub-Category]],LEN(Table1[[#This Row],[Category and Sub-Category]])-FIND("/",Table1[[#This Row],[Category and Sub-Category]]))</f>
        <v>jazz</v>
      </c>
    </row>
    <row r="938" spans="1:22" ht="43.2" x14ac:dyDescent="0.3">
      <c r="A938">
        <v>936</v>
      </c>
      <c r="B938" s="3" t="s">
        <v>937</v>
      </c>
      <c r="C938" s="3" t="s">
        <v>5046</v>
      </c>
      <c r="D938" s="12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>((Table1[[#This Row],[deadline]]/60)/60/24)+DATE(1970,1,1)</f>
        <v>40926.833333333336</v>
      </c>
      <c r="K938">
        <v>1323131689</v>
      </c>
      <c r="L938" s="11">
        <f>((Table1[[#This Row],[launched_at]]/60)/60/24)+DATE(1970,1,1)</f>
        <v>40883.024178240739</v>
      </c>
      <c r="M938">
        <f>MONTH(Table1[[#This Row],[Date Created Conversion]])</f>
        <v>12</v>
      </c>
      <c r="N938">
        <f>YEAR(Table1[[#This Row],[Date Created Conversion]])</f>
        <v>2011</v>
      </c>
      <c r="O938" t="b">
        <v>0</v>
      </c>
      <c r="P938">
        <v>0</v>
      </c>
      <c r="Q938" t="b">
        <v>0</v>
      </c>
      <c r="R938" t="s">
        <v>8278</v>
      </c>
      <c r="S938" s="6">
        <f>Table1[[#This Row],[pledged]]/Table1[[#This Row],[goal]]</f>
        <v>0</v>
      </c>
      <c r="T938" s="8" t="str">
        <f>IF(Table1[[#This Row],[pledged]]=0,"no backers",Table1[[#This Row],[pledged]]/Table1[[#This Row],[backers_count]])</f>
        <v>no backers</v>
      </c>
      <c r="U938" t="str">
        <f>LEFT(Table1[[#This Row],[Category and Sub-Category]],FIND("/",Table1[[#This Row],[Category and Sub-Category]])-1)</f>
        <v>music</v>
      </c>
      <c r="V938" t="str">
        <f>RIGHT(Table1[[#This Row],[Category and Sub-Category]],LEN(Table1[[#This Row],[Category and Sub-Category]])-FIND("/",Table1[[#This Row],[Category and Sub-Category]]))</f>
        <v>jazz</v>
      </c>
    </row>
    <row r="939" spans="1:22" ht="43.2" x14ac:dyDescent="0.3">
      <c r="A939">
        <v>937</v>
      </c>
      <c r="B939" s="3" t="s">
        <v>938</v>
      </c>
      <c r="C939" s="3" t="s">
        <v>5047</v>
      </c>
      <c r="D939" s="12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>((Table1[[#This Row],[deadline]]/60)/60/24)+DATE(1970,1,1)</f>
        <v>41581.839780092596</v>
      </c>
      <c r="K939">
        <v>1380913757</v>
      </c>
      <c r="L939" s="11">
        <f>((Table1[[#This Row],[launched_at]]/60)/60/24)+DATE(1970,1,1)</f>
        <v>41551.798113425924</v>
      </c>
      <c r="M939">
        <f>MONTH(Table1[[#This Row],[Date Created Conversion]])</f>
        <v>10</v>
      </c>
      <c r="N939">
        <f>YEAR(Table1[[#This Row],[Date Created Conversion]])</f>
        <v>2013</v>
      </c>
      <c r="O939" t="b">
        <v>0</v>
      </c>
      <c r="P939">
        <v>2</v>
      </c>
      <c r="Q939" t="b">
        <v>0</v>
      </c>
      <c r="R939" t="s">
        <v>8278</v>
      </c>
      <c r="S939" s="6">
        <f>Table1[[#This Row],[pledged]]/Table1[[#This Row],[goal]]</f>
        <v>1.1428571428571429E-2</v>
      </c>
      <c r="T939" s="8">
        <f>IF(Table1[[#This Row],[pledged]]=0,"no backers",Table1[[#This Row],[pledged]]/Table1[[#This Row],[backers_count]])</f>
        <v>20</v>
      </c>
      <c r="U939" t="str">
        <f>LEFT(Table1[[#This Row],[Category and Sub-Category]],FIND("/",Table1[[#This Row],[Category and Sub-Category]])-1)</f>
        <v>music</v>
      </c>
      <c r="V939" t="str">
        <f>RIGHT(Table1[[#This Row],[Category and Sub-Category]],LEN(Table1[[#This Row],[Category and Sub-Category]])-FIND("/",Table1[[#This Row],[Category and Sub-Category]]))</f>
        <v>jazz</v>
      </c>
    </row>
    <row r="940" spans="1:22" ht="43.2" x14ac:dyDescent="0.3">
      <c r="A940">
        <v>938</v>
      </c>
      <c r="B940" s="3" t="s">
        <v>939</v>
      </c>
      <c r="C940" s="3" t="s">
        <v>5048</v>
      </c>
      <c r="D940" s="12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>((Table1[[#This Row],[deadline]]/60)/60/24)+DATE(1970,1,1)</f>
        <v>41154.479722222226</v>
      </c>
      <c r="K940">
        <v>1343993448</v>
      </c>
      <c r="L940" s="11">
        <f>((Table1[[#This Row],[launched_at]]/60)/60/24)+DATE(1970,1,1)</f>
        <v>41124.479722222226</v>
      </c>
      <c r="M940">
        <f>MONTH(Table1[[#This Row],[Date Created Conversion]])</f>
        <v>8</v>
      </c>
      <c r="N940">
        <f>YEAR(Table1[[#This Row],[Date Created Conversion]])</f>
        <v>2012</v>
      </c>
      <c r="O940" t="b">
        <v>0</v>
      </c>
      <c r="P940">
        <v>1</v>
      </c>
      <c r="Q940" t="b">
        <v>0</v>
      </c>
      <c r="R940" t="s">
        <v>8278</v>
      </c>
      <c r="S940" s="6">
        <f>Table1[[#This Row],[pledged]]/Table1[[#This Row],[goal]]</f>
        <v>3.5714285714285713E-3</v>
      </c>
      <c r="T940" s="8">
        <f>IF(Table1[[#This Row],[pledged]]=0,"no backers",Table1[[#This Row],[pledged]]/Table1[[#This Row],[backers_count]])</f>
        <v>25</v>
      </c>
      <c r="U940" t="str">
        <f>LEFT(Table1[[#This Row],[Category and Sub-Category]],FIND("/",Table1[[#This Row],[Category and Sub-Category]])-1)</f>
        <v>music</v>
      </c>
      <c r="V940" t="str">
        <f>RIGHT(Table1[[#This Row],[Category and Sub-Category]],LEN(Table1[[#This Row],[Category and Sub-Category]])-FIND("/",Table1[[#This Row],[Category and Sub-Category]]))</f>
        <v>jazz</v>
      </c>
    </row>
    <row r="941" spans="1:22" ht="43.2" x14ac:dyDescent="0.3">
      <c r="A941">
        <v>939</v>
      </c>
      <c r="B941" s="3" t="s">
        <v>940</v>
      </c>
      <c r="C941" s="3" t="s">
        <v>5049</v>
      </c>
      <c r="D941" s="12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>((Table1[[#This Row],[deadline]]/60)/60/24)+DATE(1970,1,1)</f>
        <v>41455.831944444442</v>
      </c>
      <c r="K941">
        <v>1369246738</v>
      </c>
      <c r="L941" s="11">
        <f>((Table1[[#This Row],[launched_at]]/60)/60/24)+DATE(1970,1,1)</f>
        <v>41416.763171296298</v>
      </c>
      <c r="M941">
        <f>MONTH(Table1[[#This Row],[Date Created Conversion]])</f>
        <v>5</v>
      </c>
      <c r="N941">
        <f>YEAR(Table1[[#This Row],[Date Created Conversion]])</f>
        <v>2013</v>
      </c>
      <c r="O941" t="b">
        <v>0</v>
      </c>
      <c r="P941">
        <v>2</v>
      </c>
      <c r="Q941" t="b">
        <v>0</v>
      </c>
      <c r="R941" t="s">
        <v>8278</v>
      </c>
      <c r="S941" s="6">
        <f>Table1[[#This Row],[pledged]]/Table1[[#This Row],[goal]]</f>
        <v>1.4545454545454545E-2</v>
      </c>
      <c r="T941" s="8">
        <f>IF(Table1[[#This Row],[pledged]]=0,"no backers",Table1[[#This Row],[pledged]]/Table1[[#This Row],[backers_count]])</f>
        <v>20</v>
      </c>
      <c r="U941" t="str">
        <f>LEFT(Table1[[#This Row],[Category and Sub-Category]],FIND("/",Table1[[#This Row],[Category and Sub-Category]])-1)</f>
        <v>music</v>
      </c>
      <c r="V941" t="str">
        <f>RIGHT(Table1[[#This Row],[Category and Sub-Category]],LEN(Table1[[#This Row],[Category and Sub-Category]])-FIND("/",Table1[[#This Row],[Category and Sub-Category]]))</f>
        <v>jazz</v>
      </c>
    </row>
    <row r="942" spans="1:22" ht="43.2" x14ac:dyDescent="0.3">
      <c r="A942">
        <v>940</v>
      </c>
      <c r="B942" s="3" t="s">
        <v>941</v>
      </c>
      <c r="C942" s="3" t="s">
        <v>5050</v>
      </c>
      <c r="D942" s="1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>((Table1[[#This Row],[deadline]]/60)/60/24)+DATE(1970,1,1)</f>
        <v>42227.008402777778</v>
      </c>
      <c r="K942">
        <v>1435363926</v>
      </c>
      <c r="L942" s="11">
        <f>((Table1[[#This Row],[launched_at]]/60)/60/24)+DATE(1970,1,1)</f>
        <v>42182.008402777778</v>
      </c>
      <c r="M942">
        <f>MONTH(Table1[[#This Row],[Date Created Conversion]])</f>
        <v>6</v>
      </c>
      <c r="N942">
        <f>YEAR(Table1[[#This Row],[Date Created Conversion]])</f>
        <v>2015</v>
      </c>
      <c r="O942" t="b">
        <v>0</v>
      </c>
      <c r="P942">
        <v>14</v>
      </c>
      <c r="Q942" t="b">
        <v>0</v>
      </c>
      <c r="R942" t="s">
        <v>8273</v>
      </c>
      <c r="S942" s="6">
        <f>Table1[[#This Row],[pledged]]/Table1[[#This Row],[goal]]</f>
        <v>0.17155555555555554</v>
      </c>
      <c r="T942" s="8">
        <f>IF(Table1[[#This Row],[pledged]]=0,"no backers",Table1[[#This Row],[pledged]]/Table1[[#This Row],[backers_count]])</f>
        <v>110.28571428571429</v>
      </c>
      <c r="U942" t="str">
        <f>LEFT(Table1[[#This Row],[Category and Sub-Category]],FIND("/",Table1[[#This Row],[Category and Sub-Category]])-1)</f>
        <v>technology</v>
      </c>
      <c r="V942" t="str">
        <f>RIGHT(Table1[[#This Row],[Category and Sub-Category]],LEN(Table1[[#This Row],[Category and Sub-Category]])-FIND("/",Table1[[#This Row],[Category and Sub-Category]]))</f>
        <v>wearables</v>
      </c>
    </row>
    <row r="943" spans="1:22" ht="57.6" x14ac:dyDescent="0.3">
      <c r="A943">
        <v>941</v>
      </c>
      <c r="B943" s="3" t="s">
        <v>942</v>
      </c>
      <c r="C943" s="3" t="s">
        <v>5051</v>
      </c>
      <c r="D943" s="12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>((Table1[[#This Row],[deadline]]/60)/60/24)+DATE(1970,1,1)</f>
        <v>42776.096585648149</v>
      </c>
      <c r="K943">
        <v>1484101145</v>
      </c>
      <c r="L943" s="11">
        <f>((Table1[[#This Row],[launched_at]]/60)/60/24)+DATE(1970,1,1)</f>
        <v>42746.096585648149</v>
      </c>
      <c r="M943">
        <f>MONTH(Table1[[#This Row],[Date Created Conversion]])</f>
        <v>1</v>
      </c>
      <c r="N943">
        <f>YEAR(Table1[[#This Row],[Date Created Conversion]])</f>
        <v>2017</v>
      </c>
      <c r="O943" t="b">
        <v>0</v>
      </c>
      <c r="P943">
        <v>31</v>
      </c>
      <c r="Q943" t="b">
        <v>0</v>
      </c>
      <c r="R943" t="s">
        <v>8273</v>
      </c>
      <c r="S943" s="6">
        <f>Table1[[#This Row],[pledged]]/Table1[[#This Row],[goal]]</f>
        <v>2.3220000000000001E-2</v>
      </c>
      <c r="T943" s="8">
        <f>IF(Table1[[#This Row],[pledged]]=0,"no backers",Table1[[#This Row],[pledged]]/Table1[[#This Row],[backers_count]])</f>
        <v>37.451612903225808</v>
      </c>
      <c r="U943" t="str">
        <f>LEFT(Table1[[#This Row],[Category and Sub-Category]],FIND("/",Table1[[#This Row],[Category and Sub-Category]])-1)</f>
        <v>technology</v>
      </c>
      <c r="V943" t="str">
        <f>RIGHT(Table1[[#This Row],[Category and Sub-Category]],LEN(Table1[[#This Row],[Category and Sub-Category]])-FIND("/",Table1[[#This Row],[Category and Sub-Category]]))</f>
        <v>wearables</v>
      </c>
    </row>
    <row r="944" spans="1:22" ht="57.6" x14ac:dyDescent="0.3">
      <c r="A944">
        <v>942</v>
      </c>
      <c r="B944" s="3" t="s">
        <v>943</v>
      </c>
      <c r="C944" s="3" t="s">
        <v>5052</v>
      </c>
      <c r="D944" s="12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>((Table1[[#This Row],[deadline]]/60)/60/24)+DATE(1970,1,1)</f>
        <v>42418.843287037031</v>
      </c>
      <c r="K944">
        <v>1452716060</v>
      </c>
      <c r="L944" s="11">
        <f>((Table1[[#This Row],[launched_at]]/60)/60/24)+DATE(1970,1,1)</f>
        <v>42382.843287037031</v>
      </c>
      <c r="M944">
        <f>MONTH(Table1[[#This Row],[Date Created Conversion]])</f>
        <v>1</v>
      </c>
      <c r="N944">
        <f>YEAR(Table1[[#This Row],[Date Created Conversion]])</f>
        <v>2016</v>
      </c>
      <c r="O944" t="b">
        <v>0</v>
      </c>
      <c r="P944">
        <v>16</v>
      </c>
      <c r="Q944" t="b">
        <v>0</v>
      </c>
      <c r="R944" t="s">
        <v>8273</v>
      </c>
      <c r="S944" s="6">
        <f>Table1[[#This Row],[pledged]]/Table1[[#This Row],[goal]]</f>
        <v>8.9066666666666669E-2</v>
      </c>
      <c r="T944" s="8">
        <f>IF(Table1[[#This Row],[pledged]]=0,"no backers",Table1[[#This Row],[pledged]]/Table1[[#This Row],[backers_count]])</f>
        <v>41.75</v>
      </c>
      <c r="U944" t="str">
        <f>LEFT(Table1[[#This Row],[Category and Sub-Category]],FIND("/",Table1[[#This Row],[Category and Sub-Category]])-1)</f>
        <v>technology</v>
      </c>
      <c r="V944" t="str">
        <f>RIGHT(Table1[[#This Row],[Category and Sub-Category]],LEN(Table1[[#This Row],[Category and Sub-Category]])-FIND("/",Table1[[#This Row],[Category and Sub-Category]]))</f>
        <v>wearables</v>
      </c>
    </row>
    <row r="945" spans="1:22" ht="28.8" x14ac:dyDescent="0.3">
      <c r="A945">
        <v>943</v>
      </c>
      <c r="B945" s="3" t="s">
        <v>944</v>
      </c>
      <c r="C945" s="3" t="s">
        <v>5053</v>
      </c>
      <c r="D945" s="12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>((Table1[[#This Row],[deadline]]/60)/60/24)+DATE(1970,1,1)</f>
        <v>42703.709548611107</v>
      </c>
      <c r="K945">
        <v>1477843305</v>
      </c>
      <c r="L945" s="11">
        <f>((Table1[[#This Row],[launched_at]]/60)/60/24)+DATE(1970,1,1)</f>
        <v>42673.66788194445</v>
      </c>
      <c r="M945">
        <f>MONTH(Table1[[#This Row],[Date Created Conversion]])</f>
        <v>10</v>
      </c>
      <c r="N945">
        <f>YEAR(Table1[[#This Row],[Date Created Conversion]])</f>
        <v>2016</v>
      </c>
      <c r="O945" t="b">
        <v>0</v>
      </c>
      <c r="P945">
        <v>12</v>
      </c>
      <c r="Q945" t="b">
        <v>0</v>
      </c>
      <c r="R945" t="s">
        <v>8273</v>
      </c>
      <c r="S945" s="6">
        <f>Table1[[#This Row],[pledged]]/Table1[[#This Row],[goal]]</f>
        <v>9.633333333333334E-2</v>
      </c>
      <c r="T945" s="8">
        <f>IF(Table1[[#This Row],[pledged]]=0,"no backers",Table1[[#This Row],[pledged]]/Table1[[#This Row],[backers_count]])</f>
        <v>24.083333333333332</v>
      </c>
      <c r="U945" t="str">
        <f>LEFT(Table1[[#This Row],[Category and Sub-Category]],FIND("/",Table1[[#This Row],[Category and Sub-Category]])-1)</f>
        <v>technology</v>
      </c>
      <c r="V945" t="str">
        <f>RIGHT(Table1[[#This Row],[Category and Sub-Category]],LEN(Table1[[#This Row],[Category and Sub-Category]])-FIND("/",Table1[[#This Row],[Category and Sub-Category]]))</f>
        <v>wearables</v>
      </c>
    </row>
    <row r="946" spans="1:22" ht="43.2" x14ac:dyDescent="0.3">
      <c r="A946">
        <v>944</v>
      </c>
      <c r="B946" s="3" t="s">
        <v>945</v>
      </c>
      <c r="C946" s="3" t="s">
        <v>5054</v>
      </c>
      <c r="D946" s="12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>((Table1[[#This Row],[deadline]]/60)/60/24)+DATE(1970,1,1)</f>
        <v>42478.583333333328</v>
      </c>
      <c r="K946">
        <v>1458050450</v>
      </c>
      <c r="L946" s="11">
        <f>((Table1[[#This Row],[launched_at]]/60)/60/24)+DATE(1970,1,1)</f>
        <v>42444.583912037036</v>
      </c>
      <c r="M946">
        <f>MONTH(Table1[[#This Row],[Date Created Conversion]])</f>
        <v>3</v>
      </c>
      <c r="N946">
        <f>YEAR(Table1[[#This Row],[Date Created Conversion]])</f>
        <v>2016</v>
      </c>
      <c r="O946" t="b">
        <v>0</v>
      </c>
      <c r="P946">
        <v>96</v>
      </c>
      <c r="Q946" t="b">
        <v>0</v>
      </c>
      <c r="R946" t="s">
        <v>8273</v>
      </c>
      <c r="S946" s="6">
        <f>Table1[[#This Row],[pledged]]/Table1[[#This Row],[goal]]</f>
        <v>0.13325999999999999</v>
      </c>
      <c r="T946" s="8">
        <f>IF(Table1[[#This Row],[pledged]]=0,"no backers",Table1[[#This Row],[pledged]]/Table1[[#This Row],[backers_count]])</f>
        <v>69.40625</v>
      </c>
      <c r="U946" t="str">
        <f>LEFT(Table1[[#This Row],[Category and Sub-Category]],FIND("/",Table1[[#This Row],[Category and Sub-Category]])-1)</f>
        <v>technology</v>
      </c>
      <c r="V946" t="str">
        <f>RIGHT(Table1[[#This Row],[Category and Sub-Category]],LEN(Table1[[#This Row],[Category and Sub-Category]])-FIND("/",Table1[[#This Row],[Category and Sub-Category]]))</f>
        <v>wearables</v>
      </c>
    </row>
    <row r="947" spans="1:22" ht="43.2" x14ac:dyDescent="0.3">
      <c r="A947">
        <v>945</v>
      </c>
      <c r="B947" s="3" t="s">
        <v>946</v>
      </c>
      <c r="C947" s="3" t="s">
        <v>5055</v>
      </c>
      <c r="D947" s="12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>((Table1[[#This Row],[deadline]]/60)/60/24)+DATE(1970,1,1)</f>
        <v>42784.999305555553</v>
      </c>
      <c r="K947">
        <v>1482958626</v>
      </c>
      <c r="L947" s="11">
        <f>((Table1[[#This Row],[launched_at]]/60)/60/24)+DATE(1970,1,1)</f>
        <v>42732.872986111113</v>
      </c>
      <c r="M947">
        <f>MONTH(Table1[[#This Row],[Date Created Conversion]])</f>
        <v>12</v>
      </c>
      <c r="N947">
        <f>YEAR(Table1[[#This Row],[Date Created Conversion]])</f>
        <v>2016</v>
      </c>
      <c r="O947" t="b">
        <v>0</v>
      </c>
      <c r="P947">
        <v>16</v>
      </c>
      <c r="Q947" t="b">
        <v>0</v>
      </c>
      <c r="R947" t="s">
        <v>8273</v>
      </c>
      <c r="S947" s="6">
        <f>Table1[[#This Row],[pledged]]/Table1[[#This Row],[goal]]</f>
        <v>2.4840000000000001E-2</v>
      </c>
      <c r="T947" s="8">
        <f>IF(Table1[[#This Row],[pledged]]=0,"no backers",Table1[[#This Row],[pledged]]/Table1[[#This Row],[backers_count]])</f>
        <v>155.25</v>
      </c>
      <c r="U947" t="str">
        <f>LEFT(Table1[[#This Row],[Category and Sub-Category]],FIND("/",Table1[[#This Row],[Category and Sub-Category]])-1)</f>
        <v>technology</v>
      </c>
      <c r="V947" t="str">
        <f>RIGHT(Table1[[#This Row],[Category and Sub-Category]],LEN(Table1[[#This Row],[Category and Sub-Category]])-FIND("/",Table1[[#This Row],[Category and Sub-Category]]))</f>
        <v>wearables</v>
      </c>
    </row>
    <row r="948" spans="1:22" ht="43.2" x14ac:dyDescent="0.3">
      <c r="A948">
        <v>946</v>
      </c>
      <c r="B948" s="3" t="s">
        <v>947</v>
      </c>
      <c r="C948" s="3" t="s">
        <v>5056</v>
      </c>
      <c r="D948" s="12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>((Table1[[#This Row],[deadline]]/60)/60/24)+DATE(1970,1,1)</f>
        <v>42622.750555555554</v>
      </c>
      <c r="K948">
        <v>1470852048</v>
      </c>
      <c r="L948" s="11">
        <f>((Table1[[#This Row],[launched_at]]/60)/60/24)+DATE(1970,1,1)</f>
        <v>42592.750555555554</v>
      </c>
      <c r="M948">
        <f>MONTH(Table1[[#This Row],[Date Created Conversion]])</f>
        <v>8</v>
      </c>
      <c r="N948">
        <f>YEAR(Table1[[#This Row],[Date Created Conversion]])</f>
        <v>2016</v>
      </c>
      <c r="O948" t="b">
        <v>0</v>
      </c>
      <c r="P948">
        <v>5</v>
      </c>
      <c r="Q948" t="b">
        <v>0</v>
      </c>
      <c r="R948" t="s">
        <v>8273</v>
      </c>
      <c r="S948" s="6">
        <f>Table1[[#This Row],[pledged]]/Table1[[#This Row],[goal]]</f>
        <v>1.9066666666666666E-2</v>
      </c>
      <c r="T948" s="8">
        <f>IF(Table1[[#This Row],[pledged]]=0,"no backers",Table1[[#This Row],[pledged]]/Table1[[#This Row],[backers_count]])</f>
        <v>57.2</v>
      </c>
      <c r="U948" t="str">
        <f>LEFT(Table1[[#This Row],[Category and Sub-Category]],FIND("/",Table1[[#This Row],[Category and Sub-Category]])-1)</f>
        <v>technology</v>
      </c>
      <c r="V948" t="str">
        <f>RIGHT(Table1[[#This Row],[Category and Sub-Category]],LEN(Table1[[#This Row],[Category and Sub-Category]])-FIND("/",Table1[[#This Row],[Category and Sub-Category]]))</f>
        <v>wearables</v>
      </c>
    </row>
    <row r="949" spans="1:22" ht="43.2" x14ac:dyDescent="0.3">
      <c r="A949">
        <v>947</v>
      </c>
      <c r="B949" s="3" t="s">
        <v>948</v>
      </c>
      <c r="C949" s="3" t="s">
        <v>5057</v>
      </c>
      <c r="D949" s="12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>((Table1[[#This Row],[deadline]]/60)/60/24)+DATE(1970,1,1)</f>
        <v>42551.781319444446</v>
      </c>
      <c r="K949">
        <v>1462128306</v>
      </c>
      <c r="L949" s="11">
        <f>((Table1[[#This Row],[launched_at]]/60)/60/24)+DATE(1970,1,1)</f>
        <v>42491.781319444446</v>
      </c>
      <c r="M949">
        <f>MONTH(Table1[[#This Row],[Date Created Conversion]])</f>
        <v>5</v>
      </c>
      <c r="N949">
        <f>YEAR(Table1[[#This Row],[Date Created Conversion]])</f>
        <v>2016</v>
      </c>
      <c r="O949" t="b">
        <v>0</v>
      </c>
      <c r="P949">
        <v>0</v>
      </c>
      <c r="Q949" t="b">
        <v>0</v>
      </c>
      <c r="R949" t="s">
        <v>8273</v>
      </c>
      <c r="S949" s="6">
        <f>Table1[[#This Row],[pledged]]/Table1[[#This Row],[goal]]</f>
        <v>0</v>
      </c>
      <c r="T949" s="8" t="str">
        <f>IF(Table1[[#This Row],[pledged]]=0,"no backers",Table1[[#This Row],[pledged]]/Table1[[#This Row],[backers_count]])</f>
        <v>no backers</v>
      </c>
      <c r="U949" t="str">
        <f>LEFT(Table1[[#This Row],[Category and Sub-Category]],FIND("/",Table1[[#This Row],[Category and Sub-Category]])-1)</f>
        <v>technology</v>
      </c>
      <c r="V949" t="str">
        <f>RIGHT(Table1[[#This Row],[Category and Sub-Category]],LEN(Table1[[#This Row],[Category and Sub-Category]])-FIND("/",Table1[[#This Row],[Category and Sub-Category]]))</f>
        <v>wearables</v>
      </c>
    </row>
    <row r="950" spans="1:22" ht="57.6" x14ac:dyDescent="0.3">
      <c r="A950">
        <v>948</v>
      </c>
      <c r="B950" s="3" t="s">
        <v>949</v>
      </c>
      <c r="C950" s="3" t="s">
        <v>5058</v>
      </c>
      <c r="D950" s="12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>((Table1[[#This Row],[deadline]]/60)/60/24)+DATE(1970,1,1)</f>
        <v>42441.828287037039</v>
      </c>
      <c r="K950">
        <v>1455220364</v>
      </c>
      <c r="L950" s="11">
        <f>((Table1[[#This Row],[launched_at]]/60)/60/24)+DATE(1970,1,1)</f>
        <v>42411.828287037039</v>
      </c>
      <c r="M950">
        <f>MONTH(Table1[[#This Row],[Date Created Conversion]])</f>
        <v>2</v>
      </c>
      <c r="N950">
        <f>YEAR(Table1[[#This Row],[Date Created Conversion]])</f>
        <v>2016</v>
      </c>
      <c r="O950" t="b">
        <v>0</v>
      </c>
      <c r="P950">
        <v>8</v>
      </c>
      <c r="Q950" t="b">
        <v>0</v>
      </c>
      <c r="R950" t="s">
        <v>8273</v>
      </c>
      <c r="S950" s="6">
        <f>Table1[[#This Row],[pledged]]/Table1[[#This Row],[goal]]</f>
        <v>0.12</v>
      </c>
      <c r="T950" s="8">
        <f>IF(Table1[[#This Row],[pledged]]=0,"no backers",Table1[[#This Row],[pledged]]/Table1[[#This Row],[backers_count]])</f>
        <v>60</v>
      </c>
      <c r="U950" t="str">
        <f>LEFT(Table1[[#This Row],[Category and Sub-Category]],FIND("/",Table1[[#This Row],[Category and Sub-Category]])-1)</f>
        <v>technology</v>
      </c>
      <c r="V950" t="str">
        <f>RIGHT(Table1[[#This Row],[Category and Sub-Category]],LEN(Table1[[#This Row],[Category and Sub-Category]])-FIND("/",Table1[[#This Row],[Category and Sub-Category]]))</f>
        <v>wearables</v>
      </c>
    </row>
    <row r="951" spans="1:22" ht="43.2" x14ac:dyDescent="0.3">
      <c r="A951">
        <v>949</v>
      </c>
      <c r="B951" s="3" t="s">
        <v>950</v>
      </c>
      <c r="C951" s="3" t="s">
        <v>5059</v>
      </c>
      <c r="D951" s="12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>((Table1[[#This Row],[deadline]]/60)/60/24)+DATE(1970,1,1)</f>
        <v>42421.043703703705</v>
      </c>
      <c r="K951">
        <v>1450832576</v>
      </c>
      <c r="L951" s="11">
        <f>((Table1[[#This Row],[launched_at]]/60)/60/24)+DATE(1970,1,1)</f>
        <v>42361.043703703705</v>
      </c>
      <c r="M951">
        <f>MONTH(Table1[[#This Row],[Date Created Conversion]])</f>
        <v>12</v>
      </c>
      <c r="N951">
        <f>YEAR(Table1[[#This Row],[Date Created Conversion]])</f>
        <v>2015</v>
      </c>
      <c r="O951" t="b">
        <v>0</v>
      </c>
      <c r="P951">
        <v>7</v>
      </c>
      <c r="Q951" t="b">
        <v>0</v>
      </c>
      <c r="R951" t="s">
        <v>8273</v>
      </c>
      <c r="S951" s="6">
        <f>Table1[[#This Row],[pledged]]/Table1[[#This Row],[goal]]</f>
        <v>1.3650000000000001E-2</v>
      </c>
      <c r="T951" s="8">
        <f>IF(Table1[[#This Row],[pledged]]=0,"no backers",Table1[[#This Row],[pledged]]/Table1[[#This Row],[backers_count]])</f>
        <v>39</v>
      </c>
      <c r="U951" t="str">
        <f>LEFT(Table1[[#This Row],[Category and Sub-Category]],FIND("/",Table1[[#This Row],[Category and Sub-Category]])-1)</f>
        <v>technology</v>
      </c>
      <c r="V951" t="str">
        <f>RIGHT(Table1[[#This Row],[Category and Sub-Category]],LEN(Table1[[#This Row],[Category and Sub-Category]])-FIND("/",Table1[[#This Row],[Category and Sub-Category]]))</f>
        <v>wearables</v>
      </c>
    </row>
    <row r="952" spans="1:22" ht="43.2" x14ac:dyDescent="0.3">
      <c r="A952">
        <v>950</v>
      </c>
      <c r="B952" s="3" t="s">
        <v>951</v>
      </c>
      <c r="C952" s="3" t="s">
        <v>5060</v>
      </c>
      <c r="D952" s="1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>((Table1[[#This Row],[deadline]]/60)/60/24)+DATE(1970,1,1)</f>
        <v>42386.750706018516</v>
      </c>
      <c r="K952">
        <v>1450461661</v>
      </c>
      <c r="L952" s="11">
        <f>((Table1[[#This Row],[launched_at]]/60)/60/24)+DATE(1970,1,1)</f>
        <v>42356.750706018516</v>
      </c>
      <c r="M952">
        <f>MONTH(Table1[[#This Row],[Date Created Conversion]])</f>
        <v>12</v>
      </c>
      <c r="N952">
        <f>YEAR(Table1[[#This Row],[Date Created Conversion]])</f>
        <v>2015</v>
      </c>
      <c r="O952" t="b">
        <v>0</v>
      </c>
      <c r="P952">
        <v>24</v>
      </c>
      <c r="Q952" t="b">
        <v>0</v>
      </c>
      <c r="R952" t="s">
        <v>8273</v>
      </c>
      <c r="S952" s="6">
        <f>Table1[[#This Row],[pledged]]/Table1[[#This Row],[goal]]</f>
        <v>0.28039999999999998</v>
      </c>
      <c r="T952" s="8">
        <f>IF(Table1[[#This Row],[pledged]]=0,"no backers",Table1[[#This Row],[pledged]]/Table1[[#This Row],[backers_count]])</f>
        <v>58.416666666666664</v>
      </c>
      <c r="U952" t="str">
        <f>LEFT(Table1[[#This Row],[Category and Sub-Category]],FIND("/",Table1[[#This Row],[Category and Sub-Category]])-1)</f>
        <v>technology</v>
      </c>
      <c r="V952" t="str">
        <f>RIGHT(Table1[[#This Row],[Category and Sub-Category]],LEN(Table1[[#This Row],[Category and Sub-Category]])-FIND("/",Table1[[#This Row],[Category and Sub-Category]]))</f>
        <v>wearables</v>
      </c>
    </row>
    <row r="953" spans="1:22" x14ac:dyDescent="0.3">
      <c r="A953">
        <v>951</v>
      </c>
      <c r="B953" s="3" t="s">
        <v>952</v>
      </c>
      <c r="C953" s="3" t="s">
        <v>5061</v>
      </c>
      <c r="D953" s="12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>((Table1[[#This Row],[deadline]]/60)/60/24)+DATE(1970,1,1)</f>
        <v>42525.653611111105</v>
      </c>
      <c r="K953">
        <v>1461166872</v>
      </c>
      <c r="L953" s="11">
        <f>((Table1[[#This Row],[launched_at]]/60)/60/24)+DATE(1970,1,1)</f>
        <v>42480.653611111105</v>
      </c>
      <c r="M953">
        <f>MONTH(Table1[[#This Row],[Date Created Conversion]])</f>
        <v>4</v>
      </c>
      <c r="N953">
        <f>YEAR(Table1[[#This Row],[Date Created Conversion]])</f>
        <v>2016</v>
      </c>
      <c r="O953" t="b">
        <v>0</v>
      </c>
      <c r="P953">
        <v>121</v>
      </c>
      <c r="Q953" t="b">
        <v>0</v>
      </c>
      <c r="R953" t="s">
        <v>8273</v>
      </c>
      <c r="S953" s="6">
        <f>Table1[[#This Row],[pledged]]/Table1[[#This Row],[goal]]</f>
        <v>0.38390000000000002</v>
      </c>
      <c r="T953" s="8">
        <f>IF(Table1[[#This Row],[pledged]]=0,"no backers",Table1[[#This Row],[pledged]]/Table1[[#This Row],[backers_count]])</f>
        <v>158.63636363636363</v>
      </c>
      <c r="U953" t="str">
        <f>LEFT(Table1[[#This Row],[Category and Sub-Category]],FIND("/",Table1[[#This Row],[Category and Sub-Category]])-1)</f>
        <v>technology</v>
      </c>
      <c r="V953" t="str">
        <f>RIGHT(Table1[[#This Row],[Category and Sub-Category]],LEN(Table1[[#This Row],[Category and Sub-Category]])-FIND("/",Table1[[#This Row],[Category and Sub-Category]]))</f>
        <v>wearables</v>
      </c>
    </row>
    <row r="954" spans="1:22" ht="28.8" x14ac:dyDescent="0.3">
      <c r="A954">
        <v>952</v>
      </c>
      <c r="B954" s="3" t="s">
        <v>953</v>
      </c>
      <c r="C954" s="3" t="s">
        <v>5062</v>
      </c>
      <c r="D954" s="12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>((Table1[[#This Row],[deadline]]/60)/60/24)+DATE(1970,1,1)</f>
        <v>42692.655231481483</v>
      </c>
      <c r="K954">
        <v>1476888212</v>
      </c>
      <c r="L954" s="11">
        <f>((Table1[[#This Row],[launched_at]]/60)/60/24)+DATE(1970,1,1)</f>
        <v>42662.613564814819</v>
      </c>
      <c r="M954">
        <f>MONTH(Table1[[#This Row],[Date Created Conversion]])</f>
        <v>10</v>
      </c>
      <c r="N954">
        <f>YEAR(Table1[[#This Row],[Date Created Conversion]])</f>
        <v>2016</v>
      </c>
      <c r="O954" t="b">
        <v>0</v>
      </c>
      <c r="P954">
        <v>196</v>
      </c>
      <c r="Q954" t="b">
        <v>0</v>
      </c>
      <c r="R954" t="s">
        <v>8273</v>
      </c>
      <c r="S954" s="6">
        <f>Table1[[#This Row],[pledged]]/Table1[[#This Row],[goal]]</f>
        <v>0.39942857142857141</v>
      </c>
      <c r="T954" s="8">
        <f>IF(Table1[[#This Row],[pledged]]=0,"no backers",Table1[[#This Row],[pledged]]/Table1[[#This Row],[backers_count]])</f>
        <v>99.857142857142861</v>
      </c>
      <c r="U954" t="str">
        <f>LEFT(Table1[[#This Row],[Category and Sub-Category]],FIND("/",Table1[[#This Row],[Category and Sub-Category]])-1)</f>
        <v>technology</v>
      </c>
      <c r="V954" t="str">
        <f>RIGHT(Table1[[#This Row],[Category and Sub-Category]],LEN(Table1[[#This Row],[Category and Sub-Category]])-FIND("/",Table1[[#This Row],[Category and Sub-Category]]))</f>
        <v>wearables</v>
      </c>
    </row>
    <row r="955" spans="1:22" ht="43.2" x14ac:dyDescent="0.3">
      <c r="A955">
        <v>953</v>
      </c>
      <c r="B955" s="3" t="s">
        <v>954</v>
      </c>
      <c r="C955" s="3" t="s">
        <v>5063</v>
      </c>
      <c r="D955" s="12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>((Table1[[#This Row],[deadline]]/60)/60/24)+DATE(1970,1,1)</f>
        <v>42029.164340277777</v>
      </c>
      <c r="K955">
        <v>1419566199</v>
      </c>
      <c r="L955" s="11">
        <f>((Table1[[#This Row],[launched_at]]/60)/60/24)+DATE(1970,1,1)</f>
        <v>41999.164340277777</v>
      </c>
      <c r="M955">
        <f>MONTH(Table1[[#This Row],[Date Created Conversion]])</f>
        <v>12</v>
      </c>
      <c r="N955">
        <f>YEAR(Table1[[#This Row],[Date Created Conversion]])</f>
        <v>2014</v>
      </c>
      <c r="O955" t="b">
        <v>0</v>
      </c>
      <c r="P955">
        <v>5</v>
      </c>
      <c r="Q955" t="b">
        <v>0</v>
      </c>
      <c r="R955" t="s">
        <v>8273</v>
      </c>
      <c r="S955" s="6">
        <f>Table1[[#This Row],[pledged]]/Table1[[#This Row],[goal]]</f>
        <v>8.3999999999999995E-3</v>
      </c>
      <c r="T955" s="8">
        <f>IF(Table1[[#This Row],[pledged]]=0,"no backers",Table1[[#This Row],[pledged]]/Table1[[#This Row],[backers_count]])</f>
        <v>25.2</v>
      </c>
      <c r="U955" t="str">
        <f>LEFT(Table1[[#This Row],[Category and Sub-Category]],FIND("/",Table1[[#This Row],[Category and Sub-Category]])-1)</f>
        <v>technology</v>
      </c>
      <c r="V955" t="str">
        <f>RIGHT(Table1[[#This Row],[Category and Sub-Category]],LEN(Table1[[#This Row],[Category and Sub-Category]])-FIND("/",Table1[[#This Row],[Category and Sub-Category]]))</f>
        <v>wearables</v>
      </c>
    </row>
    <row r="956" spans="1:22" ht="43.2" x14ac:dyDescent="0.3">
      <c r="A956">
        <v>954</v>
      </c>
      <c r="B956" s="3" t="s">
        <v>955</v>
      </c>
      <c r="C956" s="3" t="s">
        <v>5064</v>
      </c>
      <c r="D956" s="12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>((Table1[[#This Row],[deadline]]/60)/60/24)+DATE(1970,1,1)</f>
        <v>42236.833784722221</v>
      </c>
      <c r="K956">
        <v>1436472039</v>
      </c>
      <c r="L956" s="11">
        <f>((Table1[[#This Row],[launched_at]]/60)/60/24)+DATE(1970,1,1)</f>
        <v>42194.833784722221</v>
      </c>
      <c r="M956">
        <f>MONTH(Table1[[#This Row],[Date Created Conversion]])</f>
        <v>7</v>
      </c>
      <c r="N956">
        <f>YEAR(Table1[[#This Row],[Date Created Conversion]])</f>
        <v>2015</v>
      </c>
      <c r="O956" t="b">
        <v>0</v>
      </c>
      <c r="P956">
        <v>73</v>
      </c>
      <c r="Q956" t="b">
        <v>0</v>
      </c>
      <c r="R956" t="s">
        <v>8273</v>
      </c>
      <c r="S956" s="6">
        <f>Table1[[#This Row],[pledged]]/Table1[[#This Row],[goal]]</f>
        <v>0.43406666666666666</v>
      </c>
      <c r="T956" s="8">
        <f>IF(Table1[[#This Row],[pledged]]=0,"no backers",Table1[[#This Row],[pledged]]/Table1[[#This Row],[backers_count]])</f>
        <v>89.191780821917803</v>
      </c>
      <c r="U956" t="str">
        <f>LEFT(Table1[[#This Row],[Category and Sub-Category]],FIND("/",Table1[[#This Row],[Category and Sub-Category]])-1)</f>
        <v>technology</v>
      </c>
      <c r="V956" t="str">
        <f>RIGHT(Table1[[#This Row],[Category and Sub-Category]],LEN(Table1[[#This Row],[Category and Sub-Category]])-FIND("/",Table1[[#This Row],[Category and Sub-Category]]))</f>
        <v>wearables</v>
      </c>
    </row>
    <row r="957" spans="1:22" ht="43.2" x14ac:dyDescent="0.3">
      <c r="A957">
        <v>955</v>
      </c>
      <c r="B957" s="3" t="s">
        <v>956</v>
      </c>
      <c r="C957" s="3" t="s">
        <v>5065</v>
      </c>
      <c r="D957" s="12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>((Table1[[#This Row],[deadline]]/60)/60/24)+DATE(1970,1,1)</f>
        <v>42626.295138888891</v>
      </c>
      <c r="K957">
        <v>1470294300</v>
      </c>
      <c r="L957" s="11">
        <f>((Table1[[#This Row],[launched_at]]/60)/60/24)+DATE(1970,1,1)</f>
        <v>42586.295138888891</v>
      </c>
      <c r="M957">
        <f>MONTH(Table1[[#This Row],[Date Created Conversion]])</f>
        <v>8</v>
      </c>
      <c r="N957">
        <f>YEAR(Table1[[#This Row],[Date Created Conversion]])</f>
        <v>2016</v>
      </c>
      <c r="O957" t="b">
        <v>0</v>
      </c>
      <c r="P957">
        <v>93</v>
      </c>
      <c r="Q957" t="b">
        <v>0</v>
      </c>
      <c r="R957" t="s">
        <v>8273</v>
      </c>
      <c r="S957" s="6">
        <f>Table1[[#This Row],[pledged]]/Table1[[#This Row],[goal]]</f>
        <v>5.6613333333333335E-2</v>
      </c>
      <c r="T957" s="8">
        <f>IF(Table1[[#This Row],[pledged]]=0,"no backers",Table1[[#This Row],[pledged]]/Table1[[#This Row],[backers_count]])</f>
        <v>182.6236559139785</v>
      </c>
      <c r="U957" t="str">
        <f>LEFT(Table1[[#This Row],[Category and Sub-Category]],FIND("/",Table1[[#This Row],[Category and Sub-Category]])-1)</f>
        <v>technology</v>
      </c>
      <c r="V957" t="str">
        <f>RIGHT(Table1[[#This Row],[Category and Sub-Category]],LEN(Table1[[#This Row],[Category and Sub-Category]])-FIND("/",Table1[[#This Row],[Category and Sub-Category]]))</f>
        <v>wearables</v>
      </c>
    </row>
    <row r="958" spans="1:22" ht="57.6" x14ac:dyDescent="0.3">
      <c r="A958">
        <v>956</v>
      </c>
      <c r="B958" s="3" t="s">
        <v>957</v>
      </c>
      <c r="C958" s="3" t="s">
        <v>5066</v>
      </c>
      <c r="D958" s="12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>((Table1[[#This Row],[deadline]]/60)/60/24)+DATE(1970,1,1)</f>
        <v>42120.872210648144</v>
      </c>
      <c r="K958">
        <v>1424901359</v>
      </c>
      <c r="L958" s="11">
        <f>((Table1[[#This Row],[launched_at]]/60)/60/24)+DATE(1970,1,1)</f>
        <v>42060.913877314815</v>
      </c>
      <c r="M958">
        <f>MONTH(Table1[[#This Row],[Date Created Conversion]])</f>
        <v>2</v>
      </c>
      <c r="N958">
        <f>YEAR(Table1[[#This Row],[Date Created Conversion]])</f>
        <v>2015</v>
      </c>
      <c r="O958" t="b">
        <v>0</v>
      </c>
      <c r="P958">
        <v>17</v>
      </c>
      <c r="Q958" t="b">
        <v>0</v>
      </c>
      <c r="R958" t="s">
        <v>8273</v>
      </c>
      <c r="S958" s="6">
        <f>Table1[[#This Row],[pledged]]/Table1[[#This Row],[goal]]</f>
        <v>1.7219999999999999E-2</v>
      </c>
      <c r="T958" s="8">
        <f>IF(Table1[[#This Row],[pledged]]=0,"no backers",Table1[[#This Row],[pledged]]/Table1[[#This Row],[backers_count]])</f>
        <v>50.647058823529413</v>
      </c>
      <c r="U958" t="str">
        <f>LEFT(Table1[[#This Row],[Category and Sub-Category]],FIND("/",Table1[[#This Row],[Category and Sub-Category]])-1)</f>
        <v>technology</v>
      </c>
      <c r="V958" t="str">
        <f>RIGHT(Table1[[#This Row],[Category and Sub-Category]],LEN(Table1[[#This Row],[Category and Sub-Category]])-FIND("/",Table1[[#This Row],[Category and Sub-Category]]))</f>
        <v>wearables</v>
      </c>
    </row>
    <row r="959" spans="1:22" ht="28.8" x14ac:dyDescent="0.3">
      <c r="A959">
        <v>957</v>
      </c>
      <c r="B959" s="3" t="s">
        <v>958</v>
      </c>
      <c r="C959" s="3" t="s">
        <v>5067</v>
      </c>
      <c r="D959" s="12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>((Table1[[#This Row],[deadline]]/60)/60/24)+DATE(1970,1,1)</f>
        <v>42691.594131944439</v>
      </c>
      <c r="K959">
        <v>1476710133</v>
      </c>
      <c r="L959" s="11">
        <f>((Table1[[#This Row],[launched_at]]/60)/60/24)+DATE(1970,1,1)</f>
        <v>42660.552465277782</v>
      </c>
      <c r="M959">
        <f>MONTH(Table1[[#This Row],[Date Created Conversion]])</f>
        <v>10</v>
      </c>
      <c r="N959">
        <f>YEAR(Table1[[#This Row],[Date Created Conversion]])</f>
        <v>2016</v>
      </c>
      <c r="O959" t="b">
        <v>0</v>
      </c>
      <c r="P959">
        <v>7</v>
      </c>
      <c r="Q959" t="b">
        <v>0</v>
      </c>
      <c r="R959" t="s">
        <v>8273</v>
      </c>
      <c r="S959" s="6">
        <f>Table1[[#This Row],[pledged]]/Table1[[#This Row],[goal]]</f>
        <v>1.9416666666666665E-2</v>
      </c>
      <c r="T959" s="8">
        <f>IF(Table1[[#This Row],[pledged]]=0,"no backers",Table1[[#This Row],[pledged]]/Table1[[#This Row],[backers_count]])</f>
        <v>33.285714285714285</v>
      </c>
      <c r="U959" t="str">
        <f>LEFT(Table1[[#This Row],[Category and Sub-Category]],FIND("/",Table1[[#This Row],[Category and Sub-Category]])-1)</f>
        <v>technology</v>
      </c>
      <c r="V959" t="str">
        <f>RIGHT(Table1[[#This Row],[Category and Sub-Category]],LEN(Table1[[#This Row],[Category and Sub-Category]])-FIND("/",Table1[[#This Row],[Category and Sub-Category]]))</f>
        <v>wearables</v>
      </c>
    </row>
    <row r="960" spans="1:22" ht="57.6" x14ac:dyDescent="0.3">
      <c r="A960">
        <v>958</v>
      </c>
      <c r="B960" s="3" t="s">
        <v>959</v>
      </c>
      <c r="C960" s="3" t="s">
        <v>5068</v>
      </c>
      <c r="D960" s="12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>((Table1[[#This Row],[deadline]]/60)/60/24)+DATE(1970,1,1)</f>
        <v>42104.207638888889</v>
      </c>
      <c r="K960">
        <v>1426792563</v>
      </c>
      <c r="L960" s="11">
        <f>((Table1[[#This Row],[launched_at]]/60)/60/24)+DATE(1970,1,1)</f>
        <v>42082.802812499998</v>
      </c>
      <c r="M960">
        <f>MONTH(Table1[[#This Row],[Date Created Conversion]])</f>
        <v>3</v>
      </c>
      <c r="N960">
        <f>YEAR(Table1[[#This Row],[Date Created Conversion]])</f>
        <v>2015</v>
      </c>
      <c r="O960" t="b">
        <v>0</v>
      </c>
      <c r="P960">
        <v>17</v>
      </c>
      <c r="Q960" t="b">
        <v>0</v>
      </c>
      <c r="R960" t="s">
        <v>8273</v>
      </c>
      <c r="S960" s="6">
        <f>Table1[[#This Row],[pledged]]/Table1[[#This Row],[goal]]</f>
        <v>0.11328275684711328</v>
      </c>
      <c r="T960" s="8">
        <f>IF(Table1[[#This Row],[pledged]]=0,"no backers",Table1[[#This Row],[pledged]]/Table1[[#This Row],[backers_count]])</f>
        <v>51.823529411764703</v>
      </c>
      <c r="U960" t="str">
        <f>LEFT(Table1[[#This Row],[Category and Sub-Category]],FIND("/",Table1[[#This Row],[Category and Sub-Category]])-1)</f>
        <v>technology</v>
      </c>
      <c r="V960" t="str">
        <f>RIGHT(Table1[[#This Row],[Category and Sub-Category]],LEN(Table1[[#This Row],[Category and Sub-Category]])-FIND("/",Table1[[#This Row],[Category and Sub-Category]]))</f>
        <v>wearables</v>
      </c>
    </row>
    <row r="961" spans="1:22" ht="43.2" x14ac:dyDescent="0.3">
      <c r="A961">
        <v>959</v>
      </c>
      <c r="B961" s="3" t="s">
        <v>960</v>
      </c>
      <c r="C961" s="3" t="s">
        <v>5069</v>
      </c>
      <c r="D961" s="12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>((Table1[[#This Row],[deadline]]/60)/60/24)+DATE(1970,1,1)</f>
        <v>42023.174363425926</v>
      </c>
      <c r="K961">
        <v>1419048665</v>
      </c>
      <c r="L961" s="11">
        <f>((Table1[[#This Row],[launched_at]]/60)/60/24)+DATE(1970,1,1)</f>
        <v>41993.174363425926</v>
      </c>
      <c r="M961">
        <f>MONTH(Table1[[#This Row],[Date Created Conversion]])</f>
        <v>12</v>
      </c>
      <c r="N961">
        <f>YEAR(Table1[[#This Row],[Date Created Conversion]])</f>
        <v>2014</v>
      </c>
      <c r="O961" t="b">
        <v>0</v>
      </c>
      <c r="P961">
        <v>171</v>
      </c>
      <c r="Q961" t="b">
        <v>0</v>
      </c>
      <c r="R961" t="s">
        <v>8273</v>
      </c>
      <c r="S961" s="6">
        <f>Table1[[#This Row],[pledged]]/Table1[[#This Row],[goal]]</f>
        <v>0.3886</v>
      </c>
      <c r="T961" s="8">
        <f>IF(Table1[[#This Row],[pledged]]=0,"no backers",Table1[[#This Row],[pledged]]/Table1[[#This Row],[backers_count]])</f>
        <v>113.62573099415205</v>
      </c>
      <c r="U961" t="str">
        <f>LEFT(Table1[[#This Row],[Category and Sub-Category]],FIND("/",Table1[[#This Row],[Category and Sub-Category]])-1)</f>
        <v>technology</v>
      </c>
      <c r="V961" t="str">
        <f>RIGHT(Table1[[#This Row],[Category and Sub-Category]],LEN(Table1[[#This Row],[Category and Sub-Category]])-FIND("/",Table1[[#This Row],[Category and Sub-Category]]))</f>
        <v>wearables</v>
      </c>
    </row>
    <row r="962" spans="1:22" ht="43.2" x14ac:dyDescent="0.3">
      <c r="A962">
        <v>960</v>
      </c>
      <c r="B962" s="3" t="s">
        <v>961</v>
      </c>
      <c r="C962" s="3" t="s">
        <v>5070</v>
      </c>
      <c r="D962" s="1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>((Table1[[#This Row],[deadline]]/60)/60/24)+DATE(1970,1,1)</f>
        <v>42808.585127314815</v>
      </c>
      <c r="K962">
        <v>1485874955</v>
      </c>
      <c r="L962" s="11">
        <f>((Table1[[#This Row],[launched_at]]/60)/60/24)+DATE(1970,1,1)</f>
        <v>42766.626793981486</v>
      </c>
      <c r="M962">
        <f>MONTH(Table1[[#This Row],[Date Created Conversion]])</f>
        <v>1</v>
      </c>
      <c r="N962">
        <f>YEAR(Table1[[#This Row],[Date Created Conversion]])</f>
        <v>2017</v>
      </c>
      <c r="O962" t="b">
        <v>0</v>
      </c>
      <c r="P962">
        <v>188</v>
      </c>
      <c r="Q962" t="b">
        <v>0</v>
      </c>
      <c r="R962" t="s">
        <v>8273</v>
      </c>
      <c r="S962" s="6">
        <f>Table1[[#This Row],[pledged]]/Table1[[#This Row],[goal]]</f>
        <v>0.46100628930817611</v>
      </c>
      <c r="T962" s="8">
        <f>IF(Table1[[#This Row],[pledged]]=0,"no backers",Table1[[#This Row],[pledged]]/Table1[[#This Row],[backers_count]])</f>
        <v>136.46276595744681</v>
      </c>
      <c r="U962" t="str">
        <f>LEFT(Table1[[#This Row],[Category and Sub-Category]],FIND("/",Table1[[#This Row],[Category and Sub-Category]])-1)</f>
        <v>technology</v>
      </c>
      <c r="V962" t="str">
        <f>RIGHT(Table1[[#This Row],[Category and Sub-Category]],LEN(Table1[[#This Row],[Category and Sub-Category]])-FIND("/",Table1[[#This Row],[Category and Sub-Category]]))</f>
        <v>wearables</v>
      </c>
    </row>
    <row r="963" spans="1:22" ht="43.2" x14ac:dyDescent="0.3">
      <c r="A963">
        <v>961</v>
      </c>
      <c r="B963" s="3" t="s">
        <v>962</v>
      </c>
      <c r="C963" s="3" t="s">
        <v>5071</v>
      </c>
      <c r="D963" s="12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>((Table1[[#This Row],[deadline]]/60)/60/24)+DATE(1970,1,1)</f>
        <v>42786.791666666672</v>
      </c>
      <c r="K963">
        <v>1483634335</v>
      </c>
      <c r="L963" s="11">
        <f>((Table1[[#This Row],[launched_at]]/60)/60/24)+DATE(1970,1,1)</f>
        <v>42740.693692129629</v>
      </c>
      <c r="M963">
        <f>MONTH(Table1[[#This Row],[Date Created Conversion]])</f>
        <v>1</v>
      </c>
      <c r="N963">
        <f>YEAR(Table1[[#This Row],[Date Created Conversion]])</f>
        <v>2017</v>
      </c>
      <c r="O963" t="b">
        <v>0</v>
      </c>
      <c r="P963">
        <v>110</v>
      </c>
      <c r="Q963" t="b">
        <v>0</v>
      </c>
      <c r="R963" t="s">
        <v>8273</v>
      </c>
      <c r="S963" s="6">
        <f>Table1[[#This Row],[pledged]]/Table1[[#This Row],[goal]]</f>
        <v>0.42188421052631581</v>
      </c>
      <c r="T963" s="8">
        <f>IF(Table1[[#This Row],[pledged]]=0,"no backers",Table1[[#This Row],[pledged]]/Table1[[#This Row],[backers_count]])</f>
        <v>364.35454545454547</v>
      </c>
      <c r="U963" t="str">
        <f>LEFT(Table1[[#This Row],[Category and Sub-Category]],FIND("/",Table1[[#This Row],[Category and Sub-Category]])-1)</f>
        <v>technology</v>
      </c>
      <c r="V963" t="str">
        <f>RIGHT(Table1[[#This Row],[Category and Sub-Category]],LEN(Table1[[#This Row],[Category and Sub-Category]])-FIND("/",Table1[[#This Row],[Category and Sub-Category]]))</f>
        <v>wearables</v>
      </c>
    </row>
    <row r="964" spans="1:22" ht="43.2" x14ac:dyDescent="0.3">
      <c r="A964">
        <v>962</v>
      </c>
      <c r="B964" s="3" t="s">
        <v>963</v>
      </c>
      <c r="C964" s="3" t="s">
        <v>5072</v>
      </c>
      <c r="D964" s="12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>((Table1[[#This Row],[deadline]]/60)/60/24)+DATE(1970,1,1)</f>
        <v>42411.712418981479</v>
      </c>
      <c r="K964">
        <v>1451927153</v>
      </c>
      <c r="L964" s="11">
        <f>((Table1[[#This Row],[launched_at]]/60)/60/24)+DATE(1970,1,1)</f>
        <v>42373.712418981479</v>
      </c>
      <c r="M964">
        <f>MONTH(Table1[[#This Row],[Date Created Conversion]])</f>
        <v>1</v>
      </c>
      <c r="N964">
        <f>YEAR(Table1[[#This Row],[Date Created Conversion]])</f>
        <v>2016</v>
      </c>
      <c r="O964" t="b">
        <v>0</v>
      </c>
      <c r="P964">
        <v>37</v>
      </c>
      <c r="Q964" t="b">
        <v>0</v>
      </c>
      <c r="R964" t="s">
        <v>8273</v>
      </c>
      <c r="S964" s="6">
        <f>Table1[[#This Row],[pledged]]/Table1[[#This Row],[goal]]</f>
        <v>0.2848</v>
      </c>
      <c r="T964" s="8">
        <f>IF(Table1[[#This Row],[pledged]]=0,"no backers",Table1[[#This Row],[pledged]]/Table1[[#This Row],[backers_count]])</f>
        <v>19.243243243243242</v>
      </c>
      <c r="U964" t="str">
        <f>LEFT(Table1[[#This Row],[Category and Sub-Category]],FIND("/",Table1[[#This Row],[Category and Sub-Category]])-1)</f>
        <v>technology</v>
      </c>
      <c r="V964" t="str">
        <f>RIGHT(Table1[[#This Row],[Category and Sub-Category]],LEN(Table1[[#This Row],[Category and Sub-Category]])-FIND("/",Table1[[#This Row],[Category and Sub-Category]]))</f>
        <v>wearables</v>
      </c>
    </row>
    <row r="965" spans="1:22" ht="28.8" x14ac:dyDescent="0.3">
      <c r="A965">
        <v>963</v>
      </c>
      <c r="B965" s="3" t="s">
        <v>964</v>
      </c>
      <c r="C965" s="3" t="s">
        <v>5073</v>
      </c>
      <c r="D965" s="12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>((Table1[[#This Row],[deadline]]/60)/60/24)+DATE(1970,1,1)</f>
        <v>42660.635636574079</v>
      </c>
      <c r="K965">
        <v>1473693319</v>
      </c>
      <c r="L965" s="11">
        <f>((Table1[[#This Row],[launched_at]]/60)/60/24)+DATE(1970,1,1)</f>
        <v>42625.635636574079</v>
      </c>
      <c r="M965">
        <f>MONTH(Table1[[#This Row],[Date Created Conversion]])</f>
        <v>9</v>
      </c>
      <c r="N965">
        <f>YEAR(Table1[[#This Row],[Date Created Conversion]])</f>
        <v>2016</v>
      </c>
      <c r="O965" t="b">
        <v>0</v>
      </c>
      <c r="P965">
        <v>9</v>
      </c>
      <c r="Q965" t="b">
        <v>0</v>
      </c>
      <c r="R965" t="s">
        <v>8273</v>
      </c>
      <c r="S965" s="6">
        <f>Table1[[#This Row],[pledged]]/Table1[[#This Row],[goal]]</f>
        <v>1.0771428571428571E-2</v>
      </c>
      <c r="T965" s="8">
        <f>IF(Table1[[#This Row],[pledged]]=0,"no backers",Table1[[#This Row],[pledged]]/Table1[[#This Row],[backers_count]])</f>
        <v>41.888888888888886</v>
      </c>
      <c r="U965" t="str">
        <f>LEFT(Table1[[#This Row],[Category and Sub-Category]],FIND("/",Table1[[#This Row],[Category and Sub-Category]])-1)</f>
        <v>technology</v>
      </c>
      <c r="V965" t="str">
        <f>RIGHT(Table1[[#This Row],[Category and Sub-Category]],LEN(Table1[[#This Row],[Category and Sub-Category]])-FIND("/",Table1[[#This Row],[Category and Sub-Category]]))</f>
        <v>wearables</v>
      </c>
    </row>
    <row r="966" spans="1:22" ht="43.2" x14ac:dyDescent="0.3">
      <c r="A966">
        <v>964</v>
      </c>
      <c r="B966" s="3" t="s">
        <v>965</v>
      </c>
      <c r="C966" s="3" t="s">
        <v>5074</v>
      </c>
      <c r="D966" s="12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>((Table1[[#This Row],[deadline]]/60)/60/24)+DATE(1970,1,1)</f>
        <v>42248.628692129627</v>
      </c>
      <c r="K966">
        <v>1437663919</v>
      </c>
      <c r="L966" s="11">
        <f>((Table1[[#This Row],[launched_at]]/60)/60/24)+DATE(1970,1,1)</f>
        <v>42208.628692129627</v>
      </c>
      <c r="M966">
        <f>MONTH(Table1[[#This Row],[Date Created Conversion]])</f>
        <v>7</v>
      </c>
      <c r="N966">
        <f>YEAR(Table1[[#This Row],[Date Created Conversion]])</f>
        <v>2015</v>
      </c>
      <c r="O966" t="b">
        <v>0</v>
      </c>
      <c r="P966">
        <v>29</v>
      </c>
      <c r="Q966" t="b">
        <v>0</v>
      </c>
      <c r="R966" t="s">
        <v>8273</v>
      </c>
      <c r="S966" s="6">
        <f>Table1[[#This Row],[pledged]]/Table1[[#This Row],[goal]]</f>
        <v>7.9909090909090902E-3</v>
      </c>
      <c r="T966" s="8">
        <f>IF(Table1[[#This Row],[pledged]]=0,"no backers",Table1[[#This Row],[pledged]]/Table1[[#This Row],[backers_count]])</f>
        <v>30.310344827586206</v>
      </c>
      <c r="U966" t="str">
        <f>LEFT(Table1[[#This Row],[Category and Sub-Category]],FIND("/",Table1[[#This Row],[Category and Sub-Category]])-1)</f>
        <v>technology</v>
      </c>
      <c r="V966" t="str">
        <f>RIGHT(Table1[[#This Row],[Category and Sub-Category]],LEN(Table1[[#This Row],[Category and Sub-Category]])-FIND("/",Table1[[#This Row],[Category and Sub-Category]]))</f>
        <v>wearables</v>
      </c>
    </row>
    <row r="967" spans="1:22" ht="43.2" x14ac:dyDescent="0.3">
      <c r="A967">
        <v>965</v>
      </c>
      <c r="B967" s="3" t="s">
        <v>966</v>
      </c>
      <c r="C967" s="3" t="s">
        <v>5075</v>
      </c>
      <c r="D967" s="12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>((Table1[[#This Row],[deadline]]/60)/60/24)+DATE(1970,1,1)</f>
        <v>42669.165972222225</v>
      </c>
      <c r="K967">
        <v>1474676646</v>
      </c>
      <c r="L967" s="11">
        <f>((Table1[[#This Row],[launched_at]]/60)/60/24)+DATE(1970,1,1)</f>
        <v>42637.016736111109</v>
      </c>
      <c r="M967">
        <f>MONTH(Table1[[#This Row],[Date Created Conversion]])</f>
        <v>9</v>
      </c>
      <c r="N967">
        <f>YEAR(Table1[[#This Row],[Date Created Conversion]])</f>
        <v>2016</v>
      </c>
      <c r="O967" t="b">
        <v>0</v>
      </c>
      <c r="P967">
        <v>6</v>
      </c>
      <c r="Q967" t="b">
        <v>0</v>
      </c>
      <c r="R967" t="s">
        <v>8273</v>
      </c>
      <c r="S967" s="6">
        <f>Table1[[#This Row],[pledged]]/Table1[[#This Row],[goal]]</f>
        <v>1.192E-2</v>
      </c>
      <c r="T967" s="8">
        <f>IF(Table1[[#This Row],[pledged]]=0,"no backers",Table1[[#This Row],[pledged]]/Table1[[#This Row],[backers_count]])</f>
        <v>49.666666666666664</v>
      </c>
      <c r="U967" t="str">
        <f>LEFT(Table1[[#This Row],[Category and Sub-Category]],FIND("/",Table1[[#This Row],[Category and Sub-Category]])-1)</f>
        <v>technology</v>
      </c>
      <c r="V967" t="str">
        <f>RIGHT(Table1[[#This Row],[Category and Sub-Category]],LEN(Table1[[#This Row],[Category and Sub-Category]])-FIND("/",Table1[[#This Row],[Category and Sub-Category]]))</f>
        <v>wearables</v>
      </c>
    </row>
    <row r="968" spans="1:22" ht="43.2" x14ac:dyDescent="0.3">
      <c r="A968">
        <v>966</v>
      </c>
      <c r="B968" s="3" t="s">
        <v>967</v>
      </c>
      <c r="C968" s="3" t="s">
        <v>5076</v>
      </c>
      <c r="D968" s="12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>((Table1[[#This Row],[deadline]]/60)/60/24)+DATE(1970,1,1)</f>
        <v>42649.635787037041</v>
      </c>
      <c r="K968">
        <v>1473174932</v>
      </c>
      <c r="L968" s="11">
        <f>((Table1[[#This Row],[launched_at]]/60)/60/24)+DATE(1970,1,1)</f>
        <v>42619.635787037041</v>
      </c>
      <c r="M968">
        <f>MONTH(Table1[[#This Row],[Date Created Conversion]])</f>
        <v>9</v>
      </c>
      <c r="N968">
        <f>YEAR(Table1[[#This Row],[Date Created Conversion]])</f>
        <v>2016</v>
      </c>
      <c r="O968" t="b">
        <v>0</v>
      </c>
      <c r="P968">
        <v>30</v>
      </c>
      <c r="Q968" t="b">
        <v>0</v>
      </c>
      <c r="R968" t="s">
        <v>8273</v>
      </c>
      <c r="S968" s="6">
        <f>Table1[[#This Row],[pledged]]/Table1[[#This Row],[goal]]</f>
        <v>0.14799999999999999</v>
      </c>
      <c r="T968" s="8">
        <f>IF(Table1[[#This Row],[pledged]]=0,"no backers",Table1[[#This Row],[pledged]]/Table1[[#This Row],[backers_count]])</f>
        <v>59.2</v>
      </c>
      <c r="U968" t="str">
        <f>LEFT(Table1[[#This Row],[Category and Sub-Category]],FIND("/",Table1[[#This Row],[Category and Sub-Category]])-1)</f>
        <v>technology</v>
      </c>
      <c r="V968" t="str">
        <f>RIGHT(Table1[[#This Row],[Category and Sub-Category]],LEN(Table1[[#This Row],[Category and Sub-Category]])-FIND("/",Table1[[#This Row],[Category and Sub-Category]]))</f>
        <v>wearables</v>
      </c>
    </row>
    <row r="969" spans="1:22" ht="43.2" x14ac:dyDescent="0.3">
      <c r="A969">
        <v>967</v>
      </c>
      <c r="B969" s="3" t="s">
        <v>968</v>
      </c>
      <c r="C969" s="3" t="s">
        <v>5077</v>
      </c>
      <c r="D969" s="12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>((Table1[[#This Row],[deadline]]/60)/60/24)+DATE(1970,1,1)</f>
        <v>42482.21266203704</v>
      </c>
      <c r="K969">
        <v>1456121174</v>
      </c>
      <c r="L969" s="11">
        <f>((Table1[[#This Row],[launched_at]]/60)/60/24)+DATE(1970,1,1)</f>
        <v>42422.254328703704</v>
      </c>
      <c r="M969">
        <f>MONTH(Table1[[#This Row],[Date Created Conversion]])</f>
        <v>2</v>
      </c>
      <c r="N969">
        <f>YEAR(Table1[[#This Row],[Date Created Conversion]])</f>
        <v>2016</v>
      </c>
      <c r="O969" t="b">
        <v>0</v>
      </c>
      <c r="P969">
        <v>81</v>
      </c>
      <c r="Q969" t="b">
        <v>0</v>
      </c>
      <c r="R969" t="s">
        <v>8273</v>
      </c>
      <c r="S969" s="6">
        <f>Table1[[#This Row],[pledged]]/Table1[[#This Row],[goal]]</f>
        <v>0.17810000000000001</v>
      </c>
      <c r="T969" s="8">
        <f>IF(Table1[[#This Row],[pledged]]=0,"no backers",Table1[[#This Row],[pledged]]/Table1[[#This Row],[backers_count]])</f>
        <v>43.97530864197531</v>
      </c>
      <c r="U969" t="str">
        <f>LEFT(Table1[[#This Row],[Category and Sub-Category]],FIND("/",Table1[[#This Row],[Category and Sub-Category]])-1)</f>
        <v>technology</v>
      </c>
      <c r="V969" t="str">
        <f>RIGHT(Table1[[#This Row],[Category and Sub-Category]],LEN(Table1[[#This Row],[Category and Sub-Category]])-FIND("/",Table1[[#This Row],[Category and Sub-Category]]))</f>
        <v>wearables</v>
      </c>
    </row>
    <row r="970" spans="1:22" ht="43.2" x14ac:dyDescent="0.3">
      <c r="A970">
        <v>968</v>
      </c>
      <c r="B970" s="3" t="s">
        <v>969</v>
      </c>
      <c r="C970" s="3" t="s">
        <v>5078</v>
      </c>
      <c r="D970" s="12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>((Table1[[#This Row],[deadline]]/60)/60/24)+DATE(1970,1,1)</f>
        <v>41866.847615740742</v>
      </c>
      <c r="K970">
        <v>1405542034</v>
      </c>
      <c r="L970" s="11">
        <f>((Table1[[#This Row],[launched_at]]/60)/60/24)+DATE(1970,1,1)</f>
        <v>41836.847615740742</v>
      </c>
      <c r="M970">
        <f>MONTH(Table1[[#This Row],[Date Created Conversion]])</f>
        <v>7</v>
      </c>
      <c r="N970">
        <f>YEAR(Table1[[#This Row],[Date Created Conversion]])</f>
        <v>2014</v>
      </c>
      <c r="O970" t="b">
        <v>0</v>
      </c>
      <c r="P970">
        <v>4</v>
      </c>
      <c r="Q970" t="b">
        <v>0</v>
      </c>
      <c r="R970" t="s">
        <v>8273</v>
      </c>
      <c r="S970" s="6">
        <f>Table1[[#This Row],[pledged]]/Table1[[#This Row],[goal]]</f>
        <v>1.325E-2</v>
      </c>
      <c r="T970" s="8">
        <f>IF(Table1[[#This Row],[pledged]]=0,"no backers",Table1[[#This Row],[pledged]]/Table1[[#This Row],[backers_count]])</f>
        <v>26.5</v>
      </c>
      <c r="U970" t="str">
        <f>LEFT(Table1[[#This Row],[Category and Sub-Category]],FIND("/",Table1[[#This Row],[Category and Sub-Category]])-1)</f>
        <v>technology</v>
      </c>
      <c r="V970" t="str">
        <f>RIGHT(Table1[[#This Row],[Category and Sub-Category]],LEN(Table1[[#This Row],[Category and Sub-Category]])-FIND("/",Table1[[#This Row],[Category and Sub-Category]]))</f>
        <v>wearables</v>
      </c>
    </row>
    <row r="971" spans="1:22" ht="28.8" x14ac:dyDescent="0.3">
      <c r="A971">
        <v>969</v>
      </c>
      <c r="B971" s="3" t="s">
        <v>970</v>
      </c>
      <c r="C971" s="3" t="s">
        <v>5079</v>
      </c>
      <c r="D971" s="12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>((Table1[[#This Row],[deadline]]/60)/60/24)+DATE(1970,1,1)</f>
        <v>42775.30332175926</v>
      </c>
      <c r="K971">
        <v>1483773407</v>
      </c>
      <c r="L971" s="11">
        <f>((Table1[[#This Row],[launched_at]]/60)/60/24)+DATE(1970,1,1)</f>
        <v>42742.30332175926</v>
      </c>
      <c r="M971">
        <f>MONTH(Table1[[#This Row],[Date Created Conversion]])</f>
        <v>1</v>
      </c>
      <c r="N971">
        <f>YEAR(Table1[[#This Row],[Date Created Conversion]])</f>
        <v>2017</v>
      </c>
      <c r="O971" t="b">
        <v>0</v>
      </c>
      <c r="P971">
        <v>11</v>
      </c>
      <c r="Q971" t="b">
        <v>0</v>
      </c>
      <c r="R971" t="s">
        <v>8273</v>
      </c>
      <c r="S971" s="6">
        <f>Table1[[#This Row],[pledged]]/Table1[[#This Row],[goal]]</f>
        <v>0.46666666666666667</v>
      </c>
      <c r="T971" s="8">
        <f>IF(Table1[[#This Row],[pledged]]=0,"no backers",Table1[[#This Row],[pledged]]/Table1[[#This Row],[backers_count]])</f>
        <v>1272.7272727272727</v>
      </c>
      <c r="U971" t="str">
        <f>LEFT(Table1[[#This Row],[Category and Sub-Category]],FIND("/",Table1[[#This Row],[Category and Sub-Category]])-1)</f>
        <v>technology</v>
      </c>
      <c r="V971" t="str">
        <f>RIGHT(Table1[[#This Row],[Category and Sub-Category]],LEN(Table1[[#This Row],[Category and Sub-Category]])-FIND("/",Table1[[#This Row],[Category and Sub-Category]]))</f>
        <v>wearables</v>
      </c>
    </row>
    <row r="972" spans="1:22" ht="57.6" x14ac:dyDescent="0.3">
      <c r="A972">
        <v>970</v>
      </c>
      <c r="B972" s="3" t="s">
        <v>971</v>
      </c>
      <c r="C972" s="3" t="s">
        <v>5080</v>
      </c>
      <c r="D972" s="1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>((Table1[[#This Row],[deadline]]/60)/60/24)+DATE(1970,1,1)</f>
        <v>42758.207638888889</v>
      </c>
      <c r="K972">
        <v>1481951853</v>
      </c>
      <c r="L972" s="11">
        <f>((Table1[[#This Row],[launched_at]]/60)/60/24)+DATE(1970,1,1)</f>
        <v>42721.220520833333</v>
      </c>
      <c r="M972">
        <f>MONTH(Table1[[#This Row],[Date Created Conversion]])</f>
        <v>12</v>
      </c>
      <c r="N972">
        <f>YEAR(Table1[[#This Row],[Date Created Conversion]])</f>
        <v>2016</v>
      </c>
      <c r="O972" t="b">
        <v>0</v>
      </c>
      <c r="P972">
        <v>14</v>
      </c>
      <c r="Q972" t="b">
        <v>0</v>
      </c>
      <c r="R972" t="s">
        <v>8273</v>
      </c>
      <c r="S972" s="6">
        <f>Table1[[#This Row],[pledged]]/Table1[[#This Row],[goal]]</f>
        <v>0.4592</v>
      </c>
      <c r="T972" s="8">
        <f>IF(Table1[[#This Row],[pledged]]=0,"no backers",Table1[[#This Row],[pledged]]/Table1[[#This Row],[backers_count]])</f>
        <v>164</v>
      </c>
      <c r="U972" t="str">
        <f>LEFT(Table1[[#This Row],[Category and Sub-Category]],FIND("/",Table1[[#This Row],[Category and Sub-Category]])-1)</f>
        <v>technology</v>
      </c>
      <c r="V972" t="str">
        <f>RIGHT(Table1[[#This Row],[Category and Sub-Category]],LEN(Table1[[#This Row],[Category and Sub-Category]])-FIND("/",Table1[[#This Row],[Category and Sub-Category]]))</f>
        <v>wearables</v>
      </c>
    </row>
    <row r="973" spans="1:22" ht="43.2" x14ac:dyDescent="0.3">
      <c r="A973">
        <v>971</v>
      </c>
      <c r="B973" s="3" t="s">
        <v>972</v>
      </c>
      <c r="C973" s="3" t="s">
        <v>5081</v>
      </c>
      <c r="D973" s="12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>((Table1[[#This Row],[deadline]]/60)/60/24)+DATE(1970,1,1)</f>
        <v>42156.709027777775</v>
      </c>
      <c r="K973">
        <v>1429290060</v>
      </c>
      <c r="L973" s="11">
        <f>((Table1[[#This Row],[launched_at]]/60)/60/24)+DATE(1970,1,1)</f>
        <v>42111.709027777775</v>
      </c>
      <c r="M973">
        <f>MONTH(Table1[[#This Row],[Date Created Conversion]])</f>
        <v>4</v>
      </c>
      <c r="N973">
        <f>YEAR(Table1[[#This Row],[Date Created Conversion]])</f>
        <v>2015</v>
      </c>
      <c r="O973" t="b">
        <v>0</v>
      </c>
      <c r="P973">
        <v>5</v>
      </c>
      <c r="Q973" t="b">
        <v>0</v>
      </c>
      <c r="R973" t="s">
        <v>8273</v>
      </c>
      <c r="S973" s="6">
        <f>Table1[[#This Row],[pledged]]/Table1[[#This Row],[goal]]</f>
        <v>2.2599999999999999E-3</v>
      </c>
      <c r="T973" s="8">
        <f>IF(Table1[[#This Row],[pledged]]=0,"no backers",Table1[[#This Row],[pledged]]/Table1[[#This Row],[backers_count]])</f>
        <v>45.2</v>
      </c>
      <c r="U973" t="str">
        <f>LEFT(Table1[[#This Row],[Category and Sub-Category]],FIND("/",Table1[[#This Row],[Category and Sub-Category]])-1)</f>
        <v>technology</v>
      </c>
      <c r="V973" t="str">
        <f>RIGHT(Table1[[#This Row],[Category and Sub-Category]],LEN(Table1[[#This Row],[Category and Sub-Category]])-FIND("/",Table1[[#This Row],[Category and Sub-Category]]))</f>
        <v>wearables</v>
      </c>
    </row>
    <row r="974" spans="1:22" ht="43.2" x14ac:dyDescent="0.3">
      <c r="A974">
        <v>972</v>
      </c>
      <c r="B974" s="3" t="s">
        <v>973</v>
      </c>
      <c r="C974" s="3" t="s">
        <v>5082</v>
      </c>
      <c r="D974" s="12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>((Table1[[#This Row],[deadline]]/60)/60/24)+DATE(1970,1,1)</f>
        <v>41886.290972222225</v>
      </c>
      <c r="K974">
        <v>1407271598</v>
      </c>
      <c r="L974" s="11">
        <f>((Table1[[#This Row],[launched_at]]/60)/60/24)+DATE(1970,1,1)</f>
        <v>41856.865717592591</v>
      </c>
      <c r="M974">
        <f>MONTH(Table1[[#This Row],[Date Created Conversion]])</f>
        <v>8</v>
      </c>
      <c r="N974">
        <f>YEAR(Table1[[#This Row],[Date Created Conversion]])</f>
        <v>2014</v>
      </c>
      <c r="O974" t="b">
        <v>0</v>
      </c>
      <c r="P974">
        <v>45</v>
      </c>
      <c r="Q974" t="b">
        <v>0</v>
      </c>
      <c r="R974" t="s">
        <v>8273</v>
      </c>
      <c r="S974" s="6">
        <f>Table1[[#This Row],[pledged]]/Table1[[#This Row],[goal]]</f>
        <v>0.34625</v>
      </c>
      <c r="T974" s="8">
        <f>IF(Table1[[#This Row],[pledged]]=0,"no backers",Table1[[#This Row],[pledged]]/Table1[[#This Row],[backers_count]])</f>
        <v>153.88888888888889</v>
      </c>
      <c r="U974" t="str">
        <f>LEFT(Table1[[#This Row],[Category and Sub-Category]],FIND("/",Table1[[#This Row],[Category and Sub-Category]])-1)</f>
        <v>technology</v>
      </c>
      <c r="V974" t="str">
        <f>RIGHT(Table1[[#This Row],[Category and Sub-Category]],LEN(Table1[[#This Row],[Category and Sub-Category]])-FIND("/",Table1[[#This Row],[Category and Sub-Category]]))</f>
        <v>wearables</v>
      </c>
    </row>
    <row r="975" spans="1:22" ht="43.2" x14ac:dyDescent="0.3">
      <c r="A975">
        <v>973</v>
      </c>
      <c r="B975" s="3" t="s">
        <v>974</v>
      </c>
      <c r="C975" s="3" t="s">
        <v>5083</v>
      </c>
      <c r="D975" s="12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>((Table1[[#This Row],[deadline]]/60)/60/24)+DATE(1970,1,1)</f>
        <v>42317.056631944448</v>
      </c>
      <c r="K975">
        <v>1441844493</v>
      </c>
      <c r="L975" s="11">
        <f>((Table1[[#This Row],[launched_at]]/60)/60/24)+DATE(1970,1,1)</f>
        <v>42257.014965277776</v>
      </c>
      <c r="M975">
        <f>MONTH(Table1[[#This Row],[Date Created Conversion]])</f>
        <v>9</v>
      </c>
      <c r="N975">
        <f>YEAR(Table1[[#This Row],[Date Created Conversion]])</f>
        <v>2015</v>
      </c>
      <c r="O975" t="b">
        <v>0</v>
      </c>
      <c r="P975">
        <v>8</v>
      </c>
      <c r="Q975" t="b">
        <v>0</v>
      </c>
      <c r="R975" t="s">
        <v>8273</v>
      </c>
      <c r="S975" s="6">
        <f>Table1[[#This Row],[pledged]]/Table1[[#This Row],[goal]]</f>
        <v>2.0549999999999999E-2</v>
      </c>
      <c r="T975" s="8">
        <f>IF(Table1[[#This Row],[pledged]]=0,"no backers",Table1[[#This Row],[pledged]]/Table1[[#This Row],[backers_count]])</f>
        <v>51.375</v>
      </c>
      <c r="U975" t="str">
        <f>LEFT(Table1[[#This Row],[Category and Sub-Category]],FIND("/",Table1[[#This Row],[Category and Sub-Category]])-1)</f>
        <v>technology</v>
      </c>
      <c r="V975" t="str">
        <f>RIGHT(Table1[[#This Row],[Category and Sub-Category]],LEN(Table1[[#This Row],[Category and Sub-Category]])-FIND("/",Table1[[#This Row],[Category and Sub-Category]]))</f>
        <v>wearables</v>
      </c>
    </row>
    <row r="976" spans="1:22" ht="43.2" x14ac:dyDescent="0.3">
      <c r="A976">
        <v>974</v>
      </c>
      <c r="B976" s="3" t="s">
        <v>975</v>
      </c>
      <c r="C976" s="3" t="s">
        <v>5084</v>
      </c>
      <c r="D976" s="12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>((Table1[[#This Row],[deadline]]/60)/60/24)+DATE(1970,1,1)</f>
        <v>42454.707824074074</v>
      </c>
      <c r="K976">
        <v>1456336756</v>
      </c>
      <c r="L976" s="11">
        <f>((Table1[[#This Row],[launched_at]]/60)/60/24)+DATE(1970,1,1)</f>
        <v>42424.749490740738</v>
      </c>
      <c r="M976">
        <f>MONTH(Table1[[#This Row],[Date Created Conversion]])</f>
        <v>2</v>
      </c>
      <c r="N976">
        <f>YEAR(Table1[[#This Row],[Date Created Conversion]])</f>
        <v>2016</v>
      </c>
      <c r="O976" t="b">
        <v>0</v>
      </c>
      <c r="P976">
        <v>3</v>
      </c>
      <c r="Q976" t="b">
        <v>0</v>
      </c>
      <c r="R976" t="s">
        <v>8273</v>
      </c>
      <c r="S976" s="6">
        <f>Table1[[#This Row],[pledged]]/Table1[[#This Row],[goal]]</f>
        <v>5.5999999999999999E-3</v>
      </c>
      <c r="T976" s="8">
        <f>IF(Table1[[#This Row],[pledged]]=0,"no backers",Table1[[#This Row],[pledged]]/Table1[[#This Row],[backers_count]])</f>
        <v>93.333333333333329</v>
      </c>
      <c r="U976" t="str">
        <f>LEFT(Table1[[#This Row],[Category and Sub-Category]],FIND("/",Table1[[#This Row],[Category and Sub-Category]])-1)</f>
        <v>technology</v>
      </c>
      <c r="V976" t="str">
        <f>RIGHT(Table1[[#This Row],[Category and Sub-Category]],LEN(Table1[[#This Row],[Category and Sub-Category]])-FIND("/",Table1[[#This Row],[Category and Sub-Category]]))</f>
        <v>wearables</v>
      </c>
    </row>
    <row r="977" spans="1:22" ht="43.2" x14ac:dyDescent="0.3">
      <c r="A977">
        <v>975</v>
      </c>
      <c r="B977" s="3" t="s">
        <v>976</v>
      </c>
      <c r="C977" s="3" t="s">
        <v>5085</v>
      </c>
      <c r="D977" s="12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>((Table1[[#This Row],[deadline]]/60)/60/24)+DATE(1970,1,1)</f>
        <v>42549.696585648147</v>
      </c>
      <c r="K977">
        <v>1461948185</v>
      </c>
      <c r="L977" s="11">
        <f>((Table1[[#This Row],[launched_at]]/60)/60/24)+DATE(1970,1,1)</f>
        <v>42489.696585648147</v>
      </c>
      <c r="M977">
        <f>MONTH(Table1[[#This Row],[Date Created Conversion]])</f>
        <v>4</v>
      </c>
      <c r="N977">
        <f>YEAR(Table1[[#This Row],[Date Created Conversion]])</f>
        <v>2016</v>
      </c>
      <c r="O977" t="b">
        <v>0</v>
      </c>
      <c r="P977">
        <v>24</v>
      </c>
      <c r="Q977" t="b">
        <v>0</v>
      </c>
      <c r="R977" t="s">
        <v>8273</v>
      </c>
      <c r="S977" s="6">
        <f>Table1[[#This Row],[pledged]]/Table1[[#This Row],[goal]]</f>
        <v>2.6069999999999999E-2</v>
      </c>
      <c r="T977" s="8">
        <f>IF(Table1[[#This Row],[pledged]]=0,"no backers",Table1[[#This Row],[pledged]]/Table1[[#This Row],[backers_count]])</f>
        <v>108.625</v>
      </c>
      <c r="U977" t="str">
        <f>LEFT(Table1[[#This Row],[Category and Sub-Category]],FIND("/",Table1[[#This Row],[Category and Sub-Category]])-1)</f>
        <v>technology</v>
      </c>
      <c r="V977" t="str">
        <f>RIGHT(Table1[[#This Row],[Category and Sub-Category]],LEN(Table1[[#This Row],[Category and Sub-Category]])-FIND("/",Table1[[#This Row],[Category and Sub-Category]]))</f>
        <v>wearables</v>
      </c>
    </row>
    <row r="978" spans="1:22" ht="43.2" x14ac:dyDescent="0.3">
      <c r="A978">
        <v>976</v>
      </c>
      <c r="B978" s="3" t="s">
        <v>977</v>
      </c>
      <c r="C978" s="3" t="s">
        <v>5086</v>
      </c>
      <c r="D978" s="12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>((Table1[[#This Row],[deadline]]/60)/60/24)+DATE(1970,1,1)</f>
        <v>42230.058993055558</v>
      </c>
      <c r="K978">
        <v>1435627497</v>
      </c>
      <c r="L978" s="11">
        <f>((Table1[[#This Row],[launched_at]]/60)/60/24)+DATE(1970,1,1)</f>
        <v>42185.058993055558</v>
      </c>
      <c r="M978">
        <f>MONTH(Table1[[#This Row],[Date Created Conversion]])</f>
        <v>6</v>
      </c>
      <c r="N978">
        <f>YEAR(Table1[[#This Row],[Date Created Conversion]])</f>
        <v>2015</v>
      </c>
      <c r="O978" t="b">
        <v>0</v>
      </c>
      <c r="P978">
        <v>18</v>
      </c>
      <c r="Q978" t="b">
        <v>0</v>
      </c>
      <c r="R978" t="s">
        <v>8273</v>
      </c>
      <c r="S978" s="6">
        <f>Table1[[#This Row],[pledged]]/Table1[[#This Row],[goal]]</f>
        <v>1.9259999999999999E-2</v>
      </c>
      <c r="T978" s="8">
        <f>IF(Table1[[#This Row],[pledged]]=0,"no backers",Table1[[#This Row],[pledged]]/Table1[[#This Row],[backers_count]])</f>
        <v>160.5</v>
      </c>
      <c r="U978" t="str">
        <f>LEFT(Table1[[#This Row],[Category and Sub-Category]],FIND("/",Table1[[#This Row],[Category and Sub-Category]])-1)</f>
        <v>technology</v>
      </c>
      <c r="V978" t="str">
        <f>RIGHT(Table1[[#This Row],[Category and Sub-Category]],LEN(Table1[[#This Row],[Category and Sub-Category]])-FIND("/",Table1[[#This Row],[Category and Sub-Category]]))</f>
        <v>wearables</v>
      </c>
    </row>
    <row r="979" spans="1:22" ht="43.2" x14ac:dyDescent="0.3">
      <c r="A979">
        <v>977</v>
      </c>
      <c r="B979" s="3" t="s">
        <v>978</v>
      </c>
      <c r="C979" s="3" t="s">
        <v>5087</v>
      </c>
      <c r="D979" s="12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>((Table1[[#This Row],[deadline]]/60)/60/24)+DATE(1970,1,1)</f>
        <v>42421.942094907412</v>
      </c>
      <c r="K979">
        <v>1453502197</v>
      </c>
      <c r="L979" s="11">
        <f>((Table1[[#This Row],[launched_at]]/60)/60/24)+DATE(1970,1,1)</f>
        <v>42391.942094907412</v>
      </c>
      <c r="M979">
        <f>MONTH(Table1[[#This Row],[Date Created Conversion]])</f>
        <v>1</v>
      </c>
      <c r="N979">
        <f>YEAR(Table1[[#This Row],[Date Created Conversion]])</f>
        <v>2016</v>
      </c>
      <c r="O979" t="b">
        <v>0</v>
      </c>
      <c r="P979">
        <v>12</v>
      </c>
      <c r="Q979" t="b">
        <v>0</v>
      </c>
      <c r="R979" t="s">
        <v>8273</v>
      </c>
      <c r="S979" s="6">
        <f>Table1[[#This Row],[pledged]]/Table1[[#This Row],[goal]]</f>
        <v>0.33666666666666667</v>
      </c>
      <c r="T979" s="8">
        <f>IF(Table1[[#This Row],[pledged]]=0,"no backers",Table1[[#This Row],[pledged]]/Table1[[#This Row],[backers_count]])</f>
        <v>75.75</v>
      </c>
      <c r="U979" t="str">
        <f>LEFT(Table1[[#This Row],[Category and Sub-Category]],FIND("/",Table1[[#This Row],[Category and Sub-Category]])-1)</f>
        <v>technology</v>
      </c>
      <c r="V979" t="str">
        <f>RIGHT(Table1[[#This Row],[Category and Sub-Category]],LEN(Table1[[#This Row],[Category and Sub-Category]])-FIND("/",Table1[[#This Row],[Category and Sub-Category]]))</f>
        <v>wearables</v>
      </c>
    </row>
    <row r="980" spans="1:22" ht="43.2" x14ac:dyDescent="0.3">
      <c r="A980">
        <v>978</v>
      </c>
      <c r="B980" s="3" t="s">
        <v>979</v>
      </c>
      <c r="C980" s="3" t="s">
        <v>5088</v>
      </c>
      <c r="D980" s="12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>((Table1[[#This Row],[deadline]]/60)/60/24)+DATE(1970,1,1)</f>
        <v>42425.309039351851</v>
      </c>
      <c r="K980">
        <v>1453793101</v>
      </c>
      <c r="L980" s="11">
        <f>((Table1[[#This Row],[launched_at]]/60)/60/24)+DATE(1970,1,1)</f>
        <v>42395.309039351851</v>
      </c>
      <c r="M980">
        <f>MONTH(Table1[[#This Row],[Date Created Conversion]])</f>
        <v>1</v>
      </c>
      <c r="N980">
        <f>YEAR(Table1[[#This Row],[Date Created Conversion]])</f>
        <v>2016</v>
      </c>
      <c r="O980" t="b">
        <v>0</v>
      </c>
      <c r="P980">
        <v>123</v>
      </c>
      <c r="Q980" t="b">
        <v>0</v>
      </c>
      <c r="R980" t="s">
        <v>8273</v>
      </c>
      <c r="S980" s="6">
        <f>Table1[[#This Row],[pledged]]/Table1[[#This Row],[goal]]</f>
        <v>0.5626326718299024</v>
      </c>
      <c r="T980" s="8">
        <f>IF(Table1[[#This Row],[pledged]]=0,"no backers",Table1[[#This Row],[pledged]]/Table1[[#This Row],[backers_count]])</f>
        <v>790.83739837398377</v>
      </c>
      <c r="U980" t="str">
        <f>LEFT(Table1[[#This Row],[Category and Sub-Category]],FIND("/",Table1[[#This Row],[Category and Sub-Category]])-1)</f>
        <v>technology</v>
      </c>
      <c r="V980" t="str">
        <f>RIGHT(Table1[[#This Row],[Category and Sub-Category]],LEN(Table1[[#This Row],[Category and Sub-Category]])-FIND("/",Table1[[#This Row],[Category and Sub-Category]]))</f>
        <v>wearables</v>
      </c>
    </row>
    <row r="981" spans="1:22" ht="43.2" x14ac:dyDescent="0.3">
      <c r="A981">
        <v>979</v>
      </c>
      <c r="B981" s="3" t="s">
        <v>980</v>
      </c>
      <c r="C981" s="3" t="s">
        <v>5089</v>
      </c>
      <c r="D981" s="12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>((Table1[[#This Row],[deadline]]/60)/60/24)+DATE(1970,1,1)</f>
        <v>42541.790972222225</v>
      </c>
      <c r="K981">
        <v>1463392828</v>
      </c>
      <c r="L981" s="11">
        <f>((Table1[[#This Row],[launched_at]]/60)/60/24)+DATE(1970,1,1)</f>
        <v>42506.416990740734</v>
      </c>
      <c r="M981">
        <f>MONTH(Table1[[#This Row],[Date Created Conversion]])</f>
        <v>5</v>
      </c>
      <c r="N981">
        <f>YEAR(Table1[[#This Row],[Date Created Conversion]])</f>
        <v>2016</v>
      </c>
      <c r="O981" t="b">
        <v>0</v>
      </c>
      <c r="P981">
        <v>96</v>
      </c>
      <c r="Q981" t="b">
        <v>0</v>
      </c>
      <c r="R981" t="s">
        <v>8273</v>
      </c>
      <c r="S981" s="6">
        <f>Table1[[#This Row],[pledged]]/Table1[[#This Row],[goal]]</f>
        <v>0.82817600000000002</v>
      </c>
      <c r="T981" s="8">
        <f>IF(Table1[[#This Row],[pledged]]=0,"no backers",Table1[[#This Row],[pledged]]/Table1[[#This Row],[backers_count]])</f>
        <v>301.93916666666667</v>
      </c>
      <c r="U981" t="str">
        <f>LEFT(Table1[[#This Row],[Category and Sub-Category]],FIND("/",Table1[[#This Row],[Category and Sub-Category]])-1)</f>
        <v>technology</v>
      </c>
      <c r="V981" t="str">
        <f>RIGHT(Table1[[#This Row],[Category and Sub-Category]],LEN(Table1[[#This Row],[Category and Sub-Category]])-FIND("/",Table1[[#This Row],[Category and Sub-Category]]))</f>
        <v>wearables</v>
      </c>
    </row>
    <row r="982" spans="1:22" ht="57.6" x14ac:dyDescent="0.3">
      <c r="A982">
        <v>980</v>
      </c>
      <c r="B982" s="3" t="s">
        <v>981</v>
      </c>
      <c r="C982" s="3" t="s">
        <v>5090</v>
      </c>
      <c r="D982" s="1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>((Table1[[#This Row],[deadline]]/60)/60/24)+DATE(1970,1,1)</f>
        <v>41973.945856481485</v>
      </c>
      <c r="K982">
        <v>1413495722</v>
      </c>
      <c r="L982" s="11">
        <f>((Table1[[#This Row],[launched_at]]/60)/60/24)+DATE(1970,1,1)</f>
        <v>41928.904189814813</v>
      </c>
      <c r="M982">
        <f>MONTH(Table1[[#This Row],[Date Created Conversion]])</f>
        <v>10</v>
      </c>
      <c r="N982">
        <f>YEAR(Table1[[#This Row],[Date Created Conversion]])</f>
        <v>2014</v>
      </c>
      <c r="O982" t="b">
        <v>0</v>
      </c>
      <c r="P982">
        <v>31</v>
      </c>
      <c r="Q982" t="b">
        <v>0</v>
      </c>
      <c r="R982" t="s">
        <v>8273</v>
      </c>
      <c r="S982" s="6">
        <f>Table1[[#This Row],[pledged]]/Table1[[#This Row],[goal]]</f>
        <v>0.14860000000000001</v>
      </c>
      <c r="T982" s="8">
        <f>IF(Table1[[#This Row],[pledged]]=0,"no backers",Table1[[#This Row],[pledged]]/Table1[[#This Row],[backers_count]])</f>
        <v>47.935483870967744</v>
      </c>
      <c r="U982" t="str">
        <f>LEFT(Table1[[#This Row],[Category and Sub-Category]],FIND("/",Table1[[#This Row],[Category and Sub-Category]])-1)</f>
        <v>technology</v>
      </c>
      <c r="V982" t="str">
        <f>RIGHT(Table1[[#This Row],[Category and Sub-Category]],LEN(Table1[[#This Row],[Category and Sub-Category]])-FIND("/",Table1[[#This Row],[Category and Sub-Category]]))</f>
        <v>wearables</v>
      </c>
    </row>
    <row r="983" spans="1:22" ht="57.6" x14ac:dyDescent="0.3">
      <c r="A983">
        <v>981</v>
      </c>
      <c r="B983" s="3" t="s">
        <v>982</v>
      </c>
      <c r="C983" s="3" t="s">
        <v>5091</v>
      </c>
      <c r="D983" s="12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>((Table1[[#This Row],[deadline]]/60)/60/24)+DATE(1970,1,1)</f>
        <v>41860.947013888886</v>
      </c>
      <c r="K983">
        <v>1405032222</v>
      </c>
      <c r="L983" s="11">
        <f>((Table1[[#This Row],[launched_at]]/60)/60/24)+DATE(1970,1,1)</f>
        <v>41830.947013888886</v>
      </c>
      <c r="M983">
        <f>MONTH(Table1[[#This Row],[Date Created Conversion]])</f>
        <v>7</v>
      </c>
      <c r="N983">
        <f>YEAR(Table1[[#This Row],[Date Created Conversion]])</f>
        <v>2014</v>
      </c>
      <c r="O983" t="b">
        <v>0</v>
      </c>
      <c r="P983">
        <v>4</v>
      </c>
      <c r="Q983" t="b">
        <v>0</v>
      </c>
      <c r="R983" t="s">
        <v>8273</v>
      </c>
      <c r="S983" s="6">
        <f>Table1[[#This Row],[pledged]]/Table1[[#This Row],[goal]]</f>
        <v>1.2375123751237513E-4</v>
      </c>
      <c r="T983" s="8">
        <f>IF(Table1[[#This Row],[pledged]]=0,"no backers",Table1[[#This Row],[pledged]]/Table1[[#This Row],[backers_count]])</f>
        <v>2.75</v>
      </c>
      <c r="U983" t="str">
        <f>LEFT(Table1[[#This Row],[Category and Sub-Category]],FIND("/",Table1[[#This Row],[Category and Sub-Category]])-1)</f>
        <v>technology</v>
      </c>
      <c r="V983" t="str">
        <f>RIGHT(Table1[[#This Row],[Category and Sub-Category]],LEN(Table1[[#This Row],[Category and Sub-Category]])-FIND("/",Table1[[#This Row],[Category and Sub-Category]]))</f>
        <v>wearables</v>
      </c>
    </row>
    <row r="984" spans="1:22" ht="28.8" x14ac:dyDescent="0.3">
      <c r="A984">
        <v>982</v>
      </c>
      <c r="B984" s="3" t="s">
        <v>983</v>
      </c>
      <c r="C984" s="3" t="s">
        <v>5092</v>
      </c>
      <c r="D984" s="12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>((Table1[[#This Row],[deadline]]/60)/60/24)+DATE(1970,1,1)</f>
        <v>42645.753310185188</v>
      </c>
      <c r="K984">
        <v>1472839486</v>
      </c>
      <c r="L984" s="11">
        <f>((Table1[[#This Row],[launched_at]]/60)/60/24)+DATE(1970,1,1)</f>
        <v>42615.753310185188</v>
      </c>
      <c r="M984">
        <f>MONTH(Table1[[#This Row],[Date Created Conversion]])</f>
        <v>9</v>
      </c>
      <c r="N984">
        <f>YEAR(Table1[[#This Row],[Date Created Conversion]])</f>
        <v>2016</v>
      </c>
      <c r="O984" t="b">
        <v>0</v>
      </c>
      <c r="P984">
        <v>3</v>
      </c>
      <c r="Q984" t="b">
        <v>0</v>
      </c>
      <c r="R984" t="s">
        <v>8273</v>
      </c>
      <c r="S984" s="6">
        <f>Table1[[#This Row],[pledged]]/Table1[[#This Row],[goal]]</f>
        <v>1.7142857142857143E-4</v>
      </c>
      <c r="T984" s="8">
        <f>IF(Table1[[#This Row],[pledged]]=0,"no backers",Table1[[#This Row],[pledged]]/Table1[[#This Row],[backers_count]])</f>
        <v>1</v>
      </c>
      <c r="U984" t="str">
        <f>LEFT(Table1[[#This Row],[Category and Sub-Category]],FIND("/",Table1[[#This Row],[Category and Sub-Category]])-1)</f>
        <v>technology</v>
      </c>
      <c r="V984" t="str">
        <f>RIGHT(Table1[[#This Row],[Category and Sub-Category]],LEN(Table1[[#This Row],[Category and Sub-Category]])-FIND("/",Table1[[#This Row],[Category and Sub-Category]]))</f>
        <v>wearables</v>
      </c>
    </row>
    <row r="985" spans="1:22" ht="57.6" x14ac:dyDescent="0.3">
      <c r="A985">
        <v>983</v>
      </c>
      <c r="B985" s="3" t="s">
        <v>984</v>
      </c>
      <c r="C985" s="3" t="s">
        <v>5093</v>
      </c>
      <c r="D985" s="12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>((Table1[[#This Row],[deadline]]/60)/60/24)+DATE(1970,1,1)</f>
        <v>42605.870833333334</v>
      </c>
      <c r="K985">
        <v>1469289685</v>
      </c>
      <c r="L985" s="11">
        <f>((Table1[[#This Row],[launched_at]]/60)/60/24)+DATE(1970,1,1)</f>
        <v>42574.667650462965</v>
      </c>
      <c r="M985">
        <f>MONTH(Table1[[#This Row],[Date Created Conversion]])</f>
        <v>7</v>
      </c>
      <c r="N985">
        <f>YEAR(Table1[[#This Row],[Date Created Conversion]])</f>
        <v>2016</v>
      </c>
      <c r="O985" t="b">
        <v>0</v>
      </c>
      <c r="P985">
        <v>179</v>
      </c>
      <c r="Q985" t="b">
        <v>0</v>
      </c>
      <c r="R985" t="s">
        <v>8273</v>
      </c>
      <c r="S985" s="6">
        <f>Table1[[#This Row],[pledged]]/Table1[[#This Row],[goal]]</f>
        <v>0.2950613611721471</v>
      </c>
      <c r="T985" s="8">
        <f>IF(Table1[[#This Row],[pledged]]=0,"no backers",Table1[[#This Row],[pledged]]/Table1[[#This Row],[backers_count]])</f>
        <v>171.79329608938548</v>
      </c>
      <c r="U985" t="str">
        <f>LEFT(Table1[[#This Row],[Category and Sub-Category]],FIND("/",Table1[[#This Row],[Category and Sub-Category]])-1)</f>
        <v>technology</v>
      </c>
      <c r="V985" t="str">
        <f>RIGHT(Table1[[#This Row],[Category and Sub-Category]],LEN(Table1[[#This Row],[Category and Sub-Category]])-FIND("/",Table1[[#This Row],[Category and Sub-Category]]))</f>
        <v>wearables</v>
      </c>
    </row>
    <row r="986" spans="1:22" ht="72" x14ac:dyDescent="0.3">
      <c r="A986">
        <v>984</v>
      </c>
      <c r="B986" s="3" t="s">
        <v>985</v>
      </c>
      <c r="C986" s="3" t="s">
        <v>5094</v>
      </c>
      <c r="D986" s="12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>((Table1[[#This Row],[deadline]]/60)/60/24)+DATE(1970,1,1)</f>
        <v>42091.074166666673</v>
      </c>
      <c r="K986">
        <v>1424918808</v>
      </c>
      <c r="L986" s="11">
        <f>((Table1[[#This Row],[launched_at]]/60)/60/24)+DATE(1970,1,1)</f>
        <v>42061.11583333333</v>
      </c>
      <c r="M986">
        <f>MONTH(Table1[[#This Row],[Date Created Conversion]])</f>
        <v>2</v>
      </c>
      <c r="N986">
        <f>YEAR(Table1[[#This Row],[Date Created Conversion]])</f>
        <v>2015</v>
      </c>
      <c r="O986" t="b">
        <v>0</v>
      </c>
      <c r="P986">
        <v>3</v>
      </c>
      <c r="Q986" t="b">
        <v>0</v>
      </c>
      <c r="R986" t="s">
        <v>8273</v>
      </c>
      <c r="S986" s="6">
        <f>Table1[[#This Row],[pledged]]/Table1[[#This Row],[goal]]</f>
        <v>1.06E-2</v>
      </c>
      <c r="T986" s="8">
        <f>IF(Table1[[#This Row],[pledged]]=0,"no backers",Table1[[#This Row],[pledged]]/Table1[[#This Row],[backers_count]])</f>
        <v>35.333333333333336</v>
      </c>
      <c r="U986" t="str">
        <f>LEFT(Table1[[#This Row],[Category and Sub-Category]],FIND("/",Table1[[#This Row],[Category and Sub-Category]])-1)</f>
        <v>technology</v>
      </c>
      <c r="V986" t="str">
        <f>RIGHT(Table1[[#This Row],[Category and Sub-Category]],LEN(Table1[[#This Row],[Category and Sub-Category]])-FIND("/",Table1[[#This Row],[Category and Sub-Category]]))</f>
        <v>wearables</v>
      </c>
    </row>
    <row r="987" spans="1:22" ht="43.2" x14ac:dyDescent="0.3">
      <c r="A987">
        <v>985</v>
      </c>
      <c r="B987" s="3" t="s">
        <v>986</v>
      </c>
      <c r="C987" s="3" t="s">
        <v>5095</v>
      </c>
      <c r="D987" s="12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>((Table1[[#This Row],[deadline]]/60)/60/24)+DATE(1970,1,1)</f>
        <v>42369.958333333328</v>
      </c>
      <c r="K987">
        <v>1449011610</v>
      </c>
      <c r="L987" s="11">
        <f>((Table1[[#This Row],[launched_at]]/60)/60/24)+DATE(1970,1,1)</f>
        <v>42339.967708333337</v>
      </c>
      <c r="M987">
        <f>MONTH(Table1[[#This Row],[Date Created Conversion]])</f>
        <v>12</v>
      </c>
      <c r="N987">
        <f>YEAR(Table1[[#This Row],[Date Created Conversion]])</f>
        <v>2015</v>
      </c>
      <c r="O987" t="b">
        <v>0</v>
      </c>
      <c r="P987">
        <v>23</v>
      </c>
      <c r="Q987" t="b">
        <v>0</v>
      </c>
      <c r="R987" t="s">
        <v>8273</v>
      </c>
      <c r="S987" s="6">
        <f>Table1[[#This Row],[pledged]]/Table1[[#This Row],[goal]]</f>
        <v>6.2933333333333327E-2</v>
      </c>
      <c r="T987" s="8">
        <f>IF(Table1[[#This Row],[pledged]]=0,"no backers",Table1[[#This Row],[pledged]]/Table1[[#This Row],[backers_count]])</f>
        <v>82.086956521739125</v>
      </c>
      <c r="U987" t="str">
        <f>LEFT(Table1[[#This Row],[Category and Sub-Category]],FIND("/",Table1[[#This Row],[Category and Sub-Category]])-1)</f>
        <v>technology</v>
      </c>
      <c r="V987" t="str">
        <f>RIGHT(Table1[[#This Row],[Category and Sub-Category]],LEN(Table1[[#This Row],[Category and Sub-Category]])-FIND("/",Table1[[#This Row],[Category and Sub-Category]]))</f>
        <v>wearables</v>
      </c>
    </row>
    <row r="988" spans="1:22" ht="57.6" x14ac:dyDescent="0.3">
      <c r="A988">
        <v>986</v>
      </c>
      <c r="B988" s="3" t="s">
        <v>987</v>
      </c>
      <c r="C988" s="3" t="s">
        <v>5096</v>
      </c>
      <c r="D988" s="12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>((Table1[[#This Row],[deadline]]/60)/60/24)+DATE(1970,1,1)</f>
        <v>42379</v>
      </c>
      <c r="K988">
        <v>1447698300</v>
      </c>
      <c r="L988" s="11">
        <f>((Table1[[#This Row],[launched_at]]/60)/60/24)+DATE(1970,1,1)</f>
        <v>42324.767361111109</v>
      </c>
      <c r="M988">
        <f>MONTH(Table1[[#This Row],[Date Created Conversion]])</f>
        <v>11</v>
      </c>
      <c r="N988">
        <f>YEAR(Table1[[#This Row],[Date Created Conversion]])</f>
        <v>2015</v>
      </c>
      <c r="O988" t="b">
        <v>0</v>
      </c>
      <c r="P988">
        <v>23</v>
      </c>
      <c r="Q988" t="b">
        <v>0</v>
      </c>
      <c r="R988" t="s">
        <v>8273</v>
      </c>
      <c r="S988" s="6">
        <f>Table1[[#This Row],[pledged]]/Table1[[#This Row],[goal]]</f>
        <v>0.1275</v>
      </c>
      <c r="T988" s="8">
        <f>IF(Table1[[#This Row],[pledged]]=0,"no backers",Table1[[#This Row],[pledged]]/Table1[[#This Row],[backers_count]])</f>
        <v>110.8695652173913</v>
      </c>
      <c r="U988" t="str">
        <f>LEFT(Table1[[#This Row],[Category and Sub-Category]],FIND("/",Table1[[#This Row],[Category and Sub-Category]])-1)</f>
        <v>technology</v>
      </c>
      <c r="V988" t="str">
        <f>RIGHT(Table1[[#This Row],[Category and Sub-Category]],LEN(Table1[[#This Row],[Category and Sub-Category]])-FIND("/",Table1[[#This Row],[Category and Sub-Category]]))</f>
        <v>wearables</v>
      </c>
    </row>
    <row r="989" spans="1:22" ht="43.2" x14ac:dyDescent="0.3">
      <c r="A989">
        <v>987</v>
      </c>
      <c r="B989" s="3" t="s">
        <v>988</v>
      </c>
      <c r="C989" s="3" t="s">
        <v>5097</v>
      </c>
      <c r="D989" s="12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>((Table1[[#This Row],[deadline]]/60)/60/24)+DATE(1970,1,1)</f>
        <v>41813.294560185182</v>
      </c>
      <c r="K989">
        <v>1400051050</v>
      </c>
      <c r="L989" s="11">
        <f>((Table1[[#This Row],[launched_at]]/60)/60/24)+DATE(1970,1,1)</f>
        <v>41773.294560185182</v>
      </c>
      <c r="M989">
        <f>MONTH(Table1[[#This Row],[Date Created Conversion]])</f>
        <v>5</v>
      </c>
      <c r="N989">
        <f>YEAR(Table1[[#This Row],[Date Created Conversion]])</f>
        <v>2014</v>
      </c>
      <c r="O989" t="b">
        <v>0</v>
      </c>
      <c r="P989">
        <v>41</v>
      </c>
      <c r="Q989" t="b">
        <v>0</v>
      </c>
      <c r="R989" t="s">
        <v>8273</v>
      </c>
      <c r="S989" s="6">
        <f>Table1[[#This Row],[pledged]]/Table1[[#This Row],[goal]]</f>
        <v>0.13220000000000001</v>
      </c>
      <c r="T989" s="8">
        <f>IF(Table1[[#This Row],[pledged]]=0,"no backers",Table1[[#This Row],[pledged]]/Table1[[#This Row],[backers_count]])</f>
        <v>161.21951219512195</v>
      </c>
      <c r="U989" t="str">
        <f>LEFT(Table1[[#This Row],[Category and Sub-Category]],FIND("/",Table1[[#This Row],[Category and Sub-Category]])-1)</f>
        <v>technology</v>
      </c>
      <c r="V989" t="str">
        <f>RIGHT(Table1[[#This Row],[Category and Sub-Category]],LEN(Table1[[#This Row],[Category and Sub-Category]])-FIND("/",Table1[[#This Row],[Category and Sub-Category]]))</f>
        <v>wearables</v>
      </c>
    </row>
    <row r="990" spans="1:22" ht="57.6" x14ac:dyDescent="0.3">
      <c r="A990">
        <v>988</v>
      </c>
      <c r="B990" s="3" t="s">
        <v>989</v>
      </c>
      <c r="C990" s="3" t="s">
        <v>5098</v>
      </c>
      <c r="D990" s="12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>((Table1[[#This Row],[deadline]]/60)/60/24)+DATE(1970,1,1)</f>
        <v>42644.356770833328</v>
      </c>
      <c r="K990">
        <v>1472718825</v>
      </c>
      <c r="L990" s="11">
        <f>((Table1[[#This Row],[launched_at]]/60)/60/24)+DATE(1970,1,1)</f>
        <v>42614.356770833328</v>
      </c>
      <c r="M990">
        <f>MONTH(Table1[[#This Row],[Date Created Conversion]])</f>
        <v>9</v>
      </c>
      <c r="N990">
        <f>YEAR(Table1[[#This Row],[Date Created Conversion]])</f>
        <v>2016</v>
      </c>
      <c r="O990" t="b">
        <v>0</v>
      </c>
      <c r="P990">
        <v>0</v>
      </c>
      <c r="Q990" t="b">
        <v>0</v>
      </c>
      <c r="R990" t="s">
        <v>8273</v>
      </c>
      <c r="S990" s="6">
        <f>Table1[[#This Row],[pledged]]/Table1[[#This Row],[goal]]</f>
        <v>0</v>
      </c>
      <c r="T990" s="8" t="str">
        <f>IF(Table1[[#This Row],[pledged]]=0,"no backers",Table1[[#This Row],[pledged]]/Table1[[#This Row],[backers_count]])</f>
        <v>no backers</v>
      </c>
      <c r="U990" t="str">
        <f>LEFT(Table1[[#This Row],[Category and Sub-Category]],FIND("/",Table1[[#This Row],[Category and Sub-Category]])-1)</f>
        <v>technology</v>
      </c>
      <c r="V990" t="str">
        <f>RIGHT(Table1[[#This Row],[Category and Sub-Category]],LEN(Table1[[#This Row],[Category and Sub-Category]])-FIND("/",Table1[[#This Row],[Category and Sub-Category]]))</f>
        <v>wearables</v>
      </c>
    </row>
    <row r="991" spans="1:22" ht="28.8" x14ac:dyDescent="0.3">
      <c r="A991">
        <v>989</v>
      </c>
      <c r="B991" s="3" t="s">
        <v>990</v>
      </c>
      <c r="C991" s="3" t="s">
        <v>5099</v>
      </c>
      <c r="D991" s="12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>((Table1[[#This Row],[deadline]]/60)/60/24)+DATE(1970,1,1)</f>
        <v>42641.933969907404</v>
      </c>
      <c r="K991">
        <v>1472509495</v>
      </c>
      <c r="L991" s="11">
        <f>((Table1[[#This Row],[launched_at]]/60)/60/24)+DATE(1970,1,1)</f>
        <v>42611.933969907404</v>
      </c>
      <c r="M991">
        <f>MONTH(Table1[[#This Row],[Date Created Conversion]])</f>
        <v>8</v>
      </c>
      <c r="N991">
        <f>YEAR(Table1[[#This Row],[Date Created Conversion]])</f>
        <v>2016</v>
      </c>
      <c r="O991" t="b">
        <v>0</v>
      </c>
      <c r="P991">
        <v>32</v>
      </c>
      <c r="Q991" t="b">
        <v>0</v>
      </c>
      <c r="R991" t="s">
        <v>8273</v>
      </c>
      <c r="S991" s="6">
        <f>Table1[[#This Row],[pledged]]/Table1[[#This Row],[goal]]</f>
        <v>0.16769999999999999</v>
      </c>
      <c r="T991" s="8">
        <f>IF(Table1[[#This Row],[pledged]]=0,"no backers",Table1[[#This Row],[pledged]]/Table1[[#This Row],[backers_count]])</f>
        <v>52.40625</v>
      </c>
      <c r="U991" t="str">
        <f>LEFT(Table1[[#This Row],[Category and Sub-Category]],FIND("/",Table1[[#This Row],[Category and Sub-Category]])-1)</f>
        <v>technology</v>
      </c>
      <c r="V991" t="str">
        <f>RIGHT(Table1[[#This Row],[Category and Sub-Category]],LEN(Table1[[#This Row],[Category and Sub-Category]])-FIND("/",Table1[[#This Row],[Category and Sub-Category]]))</f>
        <v>wearables</v>
      </c>
    </row>
    <row r="992" spans="1:22" ht="43.2" x14ac:dyDescent="0.3">
      <c r="A992">
        <v>990</v>
      </c>
      <c r="B992" s="3" t="s">
        <v>991</v>
      </c>
      <c r="C992" s="3" t="s">
        <v>5100</v>
      </c>
      <c r="D992" s="1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>((Table1[[#This Row],[deadline]]/60)/60/24)+DATE(1970,1,1)</f>
        <v>41885.784305555557</v>
      </c>
      <c r="K992">
        <v>1407178164</v>
      </c>
      <c r="L992" s="11">
        <f>((Table1[[#This Row],[launched_at]]/60)/60/24)+DATE(1970,1,1)</f>
        <v>41855.784305555557</v>
      </c>
      <c r="M992">
        <f>MONTH(Table1[[#This Row],[Date Created Conversion]])</f>
        <v>8</v>
      </c>
      <c r="N992">
        <f>YEAR(Table1[[#This Row],[Date Created Conversion]])</f>
        <v>2014</v>
      </c>
      <c r="O992" t="b">
        <v>0</v>
      </c>
      <c r="P992">
        <v>2</v>
      </c>
      <c r="Q992" t="b">
        <v>0</v>
      </c>
      <c r="R992" t="s">
        <v>8273</v>
      </c>
      <c r="S992" s="6">
        <f>Table1[[#This Row],[pledged]]/Table1[[#This Row],[goal]]</f>
        <v>1.0399999999999999E-3</v>
      </c>
      <c r="T992" s="8">
        <f>IF(Table1[[#This Row],[pledged]]=0,"no backers",Table1[[#This Row],[pledged]]/Table1[[#This Row],[backers_count]])</f>
        <v>13</v>
      </c>
      <c r="U992" t="str">
        <f>LEFT(Table1[[#This Row],[Category and Sub-Category]],FIND("/",Table1[[#This Row],[Category and Sub-Category]])-1)</f>
        <v>technology</v>
      </c>
      <c r="V992" t="str">
        <f>RIGHT(Table1[[#This Row],[Category and Sub-Category]],LEN(Table1[[#This Row],[Category and Sub-Category]])-FIND("/",Table1[[#This Row],[Category and Sub-Category]]))</f>
        <v>wearables</v>
      </c>
    </row>
    <row r="993" spans="1:22" ht="72" x14ac:dyDescent="0.3">
      <c r="A993">
        <v>991</v>
      </c>
      <c r="B993" s="3" t="s">
        <v>992</v>
      </c>
      <c r="C993" s="3" t="s">
        <v>5101</v>
      </c>
      <c r="D993" s="12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>((Table1[[#This Row],[deadline]]/60)/60/24)+DATE(1970,1,1)</f>
        <v>42563.785416666666</v>
      </c>
      <c r="K993">
        <v>1466186988</v>
      </c>
      <c r="L993" s="11">
        <f>((Table1[[#This Row],[launched_at]]/60)/60/24)+DATE(1970,1,1)</f>
        <v>42538.75680555556</v>
      </c>
      <c r="M993">
        <f>MONTH(Table1[[#This Row],[Date Created Conversion]])</f>
        <v>6</v>
      </c>
      <c r="N993">
        <f>YEAR(Table1[[#This Row],[Date Created Conversion]])</f>
        <v>2016</v>
      </c>
      <c r="O993" t="b">
        <v>0</v>
      </c>
      <c r="P993">
        <v>7</v>
      </c>
      <c r="Q993" t="b">
        <v>0</v>
      </c>
      <c r="R993" t="s">
        <v>8273</v>
      </c>
      <c r="S993" s="6">
        <f>Table1[[#This Row],[pledged]]/Table1[[#This Row],[goal]]</f>
        <v>4.24E-2</v>
      </c>
      <c r="T993" s="8">
        <f>IF(Table1[[#This Row],[pledged]]=0,"no backers",Table1[[#This Row],[pledged]]/Table1[[#This Row],[backers_count]])</f>
        <v>30.285714285714285</v>
      </c>
      <c r="U993" t="str">
        <f>LEFT(Table1[[#This Row],[Category and Sub-Category]],FIND("/",Table1[[#This Row],[Category and Sub-Category]])-1)</f>
        <v>technology</v>
      </c>
      <c r="V993" t="str">
        <f>RIGHT(Table1[[#This Row],[Category and Sub-Category]],LEN(Table1[[#This Row],[Category and Sub-Category]])-FIND("/",Table1[[#This Row],[Category and Sub-Category]]))</f>
        <v>wearables</v>
      </c>
    </row>
    <row r="994" spans="1:22" ht="43.2" x14ac:dyDescent="0.3">
      <c r="A994">
        <v>992</v>
      </c>
      <c r="B994" s="3" t="s">
        <v>993</v>
      </c>
      <c r="C994" s="3" t="s">
        <v>5102</v>
      </c>
      <c r="D994" s="12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>((Table1[[#This Row],[deadline]]/60)/60/24)+DATE(1970,1,1)</f>
        <v>42497.883321759262</v>
      </c>
      <c r="K994">
        <v>1457475119</v>
      </c>
      <c r="L994" s="11">
        <f>((Table1[[#This Row],[launched_at]]/60)/60/24)+DATE(1970,1,1)</f>
        <v>42437.924988425926</v>
      </c>
      <c r="M994">
        <f>MONTH(Table1[[#This Row],[Date Created Conversion]])</f>
        <v>3</v>
      </c>
      <c r="N994">
        <f>YEAR(Table1[[#This Row],[Date Created Conversion]])</f>
        <v>2016</v>
      </c>
      <c r="O994" t="b">
        <v>0</v>
      </c>
      <c r="P994">
        <v>4</v>
      </c>
      <c r="Q994" t="b">
        <v>0</v>
      </c>
      <c r="R994" t="s">
        <v>8273</v>
      </c>
      <c r="S994" s="6">
        <f>Table1[[#This Row],[pledged]]/Table1[[#This Row],[goal]]</f>
        <v>4.6699999999999997E-3</v>
      </c>
      <c r="T994" s="8">
        <f>IF(Table1[[#This Row],[pledged]]=0,"no backers",Table1[[#This Row],[pledged]]/Table1[[#This Row],[backers_count]])</f>
        <v>116.75</v>
      </c>
      <c r="U994" t="str">
        <f>LEFT(Table1[[#This Row],[Category and Sub-Category]],FIND("/",Table1[[#This Row],[Category and Sub-Category]])-1)</f>
        <v>technology</v>
      </c>
      <c r="V994" t="str">
        <f>RIGHT(Table1[[#This Row],[Category and Sub-Category]],LEN(Table1[[#This Row],[Category and Sub-Category]])-FIND("/",Table1[[#This Row],[Category and Sub-Category]]))</f>
        <v>wearables</v>
      </c>
    </row>
    <row r="995" spans="1:22" ht="43.2" x14ac:dyDescent="0.3">
      <c r="A995">
        <v>993</v>
      </c>
      <c r="B995" s="3" t="s">
        <v>994</v>
      </c>
      <c r="C995" s="3" t="s">
        <v>5103</v>
      </c>
      <c r="D995" s="12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>((Table1[[#This Row],[deadline]]/60)/60/24)+DATE(1970,1,1)</f>
        <v>42686.208333333328</v>
      </c>
      <c r="K995">
        <v>1476054568</v>
      </c>
      <c r="L995" s="11">
        <f>((Table1[[#This Row],[launched_at]]/60)/60/24)+DATE(1970,1,1)</f>
        <v>42652.964907407411</v>
      </c>
      <c r="M995">
        <f>MONTH(Table1[[#This Row],[Date Created Conversion]])</f>
        <v>10</v>
      </c>
      <c r="N995">
        <f>YEAR(Table1[[#This Row],[Date Created Conversion]])</f>
        <v>2016</v>
      </c>
      <c r="O995" t="b">
        <v>0</v>
      </c>
      <c r="P995">
        <v>196</v>
      </c>
      <c r="Q995" t="b">
        <v>0</v>
      </c>
      <c r="R995" t="s">
        <v>8273</v>
      </c>
      <c r="S995" s="6">
        <f>Table1[[#This Row],[pledged]]/Table1[[#This Row],[goal]]</f>
        <v>0.25087142857142858</v>
      </c>
      <c r="T995" s="8">
        <f>IF(Table1[[#This Row],[pledged]]=0,"no backers",Table1[[#This Row],[pledged]]/Table1[[#This Row],[backers_count]])</f>
        <v>89.59693877551021</v>
      </c>
      <c r="U995" t="str">
        <f>LEFT(Table1[[#This Row],[Category and Sub-Category]],FIND("/",Table1[[#This Row],[Category and Sub-Category]])-1)</f>
        <v>technology</v>
      </c>
      <c r="V995" t="str">
        <f>RIGHT(Table1[[#This Row],[Category and Sub-Category]],LEN(Table1[[#This Row],[Category and Sub-Category]])-FIND("/",Table1[[#This Row],[Category and Sub-Category]]))</f>
        <v>wearables</v>
      </c>
    </row>
    <row r="996" spans="1:22" ht="57.6" x14ac:dyDescent="0.3">
      <c r="A996">
        <v>994</v>
      </c>
      <c r="B996" s="3" t="s">
        <v>995</v>
      </c>
      <c r="C996" s="3" t="s">
        <v>5104</v>
      </c>
      <c r="D996" s="12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>((Table1[[#This Row],[deadline]]/60)/60/24)+DATE(1970,1,1)</f>
        <v>41973.957638888889</v>
      </c>
      <c r="K996">
        <v>1412835530</v>
      </c>
      <c r="L996" s="11">
        <f>((Table1[[#This Row],[launched_at]]/60)/60/24)+DATE(1970,1,1)</f>
        <v>41921.263078703705</v>
      </c>
      <c r="M996">
        <f>MONTH(Table1[[#This Row],[Date Created Conversion]])</f>
        <v>10</v>
      </c>
      <c r="N996">
        <f>YEAR(Table1[[#This Row],[Date Created Conversion]])</f>
        <v>2014</v>
      </c>
      <c r="O996" t="b">
        <v>0</v>
      </c>
      <c r="P996">
        <v>11</v>
      </c>
      <c r="Q996" t="b">
        <v>0</v>
      </c>
      <c r="R996" t="s">
        <v>8273</v>
      </c>
      <c r="S996" s="6">
        <f>Table1[[#This Row],[pledged]]/Table1[[#This Row],[goal]]</f>
        <v>2.3345000000000001E-2</v>
      </c>
      <c r="T996" s="8">
        <f>IF(Table1[[#This Row],[pledged]]=0,"no backers",Table1[[#This Row],[pledged]]/Table1[[#This Row],[backers_count]])</f>
        <v>424.45454545454544</v>
      </c>
      <c r="U996" t="str">
        <f>LEFT(Table1[[#This Row],[Category and Sub-Category]],FIND("/",Table1[[#This Row],[Category and Sub-Category]])-1)</f>
        <v>technology</v>
      </c>
      <c r="V996" t="str">
        <f>RIGHT(Table1[[#This Row],[Category and Sub-Category]],LEN(Table1[[#This Row],[Category and Sub-Category]])-FIND("/",Table1[[#This Row],[Category and Sub-Category]]))</f>
        <v>wearables</v>
      </c>
    </row>
    <row r="997" spans="1:22" ht="43.2" x14ac:dyDescent="0.3">
      <c r="A997">
        <v>995</v>
      </c>
      <c r="B997" s="3" t="s">
        <v>996</v>
      </c>
      <c r="C997" s="3" t="s">
        <v>5105</v>
      </c>
      <c r="D997" s="12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>((Table1[[#This Row],[deadline]]/60)/60/24)+DATE(1970,1,1)</f>
        <v>41972.666666666672</v>
      </c>
      <c r="K997">
        <v>1415140480</v>
      </c>
      <c r="L997" s="11">
        <f>((Table1[[#This Row],[launched_at]]/60)/60/24)+DATE(1970,1,1)</f>
        <v>41947.940740740742</v>
      </c>
      <c r="M997">
        <f>MONTH(Table1[[#This Row],[Date Created Conversion]])</f>
        <v>11</v>
      </c>
      <c r="N997">
        <f>YEAR(Table1[[#This Row],[Date Created Conversion]])</f>
        <v>2014</v>
      </c>
      <c r="O997" t="b">
        <v>0</v>
      </c>
      <c r="P997">
        <v>9</v>
      </c>
      <c r="Q997" t="b">
        <v>0</v>
      </c>
      <c r="R997" t="s">
        <v>8273</v>
      </c>
      <c r="S997" s="6">
        <f>Table1[[#This Row],[pledged]]/Table1[[#This Row],[goal]]</f>
        <v>7.2599999999999998E-2</v>
      </c>
      <c r="T997" s="8">
        <f>IF(Table1[[#This Row],[pledged]]=0,"no backers",Table1[[#This Row],[pledged]]/Table1[[#This Row],[backers_count]])</f>
        <v>80.666666666666671</v>
      </c>
      <c r="U997" t="str">
        <f>LEFT(Table1[[#This Row],[Category and Sub-Category]],FIND("/",Table1[[#This Row],[Category and Sub-Category]])-1)</f>
        <v>technology</v>
      </c>
      <c r="V997" t="str">
        <f>RIGHT(Table1[[#This Row],[Category and Sub-Category]],LEN(Table1[[#This Row],[Category and Sub-Category]])-FIND("/",Table1[[#This Row],[Category and Sub-Category]]))</f>
        <v>wearables</v>
      </c>
    </row>
    <row r="998" spans="1:22" ht="28.8" x14ac:dyDescent="0.3">
      <c r="A998">
        <v>996</v>
      </c>
      <c r="B998" s="3" t="s">
        <v>997</v>
      </c>
      <c r="C998" s="3" t="s">
        <v>5106</v>
      </c>
      <c r="D998" s="12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>((Table1[[#This Row],[deadline]]/60)/60/24)+DATE(1970,1,1)</f>
        <v>41847.643750000003</v>
      </c>
      <c r="K998">
        <v>1403902060</v>
      </c>
      <c r="L998" s="11">
        <f>((Table1[[#This Row],[launched_at]]/60)/60/24)+DATE(1970,1,1)</f>
        <v>41817.866435185184</v>
      </c>
      <c r="M998">
        <f>MONTH(Table1[[#This Row],[Date Created Conversion]])</f>
        <v>6</v>
      </c>
      <c r="N998">
        <f>YEAR(Table1[[#This Row],[Date Created Conversion]])</f>
        <v>2014</v>
      </c>
      <c r="O998" t="b">
        <v>0</v>
      </c>
      <c r="P998">
        <v>5</v>
      </c>
      <c r="Q998" t="b">
        <v>0</v>
      </c>
      <c r="R998" t="s">
        <v>8273</v>
      </c>
      <c r="S998" s="6">
        <f>Table1[[#This Row],[pledged]]/Table1[[#This Row],[goal]]</f>
        <v>1.6250000000000001E-2</v>
      </c>
      <c r="T998" s="8">
        <f>IF(Table1[[#This Row],[pledged]]=0,"no backers",Table1[[#This Row],[pledged]]/Table1[[#This Row],[backers_count]])</f>
        <v>13</v>
      </c>
      <c r="U998" t="str">
        <f>LEFT(Table1[[#This Row],[Category and Sub-Category]],FIND("/",Table1[[#This Row],[Category and Sub-Category]])-1)</f>
        <v>technology</v>
      </c>
      <c r="V998" t="str">
        <f>RIGHT(Table1[[#This Row],[Category and Sub-Category]],LEN(Table1[[#This Row],[Category and Sub-Category]])-FIND("/",Table1[[#This Row],[Category and Sub-Category]]))</f>
        <v>wearables</v>
      </c>
    </row>
    <row r="999" spans="1:22" ht="28.8" x14ac:dyDescent="0.3">
      <c r="A999">
        <v>997</v>
      </c>
      <c r="B999" s="3" t="s">
        <v>998</v>
      </c>
      <c r="C999" s="3" t="s">
        <v>5107</v>
      </c>
      <c r="D999" s="12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>((Table1[[#This Row],[deadline]]/60)/60/24)+DATE(1970,1,1)</f>
        <v>41971.144641203704</v>
      </c>
      <c r="K999">
        <v>1414549697</v>
      </c>
      <c r="L999" s="11">
        <f>((Table1[[#This Row],[launched_at]]/60)/60/24)+DATE(1970,1,1)</f>
        <v>41941.10297453704</v>
      </c>
      <c r="M999">
        <f>MONTH(Table1[[#This Row],[Date Created Conversion]])</f>
        <v>10</v>
      </c>
      <c r="N999">
        <f>YEAR(Table1[[#This Row],[Date Created Conversion]])</f>
        <v>2014</v>
      </c>
      <c r="O999" t="b">
        <v>0</v>
      </c>
      <c r="P999">
        <v>8</v>
      </c>
      <c r="Q999" t="b">
        <v>0</v>
      </c>
      <c r="R999" t="s">
        <v>8273</v>
      </c>
      <c r="S999" s="6">
        <f>Table1[[#This Row],[pledged]]/Table1[[#This Row],[goal]]</f>
        <v>1.2999999999999999E-2</v>
      </c>
      <c r="T999" s="8">
        <f>IF(Table1[[#This Row],[pledged]]=0,"no backers",Table1[[#This Row],[pledged]]/Table1[[#This Row],[backers_count]])</f>
        <v>8.125</v>
      </c>
      <c r="U999" t="str">
        <f>LEFT(Table1[[#This Row],[Category and Sub-Category]],FIND("/",Table1[[#This Row],[Category and Sub-Category]])-1)</f>
        <v>technology</v>
      </c>
      <c r="V999" t="str">
        <f>RIGHT(Table1[[#This Row],[Category and Sub-Category]],LEN(Table1[[#This Row],[Category and Sub-Category]])-FIND("/",Table1[[#This Row],[Category and Sub-Category]]))</f>
        <v>wearables</v>
      </c>
    </row>
    <row r="1000" spans="1:22" ht="43.2" x14ac:dyDescent="0.3">
      <c r="A1000">
        <v>998</v>
      </c>
      <c r="B1000" s="3" t="s">
        <v>999</v>
      </c>
      <c r="C1000" s="3" t="s">
        <v>5108</v>
      </c>
      <c r="D1000" s="12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>((Table1[[#This Row],[deadline]]/60)/60/24)+DATE(1970,1,1)</f>
        <v>42327.210659722223</v>
      </c>
      <c r="K1000">
        <v>1444017801</v>
      </c>
      <c r="L1000" s="11">
        <f>((Table1[[#This Row],[launched_at]]/60)/60/24)+DATE(1970,1,1)</f>
        <v>42282.168993055559</v>
      </c>
      <c r="M1000">
        <f>MONTH(Table1[[#This Row],[Date Created Conversion]])</f>
        <v>10</v>
      </c>
      <c r="N1000">
        <f>YEAR(Table1[[#This Row],[Date Created Conversion]])</f>
        <v>2015</v>
      </c>
      <c r="O1000" t="b">
        <v>0</v>
      </c>
      <c r="P1000">
        <v>229</v>
      </c>
      <c r="Q1000" t="b">
        <v>0</v>
      </c>
      <c r="R1000" t="s">
        <v>8273</v>
      </c>
      <c r="S1000" s="6">
        <f>Table1[[#This Row],[pledged]]/Table1[[#This Row],[goal]]</f>
        <v>0.58558333333333334</v>
      </c>
      <c r="T1000" s="8">
        <f>IF(Table1[[#This Row],[pledged]]=0,"no backers",Table1[[#This Row],[pledged]]/Table1[[#This Row],[backers_count]])</f>
        <v>153.42794759825327</v>
      </c>
      <c r="U1000" t="str">
        <f>LEFT(Table1[[#This Row],[Category and Sub-Category]],FIND("/",Table1[[#This Row],[Category and Sub-Category]])-1)</f>
        <v>technology</v>
      </c>
      <c r="V1000" t="str">
        <f>RIGHT(Table1[[#This Row],[Category and Sub-Category]],LEN(Table1[[#This Row],[Category and Sub-Category]])-FIND("/",Table1[[#This Row],[Category and Sub-Category]]))</f>
        <v>wearables</v>
      </c>
    </row>
    <row r="1001" spans="1:22" ht="43.2" x14ac:dyDescent="0.3">
      <c r="A1001">
        <v>999</v>
      </c>
      <c r="B1001" s="3" t="s">
        <v>1000</v>
      </c>
      <c r="C1001" s="3" t="s">
        <v>5109</v>
      </c>
      <c r="D1001" s="12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>((Table1[[#This Row],[deadline]]/60)/60/24)+DATE(1970,1,1)</f>
        <v>41956.334722222222</v>
      </c>
      <c r="K1001">
        <v>1413270690</v>
      </c>
      <c r="L1001" s="11">
        <f>((Table1[[#This Row],[launched_at]]/60)/60/24)+DATE(1970,1,1)</f>
        <v>41926.29965277778</v>
      </c>
      <c r="M1001">
        <f>MONTH(Table1[[#This Row],[Date Created Conversion]])</f>
        <v>10</v>
      </c>
      <c r="N1001">
        <f>YEAR(Table1[[#This Row],[Date Created Conversion]])</f>
        <v>2014</v>
      </c>
      <c r="O1001" t="b">
        <v>0</v>
      </c>
      <c r="P1001">
        <v>40</v>
      </c>
      <c r="Q1001" t="b">
        <v>0</v>
      </c>
      <c r="R1001" t="s">
        <v>8273</v>
      </c>
      <c r="S1001" s="6">
        <f>Table1[[#This Row],[pledged]]/Table1[[#This Row],[goal]]</f>
        <v>7.7886666666666673E-2</v>
      </c>
      <c r="T1001" s="8">
        <f>IF(Table1[[#This Row],[pledged]]=0,"no backers",Table1[[#This Row],[pledged]]/Table1[[#This Row],[backers_count]])</f>
        <v>292.07499999999999</v>
      </c>
      <c r="U1001" t="str">
        <f>LEFT(Table1[[#This Row],[Category and Sub-Category]],FIND("/",Table1[[#This Row],[Category and Sub-Category]])-1)</f>
        <v>technology</v>
      </c>
      <c r="V1001" t="str">
        <f>RIGHT(Table1[[#This Row],[Category and Sub-Category]],LEN(Table1[[#This Row],[Category and Sub-Category]])-FIND("/",Table1[[#This Row],[Category and Sub-Category]]))</f>
        <v>wearables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 s="1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>((Table1[[#This Row],[deadline]]/60)/60/24)+DATE(1970,1,1)</f>
        <v>42809.018055555556</v>
      </c>
      <c r="K1002">
        <v>1484357160</v>
      </c>
      <c r="L1002" s="11">
        <f>((Table1[[#This Row],[launched_at]]/60)/60/24)+DATE(1970,1,1)</f>
        <v>42749.059722222228</v>
      </c>
      <c r="M1002">
        <f>MONTH(Table1[[#This Row],[Date Created Conversion]])</f>
        <v>1</v>
      </c>
      <c r="N1002">
        <f>YEAR(Table1[[#This Row],[Date Created Conversion]])</f>
        <v>2017</v>
      </c>
      <c r="O1002" t="b">
        <v>0</v>
      </c>
      <c r="P1002">
        <v>6</v>
      </c>
      <c r="Q1002" t="b">
        <v>0</v>
      </c>
      <c r="R1002" t="s">
        <v>8273</v>
      </c>
      <c r="S1002" s="6">
        <f>Table1[[#This Row],[pledged]]/Table1[[#This Row],[goal]]</f>
        <v>2.2157147647256063E-2</v>
      </c>
      <c r="T1002" s="8">
        <f>IF(Table1[[#This Row],[pledged]]=0,"no backers",Table1[[#This Row],[pledged]]/Table1[[#This Row],[backers_count]])</f>
        <v>3304</v>
      </c>
      <c r="U1002" t="str">
        <f>LEFT(Table1[[#This Row],[Category and Sub-Category]],FIND("/",Table1[[#This Row],[Category and Sub-Category]])-1)</f>
        <v>technology</v>
      </c>
      <c r="V1002" t="str">
        <f>RIGHT(Table1[[#This Row],[Category and Sub-Category]],LEN(Table1[[#This Row],[Category and Sub-Category]])-FIND("/",Table1[[#This Row],[Category and Sub-Category]]))</f>
        <v>wearables</v>
      </c>
    </row>
    <row r="1003" spans="1:22" ht="57.6" x14ac:dyDescent="0.3">
      <c r="A1003">
        <v>1001</v>
      </c>
      <c r="B1003" s="3" t="s">
        <v>1002</v>
      </c>
      <c r="C1003" s="3" t="s">
        <v>5111</v>
      </c>
      <c r="D1003" s="12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>((Table1[[#This Row],[deadline]]/60)/60/24)+DATE(1970,1,1)</f>
        <v>42765.720057870371</v>
      </c>
      <c r="K1003">
        <v>1481908613</v>
      </c>
      <c r="L1003" s="11">
        <f>((Table1[[#This Row],[launched_at]]/60)/60/24)+DATE(1970,1,1)</f>
        <v>42720.720057870371</v>
      </c>
      <c r="M1003">
        <f>MONTH(Table1[[#This Row],[Date Created Conversion]])</f>
        <v>12</v>
      </c>
      <c r="N1003">
        <f>YEAR(Table1[[#This Row],[Date Created Conversion]])</f>
        <v>2016</v>
      </c>
      <c r="O1003" t="b">
        <v>0</v>
      </c>
      <c r="P1003">
        <v>4</v>
      </c>
      <c r="Q1003" t="b">
        <v>0</v>
      </c>
      <c r="R1003" t="s">
        <v>8273</v>
      </c>
      <c r="S1003" s="6">
        <f>Table1[[#This Row],[pledged]]/Table1[[#This Row],[goal]]</f>
        <v>1.04</v>
      </c>
      <c r="T1003" s="8">
        <f>IF(Table1[[#This Row],[pledged]]=0,"no backers",Table1[[#This Row],[pledged]]/Table1[[#This Row],[backers_count]])</f>
        <v>1300</v>
      </c>
      <c r="U1003" t="str">
        <f>LEFT(Table1[[#This Row],[Category and Sub-Category]],FIND("/",Table1[[#This Row],[Category and Sub-Category]])-1)</f>
        <v>technology</v>
      </c>
      <c r="V1003" t="str">
        <f>RIGHT(Table1[[#This Row],[Category and Sub-Category]],LEN(Table1[[#This Row],[Category and Sub-Category]])-FIND("/",Table1[[#This Row],[Category and Sub-Category]]))</f>
        <v>wearables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 s="12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>((Table1[[#This Row],[deadline]]/60)/60/24)+DATE(1970,1,1)</f>
        <v>42355.249305555553</v>
      </c>
      <c r="K1004">
        <v>1447777514</v>
      </c>
      <c r="L1004" s="11">
        <f>((Table1[[#This Row],[launched_at]]/60)/60/24)+DATE(1970,1,1)</f>
        <v>42325.684189814812</v>
      </c>
      <c r="M1004">
        <f>MONTH(Table1[[#This Row],[Date Created Conversion]])</f>
        <v>11</v>
      </c>
      <c r="N1004">
        <f>YEAR(Table1[[#This Row],[Date Created Conversion]])</f>
        <v>2015</v>
      </c>
      <c r="O1004" t="b">
        <v>0</v>
      </c>
      <c r="P1004">
        <v>22</v>
      </c>
      <c r="Q1004" t="b">
        <v>0</v>
      </c>
      <c r="R1004" t="s">
        <v>8273</v>
      </c>
      <c r="S1004" s="6">
        <f>Table1[[#This Row],[pledged]]/Table1[[#This Row],[goal]]</f>
        <v>0.29602960296029601</v>
      </c>
      <c r="T1004" s="8">
        <f>IF(Table1[[#This Row],[pledged]]=0,"no backers",Table1[[#This Row],[pledged]]/Table1[[#This Row],[backers_count]])</f>
        <v>134.54545454545453</v>
      </c>
      <c r="U1004" t="str">
        <f>LEFT(Table1[[#This Row],[Category and Sub-Category]],FIND("/",Table1[[#This Row],[Category and Sub-Category]])-1)</f>
        <v>technology</v>
      </c>
      <c r="V1004" t="str">
        <f>RIGHT(Table1[[#This Row],[Category and Sub-Category]],LEN(Table1[[#This Row],[Category and Sub-Category]])-FIND("/",Table1[[#This Row],[Category and Sub-Category]]))</f>
        <v>wearables</v>
      </c>
    </row>
    <row r="1005" spans="1:22" ht="43.2" x14ac:dyDescent="0.3">
      <c r="A1005">
        <v>1003</v>
      </c>
      <c r="B1005" s="3" t="s">
        <v>1004</v>
      </c>
      <c r="C1005" s="3" t="s">
        <v>5113</v>
      </c>
      <c r="D1005" s="12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>((Table1[[#This Row],[deadline]]/60)/60/24)+DATE(1970,1,1)</f>
        <v>42810.667372685188</v>
      </c>
      <c r="K1005">
        <v>1487091661</v>
      </c>
      <c r="L1005" s="11">
        <f>((Table1[[#This Row],[launched_at]]/60)/60/24)+DATE(1970,1,1)</f>
        <v>42780.709039351852</v>
      </c>
      <c r="M1005">
        <f>MONTH(Table1[[#This Row],[Date Created Conversion]])</f>
        <v>2</v>
      </c>
      <c r="N1005">
        <f>YEAR(Table1[[#This Row],[Date Created Conversion]])</f>
        <v>2017</v>
      </c>
      <c r="O1005" t="b">
        <v>0</v>
      </c>
      <c r="P1005">
        <v>15</v>
      </c>
      <c r="Q1005" t="b">
        <v>0</v>
      </c>
      <c r="R1005" t="s">
        <v>8273</v>
      </c>
      <c r="S1005" s="6">
        <f>Table1[[#This Row],[pledged]]/Table1[[#This Row],[goal]]</f>
        <v>0.16055</v>
      </c>
      <c r="T1005" s="8">
        <f>IF(Table1[[#This Row],[pledged]]=0,"no backers",Table1[[#This Row],[pledged]]/Table1[[#This Row],[backers_count]])</f>
        <v>214.06666666666666</v>
      </c>
      <c r="U1005" t="str">
        <f>LEFT(Table1[[#This Row],[Category and Sub-Category]],FIND("/",Table1[[#This Row],[Category and Sub-Category]])-1)</f>
        <v>technology</v>
      </c>
      <c r="V1005" t="str">
        <f>RIGHT(Table1[[#This Row],[Category and Sub-Category]],LEN(Table1[[#This Row],[Category and Sub-Category]])-FIND("/",Table1[[#This Row],[Category and Sub-Category]]))</f>
        <v>wearables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 s="12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>((Table1[[#This Row],[deadline]]/60)/60/24)+DATE(1970,1,1)</f>
        <v>42418.708645833336</v>
      </c>
      <c r="K1006">
        <v>1453222827</v>
      </c>
      <c r="L1006" s="11">
        <f>((Table1[[#This Row],[launched_at]]/60)/60/24)+DATE(1970,1,1)</f>
        <v>42388.708645833336</v>
      </c>
      <c r="M1006">
        <f>MONTH(Table1[[#This Row],[Date Created Conversion]])</f>
        <v>1</v>
      </c>
      <c r="N1006">
        <f>YEAR(Table1[[#This Row],[Date Created Conversion]])</f>
        <v>2016</v>
      </c>
      <c r="O1006" t="b">
        <v>0</v>
      </c>
      <c r="P1006">
        <v>95</v>
      </c>
      <c r="Q1006" t="b">
        <v>0</v>
      </c>
      <c r="R1006" t="s">
        <v>8273</v>
      </c>
      <c r="S1006" s="6">
        <f>Table1[[#This Row],[pledged]]/Table1[[#This Row],[goal]]</f>
        <v>0.82208000000000003</v>
      </c>
      <c r="T1006" s="8">
        <f>IF(Table1[[#This Row],[pledged]]=0,"no backers",Table1[[#This Row],[pledged]]/Table1[[#This Row],[backers_count]])</f>
        <v>216.33684210526314</v>
      </c>
      <c r="U1006" t="str">
        <f>LEFT(Table1[[#This Row],[Category and Sub-Category]],FIND("/",Table1[[#This Row],[Category and Sub-Category]])-1)</f>
        <v>technology</v>
      </c>
      <c r="V1006" t="str">
        <f>RIGHT(Table1[[#This Row],[Category and Sub-Category]],LEN(Table1[[#This Row],[Category and Sub-Category]])-FIND("/",Table1[[#This Row],[Category and Sub-Category]]))</f>
        <v>wearables</v>
      </c>
    </row>
    <row r="1007" spans="1:22" ht="43.2" x14ac:dyDescent="0.3">
      <c r="A1007">
        <v>1005</v>
      </c>
      <c r="B1007" s="3" t="s">
        <v>1006</v>
      </c>
      <c r="C1007" s="3" t="s">
        <v>5115</v>
      </c>
      <c r="D1007" s="12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>((Table1[[#This Row],[deadline]]/60)/60/24)+DATE(1970,1,1)</f>
        <v>42307.624803240738</v>
      </c>
      <c r="K1007">
        <v>1443538783</v>
      </c>
      <c r="L1007" s="11">
        <f>((Table1[[#This Row],[launched_at]]/60)/60/24)+DATE(1970,1,1)</f>
        <v>42276.624803240738</v>
      </c>
      <c r="M1007">
        <f>MONTH(Table1[[#This Row],[Date Created Conversion]])</f>
        <v>9</v>
      </c>
      <c r="N1007">
        <f>YEAR(Table1[[#This Row],[Date Created Conversion]])</f>
        <v>2015</v>
      </c>
      <c r="O1007" t="b">
        <v>0</v>
      </c>
      <c r="P1007">
        <v>161</v>
      </c>
      <c r="Q1007" t="b">
        <v>0</v>
      </c>
      <c r="R1007" t="s">
        <v>8273</v>
      </c>
      <c r="S1007" s="6">
        <f>Table1[[#This Row],[pledged]]/Table1[[#This Row],[goal]]</f>
        <v>0.75051000000000001</v>
      </c>
      <c r="T1007" s="8">
        <f>IF(Table1[[#This Row],[pledged]]=0,"no backers",Table1[[#This Row],[pledged]]/Table1[[#This Row],[backers_count]])</f>
        <v>932.31055900621118</v>
      </c>
      <c r="U1007" t="str">
        <f>LEFT(Table1[[#This Row],[Category and Sub-Category]],FIND("/",Table1[[#This Row],[Category and Sub-Category]])-1)</f>
        <v>technology</v>
      </c>
      <c r="V1007" t="str">
        <f>RIGHT(Table1[[#This Row],[Category and Sub-Category]],LEN(Table1[[#This Row],[Category and Sub-Category]])-FIND("/",Table1[[#This Row],[Category and Sub-Category]]))</f>
        <v>wearables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 s="12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>((Table1[[#This Row],[deadline]]/60)/60/24)+DATE(1970,1,1)</f>
        <v>41985.299305555556</v>
      </c>
      <c r="K1008">
        <v>1417654672</v>
      </c>
      <c r="L1008" s="11">
        <f>((Table1[[#This Row],[launched_at]]/60)/60/24)+DATE(1970,1,1)</f>
        <v>41977.040185185186</v>
      </c>
      <c r="M1008">
        <f>MONTH(Table1[[#This Row],[Date Created Conversion]])</f>
        <v>12</v>
      </c>
      <c r="N1008">
        <f>YEAR(Table1[[#This Row],[Date Created Conversion]])</f>
        <v>2014</v>
      </c>
      <c r="O1008" t="b">
        <v>0</v>
      </c>
      <c r="P1008">
        <v>8</v>
      </c>
      <c r="Q1008" t="b">
        <v>0</v>
      </c>
      <c r="R1008" t="s">
        <v>8273</v>
      </c>
      <c r="S1008" s="6">
        <f>Table1[[#This Row],[pledged]]/Table1[[#This Row],[goal]]</f>
        <v>5.8500000000000003E-2</v>
      </c>
      <c r="T1008" s="8">
        <f>IF(Table1[[#This Row],[pledged]]=0,"no backers",Table1[[#This Row],[pledged]]/Table1[[#This Row],[backers_count]])</f>
        <v>29.25</v>
      </c>
      <c r="U1008" t="str">
        <f>LEFT(Table1[[#This Row],[Category and Sub-Category]],FIND("/",Table1[[#This Row],[Category and Sub-Category]])-1)</f>
        <v>technology</v>
      </c>
      <c r="V1008" t="str">
        <f>RIGHT(Table1[[#This Row],[Category and Sub-Category]],LEN(Table1[[#This Row],[Category and Sub-Category]])-FIND("/",Table1[[#This Row],[Category and Sub-Category]]))</f>
        <v>wearables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 s="12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>((Table1[[#This Row],[deadline]]/60)/60/24)+DATE(1970,1,1)</f>
        <v>42718.6252662037</v>
      </c>
      <c r="K1009">
        <v>1478095223</v>
      </c>
      <c r="L1009" s="11">
        <f>((Table1[[#This Row],[launched_at]]/60)/60/24)+DATE(1970,1,1)</f>
        <v>42676.583599537036</v>
      </c>
      <c r="M1009">
        <f>MONTH(Table1[[#This Row],[Date Created Conversion]])</f>
        <v>11</v>
      </c>
      <c r="N1009">
        <f>YEAR(Table1[[#This Row],[Date Created Conversion]])</f>
        <v>2016</v>
      </c>
      <c r="O1009" t="b">
        <v>0</v>
      </c>
      <c r="P1009">
        <v>76</v>
      </c>
      <c r="Q1009" t="b">
        <v>0</v>
      </c>
      <c r="R1009" t="s">
        <v>8273</v>
      </c>
      <c r="S1009" s="6">
        <f>Table1[[#This Row],[pledged]]/Table1[[#This Row],[goal]]</f>
        <v>0.44319999999999998</v>
      </c>
      <c r="T1009" s="8">
        <f>IF(Table1[[#This Row],[pledged]]=0,"no backers",Table1[[#This Row],[pledged]]/Table1[[#This Row],[backers_count]])</f>
        <v>174.94736842105263</v>
      </c>
      <c r="U1009" t="str">
        <f>LEFT(Table1[[#This Row],[Category and Sub-Category]],FIND("/",Table1[[#This Row],[Category and Sub-Category]])-1)</f>
        <v>technology</v>
      </c>
      <c r="V1009" t="str">
        <f>RIGHT(Table1[[#This Row],[Category and Sub-Category]],LEN(Table1[[#This Row],[Category and Sub-Category]])-FIND("/",Table1[[#This Row],[Category and Sub-Category]]))</f>
        <v>wearables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 s="12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>((Table1[[#This Row],[deadline]]/60)/60/24)+DATE(1970,1,1)</f>
        <v>42732.809201388889</v>
      </c>
      <c r="K1010">
        <v>1480361115</v>
      </c>
      <c r="L1010" s="11">
        <f>((Table1[[#This Row],[launched_at]]/60)/60/24)+DATE(1970,1,1)</f>
        <v>42702.809201388889</v>
      </c>
      <c r="M1010">
        <f>MONTH(Table1[[#This Row],[Date Created Conversion]])</f>
        <v>11</v>
      </c>
      <c r="N1010">
        <f>YEAR(Table1[[#This Row],[Date Created Conversion]])</f>
        <v>2016</v>
      </c>
      <c r="O1010" t="b">
        <v>0</v>
      </c>
      <c r="P1010">
        <v>1</v>
      </c>
      <c r="Q1010" t="b">
        <v>0</v>
      </c>
      <c r="R1010" t="s">
        <v>8273</v>
      </c>
      <c r="S1010" s="6">
        <f>Table1[[#This Row],[pledged]]/Table1[[#This Row],[goal]]</f>
        <v>2.6737967914438501E-3</v>
      </c>
      <c r="T1010" s="8">
        <f>IF(Table1[[#This Row],[pledged]]=0,"no backers",Table1[[#This Row],[pledged]]/Table1[[#This Row],[backers_count]])</f>
        <v>250</v>
      </c>
      <c r="U1010" t="str">
        <f>LEFT(Table1[[#This Row],[Category and Sub-Category]],FIND("/",Table1[[#This Row],[Category and Sub-Category]])-1)</f>
        <v>technology</v>
      </c>
      <c r="V1010" t="str">
        <f>RIGHT(Table1[[#This Row],[Category and Sub-Category]],LEN(Table1[[#This Row],[Category and Sub-Category]])-FIND("/",Table1[[#This Row],[Category and Sub-Category]]))</f>
        <v>wearables</v>
      </c>
    </row>
    <row r="1011" spans="1:22" ht="57.6" x14ac:dyDescent="0.3">
      <c r="A1011">
        <v>1009</v>
      </c>
      <c r="B1011" s="3" t="s">
        <v>1010</v>
      </c>
      <c r="C1011" s="3" t="s">
        <v>5119</v>
      </c>
      <c r="D1011" s="12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>((Table1[[#This Row],[deadline]]/60)/60/24)+DATE(1970,1,1)</f>
        <v>42540.604699074072</v>
      </c>
      <c r="K1011">
        <v>1463754646</v>
      </c>
      <c r="L1011" s="11">
        <f>((Table1[[#This Row],[launched_at]]/60)/60/24)+DATE(1970,1,1)</f>
        <v>42510.604699074072</v>
      </c>
      <c r="M1011">
        <f>MONTH(Table1[[#This Row],[Date Created Conversion]])</f>
        <v>5</v>
      </c>
      <c r="N1011">
        <f>YEAR(Table1[[#This Row],[Date Created Conversion]])</f>
        <v>2016</v>
      </c>
      <c r="O1011" t="b">
        <v>0</v>
      </c>
      <c r="P1011">
        <v>101</v>
      </c>
      <c r="Q1011" t="b">
        <v>0</v>
      </c>
      <c r="R1011" t="s">
        <v>8273</v>
      </c>
      <c r="S1011" s="6">
        <f>Table1[[#This Row],[pledged]]/Table1[[#This Row],[goal]]</f>
        <v>0.1313</v>
      </c>
      <c r="T1011" s="8">
        <f>IF(Table1[[#This Row],[pledged]]=0,"no backers",Table1[[#This Row],[pledged]]/Table1[[#This Row],[backers_count]])</f>
        <v>65</v>
      </c>
      <c r="U1011" t="str">
        <f>LEFT(Table1[[#This Row],[Category and Sub-Category]],FIND("/",Table1[[#This Row],[Category and Sub-Category]])-1)</f>
        <v>technology</v>
      </c>
      <c r="V1011" t="str">
        <f>RIGHT(Table1[[#This Row],[Category and Sub-Category]],LEN(Table1[[#This Row],[Category and Sub-Category]])-FIND("/",Table1[[#This Row],[Category and Sub-Category]]))</f>
        <v>wearables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 s="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>((Table1[[#This Row],[deadline]]/60)/60/24)+DATE(1970,1,1)</f>
        <v>42618.124305555553</v>
      </c>
      <c r="K1012">
        <v>1468180462</v>
      </c>
      <c r="L1012" s="11">
        <f>((Table1[[#This Row],[launched_at]]/60)/60/24)+DATE(1970,1,1)</f>
        <v>42561.829421296294</v>
      </c>
      <c r="M1012">
        <f>MONTH(Table1[[#This Row],[Date Created Conversion]])</f>
        <v>7</v>
      </c>
      <c r="N1012">
        <f>YEAR(Table1[[#This Row],[Date Created Conversion]])</f>
        <v>2016</v>
      </c>
      <c r="O1012" t="b">
        <v>0</v>
      </c>
      <c r="P1012">
        <v>4</v>
      </c>
      <c r="Q1012" t="b">
        <v>0</v>
      </c>
      <c r="R1012" t="s">
        <v>8273</v>
      </c>
      <c r="S1012" s="6">
        <f>Table1[[#This Row],[pledged]]/Table1[[#This Row],[goal]]</f>
        <v>1.9088937093275488E-3</v>
      </c>
      <c r="T1012" s="8">
        <f>IF(Table1[[#This Row],[pledged]]=0,"no backers",Table1[[#This Row],[pledged]]/Table1[[#This Row],[backers_count]])</f>
        <v>55</v>
      </c>
      <c r="U1012" t="str">
        <f>LEFT(Table1[[#This Row],[Category and Sub-Category]],FIND("/",Table1[[#This Row],[Category and Sub-Category]])-1)</f>
        <v>technology</v>
      </c>
      <c r="V1012" t="str">
        <f>RIGHT(Table1[[#This Row],[Category and Sub-Category]],LEN(Table1[[#This Row],[Category and Sub-Category]])-FIND("/",Table1[[#This Row],[Category and Sub-Category]]))</f>
        <v>wearables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 s="12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>((Table1[[#This Row],[deadline]]/60)/60/24)+DATE(1970,1,1)</f>
        <v>41991.898090277777</v>
      </c>
      <c r="K1013">
        <v>1415050395</v>
      </c>
      <c r="L1013" s="11">
        <f>((Table1[[#This Row],[launched_at]]/60)/60/24)+DATE(1970,1,1)</f>
        <v>41946.898090277777</v>
      </c>
      <c r="M1013">
        <f>MONTH(Table1[[#This Row],[Date Created Conversion]])</f>
        <v>11</v>
      </c>
      <c r="N1013">
        <f>YEAR(Table1[[#This Row],[Date Created Conversion]])</f>
        <v>2014</v>
      </c>
      <c r="O1013" t="b">
        <v>0</v>
      </c>
      <c r="P1013">
        <v>1</v>
      </c>
      <c r="Q1013" t="b">
        <v>0</v>
      </c>
      <c r="R1013" t="s">
        <v>8273</v>
      </c>
      <c r="S1013" s="6">
        <f>Table1[[#This Row],[pledged]]/Table1[[#This Row],[goal]]</f>
        <v>3.7499999999999999E-3</v>
      </c>
      <c r="T1013" s="8">
        <f>IF(Table1[[#This Row],[pledged]]=0,"no backers",Table1[[#This Row],[pledged]]/Table1[[#This Row],[backers_count]])</f>
        <v>75</v>
      </c>
      <c r="U1013" t="str">
        <f>LEFT(Table1[[#This Row],[Category and Sub-Category]],FIND("/",Table1[[#This Row],[Category and Sub-Category]])-1)</f>
        <v>technology</v>
      </c>
      <c r="V1013" t="str">
        <f>RIGHT(Table1[[#This Row],[Category and Sub-Category]],LEN(Table1[[#This Row],[Category and Sub-Category]])-FIND("/",Table1[[#This Row],[Category and Sub-Category]]))</f>
        <v>wearables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 s="12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>((Table1[[#This Row],[deadline]]/60)/60/24)+DATE(1970,1,1)</f>
        <v>42759.440416666665</v>
      </c>
      <c r="K1014">
        <v>1481366052</v>
      </c>
      <c r="L1014" s="11">
        <f>((Table1[[#This Row],[launched_at]]/60)/60/24)+DATE(1970,1,1)</f>
        <v>42714.440416666665</v>
      </c>
      <c r="M1014">
        <f>MONTH(Table1[[#This Row],[Date Created Conversion]])</f>
        <v>12</v>
      </c>
      <c r="N1014">
        <f>YEAR(Table1[[#This Row],[Date Created Conversion]])</f>
        <v>2016</v>
      </c>
      <c r="O1014" t="b">
        <v>0</v>
      </c>
      <c r="P1014">
        <v>775</v>
      </c>
      <c r="Q1014" t="b">
        <v>0</v>
      </c>
      <c r="R1014" t="s">
        <v>8273</v>
      </c>
      <c r="S1014" s="6">
        <f>Table1[[#This Row],[pledged]]/Table1[[#This Row],[goal]]</f>
        <v>215.35021</v>
      </c>
      <c r="T1014" s="8">
        <f>IF(Table1[[#This Row],[pledged]]=0,"no backers",Table1[[#This Row],[pledged]]/Table1[[#This Row],[backers_count]])</f>
        <v>1389.3561935483872</v>
      </c>
      <c r="U1014" t="str">
        <f>LEFT(Table1[[#This Row],[Category and Sub-Category]],FIND("/",Table1[[#This Row],[Category and Sub-Category]])-1)</f>
        <v>technology</v>
      </c>
      <c r="V1014" t="str">
        <f>RIGHT(Table1[[#This Row],[Category and Sub-Category]],LEN(Table1[[#This Row],[Category and Sub-Category]])-FIND("/",Table1[[#This Row],[Category and Sub-Category]]))</f>
        <v>wearables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 s="12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>((Table1[[#This Row],[deadline]]/60)/60/24)+DATE(1970,1,1)</f>
        <v>42367.833333333328</v>
      </c>
      <c r="K1015">
        <v>1449000056</v>
      </c>
      <c r="L1015" s="11">
        <f>((Table1[[#This Row],[launched_at]]/60)/60/24)+DATE(1970,1,1)</f>
        <v>42339.833981481483</v>
      </c>
      <c r="M1015">
        <f>MONTH(Table1[[#This Row],[Date Created Conversion]])</f>
        <v>12</v>
      </c>
      <c r="N1015">
        <f>YEAR(Table1[[#This Row],[Date Created Conversion]])</f>
        <v>2015</v>
      </c>
      <c r="O1015" t="b">
        <v>0</v>
      </c>
      <c r="P1015">
        <v>90</v>
      </c>
      <c r="Q1015" t="b">
        <v>0</v>
      </c>
      <c r="R1015" t="s">
        <v>8273</v>
      </c>
      <c r="S1015" s="6">
        <f>Table1[[#This Row],[pledged]]/Table1[[#This Row],[goal]]</f>
        <v>0.34527999999999998</v>
      </c>
      <c r="T1015" s="8">
        <f>IF(Table1[[#This Row],[pledged]]=0,"no backers",Table1[[#This Row],[pledged]]/Table1[[#This Row],[backers_count]])</f>
        <v>95.911111111111111</v>
      </c>
      <c r="U1015" t="str">
        <f>LEFT(Table1[[#This Row],[Category and Sub-Category]],FIND("/",Table1[[#This Row],[Category and Sub-Category]])-1)</f>
        <v>technology</v>
      </c>
      <c r="V1015" t="str">
        <f>RIGHT(Table1[[#This Row],[Category and Sub-Category]],LEN(Table1[[#This Row],[Category and Sub-Category]])-FIND("/",Table1[[#This Row],[Category and Sub-Category]]))</f>
        <v>wearables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 s="12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>((Table1[[#This Row],[deadline]]/60)/60/24)+DATE(1970,1,1)</f>
        <v>42005.002488425926</v>
      </c>
      <c r="K1016">
        <v>1415750615</v>
      </c>
      <c r="L1016" s="11">
        <f>((Table1[[#This Row],[launched_at]]/60)/60/24)+DATE(1970,1,1)</f>
        <v>41955.002488425926</v>
      </c>
      <c r="M1016">
        <f>MONTH(Table1[[#This Row],[Date Created Conversion]])</f>
        <v>11</v>
      </c>
      <c r="N1016">
        <f>YEAR(Table1[[#This Row],[Date Created Conversion]])</f>
        <v>2014</v>
      </c>
      <c r="O1016" t="b">
        <v>0</v>
      </c>
      <c r="P1016">
        <v>16</v>
      </c>
      <c r="Q1016" t="b">
        <v>0</v>
      </c>
      <c r="R1016" t="s">
        <v>8273</v>
      </c>
      <c r="S1016" s="6">
        <f>Table1[[#This Row],[pledged]]/Table1[[#This Row],[goal]]</f>
        <v>0.30599999999999999</v>
      </c>
      <c r="T1016" s="8">
        <f>IF(Table1[[#This Row],[pledged]]=0,"no backers",Table1[[#This Row],[pledged]]/Table1[[#This Row],[backers_count]])</f>
        <v>191.25</v>
      </c>
      <c r="U1016" t="str">
        <f>LEFT(Table1[[#This Row],[Category and Sub-Category]],FIND("/",Table1[[#This Row],[Category and Sub-Category]])-1)</f>
        <v>technology</v>
      </c>
      <c r="V1016" t="str">
        <f>RIGHT(Table1[[#This Row],[Category and Sub-Category]],LEN(Table1[[#This Row],[Category and Sub-Category]])-FIND("/",Table1[[#This Row],[Category and Sub-Category]]))</f>
        <v>wearables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 s="12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>((Table1[[#This Row],[deadline]]/60)/60/24)+DATE(1970,1,1)</f>
        <v>42333.920081018514</v>
      </c>
      <c r="K1017">
        <v>1445893495</v>
      </c>
      <c r="L1017" s="11">
        <f>((Table1[[#This Row],[launched_at]]/60)/60/24)+DATE(1970,1,1)</f>
        <v>42303.878414351857</v>
      </c>
      <c r="M1017">
        <f>MONTH(Table1[[#This Row],[Date Created Conversion]])</f>
        <v>10</v>
      </c>
      <c r="N1017">
        <f>YEAR(Table1[[#This Row],[Date Created Conversion]])</f>
        <v>2015</v>
      </c>
      <c r="O1017" t="b">
        <v>0</v>
      </c>
      <c r="P1017">
        <v>6</v>
      </c>
      <c r="Q1017" t="b">
        <v>0</v>
      </c>
      <c r="R1017" t="s">
        <v>8273</v>
      </c>
      <c r="S1017" s="6">
        <f>Table1[[#This Row],[pledged]]/Table1[[#This Row],[goal]]</f>
        <v>2.6666666666666668E-2</v>
      </c>
      <c r="T1017" s="8">
        <f>IF(Table1[[#This Row],[pledged]]=0,"no backers",Table1[[#This Row],[pledged]]/Table1[[#This Row],[backers_count]])</f>
        <v>40</v>
      </c>
      <c r="U1017" t="str">
        <f>LEFT(Table1[[#This Row],[Category and Sub-Category]],FIND("/",Table1[[#This Row],[Category and Sub-Category]])-1)</f>
        <v>technology</v>
      </c>
      <c r="V1017" t="str">
        <f>RIGHT(Table1[[#This Row],[Category and Sub-Category]],LEN(Table1[[#This Row],[Category and Sub-Category]])-FIND("/",Table1[[#This Row],[Category and Sub-Category]]))</f>
        <v>wearables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 s="12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>((Table1[[#This Row],[deadline]]/60)/60/24)+DATE(1970,1,1)</f>
        <v>42467.065462962957</v>
      </c>
      <c r="K1018">
        <v>1456108456</v>
      </c>
      <c r="L1018" s="11">
        <f>((Table1[[#This Row],[launched_at]]/60)/60/24)+DATE(1970,1,1)</f>
        <v>42422.107129629629</v>
      </c>
      <c r="M1018">
        <f>MONTH(Table1[[#This Row],[Date Created Conversion]])</f>
        <v>2</v>
      </c>
      <c r="N1018">
        <f>YEAR(Table1[[#This Row],[Date Created Conversion]])</f>
        <v>2016</v>
      </c>
      <c r="O1018" t="b">
        <v>0</v>
      </c>
      <c r="P1018">
        <v>38</v>
      </c>
      <c r="Q1018" t="b">
        <v>0</v>
      </c>
      <c r="R1018" t="s">
        <v>8273</v>
      </c>
      <c r="S1018" s="6">
        <f>Table1[[#This Row],[pledged]]/Table1[[#This Row],[goal]]</f>
        <v>2.8420000000000001E-2</v>
      </c>
      <c r="T1018" s="8">
        <f>IF(Table1[[#This Row],[pledged]]=0,"no backers",Table1[[#This Row],[pledged]]/Table1[[#This Row],[backers_count]])</f>
        <v>74.78947368421052</v>
      </c>
      <c r="U1018" t="str">
        <f>LEFT(Table1[[#This Row],[Category and Sub-Category]],FIND("/",Table1[[#This Row],[Category and Sub-Category]])-1)</f>
        <v>technology</v>
      </c>
      <c r="V1018" t="str">
        <f>RIGHT(Table1[[#This Row],[Category and Sub-Category]],LEN(Table1[[#This Row],[Category and Sub-Category]])-FIND("/",Table1[[#This Row],[Category and Sub-Category]]))</f>
        <v>wearables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 s="12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>((Table1[[#This Row],[deadline]]/60)/60/24)+DATE(1970,1,1)</f>
        <v>42329.716840277775</v>
      </c>
      <c r="K1019">
        <v>1444666335</v>
      </c>
      <c r="L1019" s="11">
        <f>((Table1[[#This Row],[launched_at]]/60)/60/24)+DATE(1970,1,1)</f>
        <v>42289.675173611111</v>
      </c>
      <c r="M1019">
        <f>MONTH(Table1[[#This Row],[Date Created Conversion]])</f>
        <v>10</v>
      </c>
      <c r="N1019">
        <f>YEAR(Table1[[#This Row],[Date Created Conversion]])</f>
        <v>2015</v>
      </c>
      <c r="O1019" t="b">
        <v>0</v>
      </c>
      <c r="P1019">
        <v>355</v>
      </c>
      <c r="Q1019" t="b">
        <v>0</v>
      </c>
      <c r="R1019" t="s">
        <v>8273</v>
      </c>
      <c r="S1019" s="6">
        <f>Table1[[#This Row],[pledged]]/Table1[[#This Row],[goal]]</f>
        <v>0.22878799999999999</v>
      </c>
      <c r="T1019" s="8">
        <f>IF(Table1[[#This Row],[pledged]]=0,"no backers",Table1[[#This Row],[pledged]]/Table1[[#This Row],[backers_count]])</f>
        <v>161.11830985915492</v>
      </c>
      <c r="U1019" t="str">
        <f>LEFT(Table1[[#This Row],[Category and Sub-Category]],FIND("/",Table1[[#This Row],[Category and Sub-Category]])-1)</f>
        <v>technology</v>
      </c>
      <c r="V1019" t="str">
        <f>RIGHT(Table1[[#This Row],[Category and Sub-Category]],LEN(Table1[[#This Row],[Category and Sub-Category]])-FIND("/",Table1[[#This Row],[Category and Sub-Category]]))</f>
        <v>wearables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 s="12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>((Table1[[#This Row],[deadline]]/60)/60/24)+DATE(1970,1,1)</f>
        <v>42565.492280092592</v>
      </c>
      <c r="K1020">
        <v>1465904933</v>
      </c>
      <c r="L1020" s="11">
        <f>((Table1[[#This Row],[launched_at]]/60)/60/24)+DATE(1970,1,1)</f>
        <v>42535.492280092592</v>
      </c>
      <c r="M1020">
        <f>MONTH(Table1[[#This Row],[Date Created Conversion]])</f>
        <v>6</v>
      </c>
      <c r="N1020">
        <f>YEAR(Table1[[#This Row],[Date Created Conversion]])</f>
        <v>2016</v>
      </c>
      <c r="O1020" t="b">
        <v>0</v>
      </c>
      <c r="P1020">
        <v>7</v>
      </c>
      <c r="Q1020" t="b">
        <v>0</v>
      </c>
      <c r="R1020" t="s">
        <v>8273</v>
      </c>
      <c r="S1020" s="6">
        <f>Table1[[#This Row],[pledged]]/Table1[[#This Row],[goal]]</f>
        <v>3.1050000000000001E-2</v>
      </c>
      <c r="T1020" s="8">
        <f>IF(Table1[[#This Row],[pledged]]=0,"no backers",Table1[[#This Row],[pledged]]/Table1[[#This Row],[backers_count]])</f>
        <v>88.714285714285708</v>
      </c>
      <c r="U1020" t="str">
        <f>LEFT(Table1[[#This Row],[Category and Sub-Category]],FIND("/",Table1[[#This Row],[Category and Sub-Category]])-1)</f>
        <v>technology</v>
      </c>
      <c r="V1020" t="str">
        <f>RIGHT(Table1[[#This Row],[Category and Sub-Category]],LEN(Table1[[#This Row],[Category and Sub-Category]])-FIND("/",Table1[[#This Row],[Category and Sub-Category]]))</f>
        <v>wearables</v>
      </c>
    </row>
    <row r="1021" spans="1:22" ht="43.2" x14ac:dyDescent="0.3">
      <c r="A1021">
        <v>1019</v>
      </c>
      <c r="B1021" s="3" t="s">
        <v>1020</v>
      </c>
      <c r="C1021" s="3" t="s">
        <v>5129</v>
      </c>
      <c r="D1021" s="12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>((Table1[[#This Row],[deadline]]/60)/60/24)+DATE(1970,1,1)</f>
        <v>42039.973946759259</v>
      </c>
      <c r="K1021">
        <v>1420500149</v>
      </c>
      <c r="L1021" s="11">
        <f>((Table1[[#This Row],[launched_at]]/60)/60/24)+DATE(1970,1,1)</f>
        <v>42009.973946759259</v>
      </c>
      <c r="M1021">
        <f>MONTH(Table1[[#This Row],[Date Created Conversion]])</f>
        <v>1</v>
      </c>
      <c r="N1021">
        <f>YEAR(Table1[[#This Row],[Date Created Conversion]])</f>
        <v>2015</v>
      </c>
      <c r="O1021" t="b">
        <v>0</v>
      </c>
      <c r="P1021">
        <v>400</v>
      </c>
      <c r="Q1021" t="b">
        <v>0</v>
      </c>
      <c r="R1021" t="s">
        <v>8273</v>
      </c>
      <c r="S1021" s="6">
        <f>Table1[[#This Row],[pledged]]/Table1[[#This Row],[goal]]</f>
        <v>0.47333333333333333</v>
      </c>
      <c r="T1021" s="8">
        <f>IF(Table1[[#This Row],[pledged]]=0,"no backers",Table1[[#This Row],[pledged]]/Table1[[#This Row],[backers_count]])</f>
        <v>53.25</v>
      </c>
      <c r="U1021" t="str">
        <f>LEFT(Table1[[#This Row],[Category and Sub-Category]],FIND("/",Table1[[#This Row],[Category and Sub-Category]])-1)</f>
        <v>technology</v>
      </c>
      <c r="V1021" t="str">
        <f>RIGHT(Table1[[#This Row],[Category and Sub-Category]],LEN(Table1[[#This Row],[Category and Sub-Category]])-FIND("/",Table1[[#This Row],[Category and Sub-Category]]))</f>
        <v>wearables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 s="1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>((Table1[[#This Row],[deadline]]/60)/60/24)+DATE(1970,1,1)</f>
        <v>42157.032638888893</v>
      </c>
      <c r="K1022">
        <v>1430617209</v>
      </c>
      <c r="L1022" s="11">
        <f>((Table1[[#This Row],[launched_at]]/60)/60/24)+DATE(1970,1,1)</f>
        <v>42127.069548611107</v>
      </c>
      <c r="M1022">
        <f>MONTH(Table1[[#This Row],[Date Created Conversion]])</f>
        <v>5</v>
      </c>
      <c r="N1022">
        <f>YEAR(Table1[[#This Row],[Date Created Conversion]])</f>
        <v>2015</v>
      </c>
      <c r="O1022" t="b">
        <v>0</v>
      </c>
      <c r="P1022">
        <v>30</v>
      </c>
      <c r="Q1022" t="b">
        <v>1</v>
      </c>
      <c r="R1022" t="s">
        <v>8280</v>
      </c>
      <c r="S1022" s="6">
        <f>Table1[[#This Row],[pledged]]/Table1[[#This Row],[goal]]</f>
        <v>2.0554838709677421</v>
      </c>
      <c r="T1022" s="8">
        <f>IF(Table1[[#This Row],[pledged]]=0,"no backers",Table1[[#This Row],[pledged]]/Table1[[#This Row],[backers_count]])</f>
        <v>106.2</v>
      </c>
      <c r="U1022" t="str">
        <f>LEFT(Table1[[#This Row],[Category and Sub-Category]],FIND("/",Table1[[#This Row],[Category and Sub-Category]])-1)</f>
        <v>music</v>
      </c>
      <c r="V1022" t="str">
        <f>RIGHT(Table1[[#This Row],[Category and Sub-Category]],LEN(Table1[[#This Row],[Category and Sub-Category]])-FIND("/",Table1[[#This Row],[Category and Sub-Category]]))</f>
        <v>electronic music</v>
      </c>
    </row>
    <row r="1023" spans="1:22" ht="43.2" x14ac:dyDescent="0.3">
      <c r="A1023">
        <v>1021</v>
      </c>
      <c r="B1023" s="3" t="s">
        <v>1022</v>
      </c>
      <c r="C1023" s="3" t="s">
        <v>5131</v>
      </c>
      <c r="D1023" s="12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>((Table1[[#This Row],[deadline]]/60)/60/24)+DATE(1970,1,1)</f>
        <v>42294.166666666672</v>
      </c>
      <c r="K1023">
        <v>1443074571</v>
      </c>
      <c r="L1023" s="11">
        <f>((Table1[[#This Row],[launched_at]]/60)/60/24)+DATE(1970,1,1)</f>
        <v>42271.251979166671</v>
      </c>
      <c r="M1023">
        <f>MONTH(Table1[[#This Row],[Date Created Conversion]])</f>
        <v>9</v>
      </c>
      <c r="N1023">
        <f>YEAR(Table1[[#This Row],[Date Created Conversion]])</f>
        <v>2015</v>
      </c>
      <c r="O1023" t="b">
        <v>1</v>
      </c>
      <c r="P1023">
        <v>478</v>
      </c>
      <c r="Q1023" t="b">
        <v>1</v>
      </c>
      <c r="R1023" t="s">
        <v>8280</v>
      </c>
      <c r="S1023" s="6">
        <f>Table1[[#This Row],[pledged]]/Table1[[#This Row],[goal]]</f>
        <v>3.5180366666666667</v>
      </c>
      <c r="T1023" s="8">
        <f>IF(Table1[[#This Row],[pledged]]=0,"no backers",Table1[[#This Row],[pledged]]/Table1[[#This Row],[backers_count]])</f>
        <v>22.079728033472804</v>
      </c>
      <c r="U1023" t="str">
        <f>LEFT(Table1[[#This Row],[Category and Sub-Category]],FIND("/",Table1[[#This Row],[Category and Sub-Category]])-1)</f>
        <v>music</v>
      </c>
      <c r="V1023" t="str">
        <f>RIGHT(Table1[[#This Row],[Category and Sub-Category]],LEN(Table1[[#This Row],[Category and Sub-Category]])-FIND("/",Table1[[#This Row],[Category and Sub-Category]]))</f>
        <v>electronic music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 s="12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>((Table1[[#This Row],[deadline]]/60)/60/24)+DATE(1970,1,1)</f>
        <v>42141.646724537044</v>
      </c>
      <c r="K1024">
        <v>1429284677</v>
      </c>
      <c r="L1024" s="11">
        <f>((Table1[[#This Row],[launched_at]]/60)/60/24)+DATE(1970,1,1)</f>
        <v>42111.646724537044</v>
      </c>
      <c r="M1024">
        <f>MONTH(Table1[[#This Row],[Date Created Conversion]])</f>
        <v>4</v>
      </c>
      <c r="N1024">
        <f>YEAR(Table1[[#This Row],[Date Created Conversion]])</f>
        <v>2015</v>
      </c>
      <c r="O1024" t="b">
        <v>1</v>
      </c>
      <c r="P1024">
        <v>74</v>
      </c>
      <c r="Q1024" t="b">
        <v>1</v>
      </c>
      <c r="R1024" t="s">
        <v>8280</v>
      </c>
      <c r="S1024" s="6">
        <f>Table1[[#This Row],[pledged]]/Table1[[#This Row],[goal]]</f>
        <v>1.149</v>
      </c>
      <c r="T1024" s="8">
        <f>IF(Table1[[#This Row],[pledged]]=0,"no backers",Table1[[#This Row],[pledged]]/Table1[[#This Row],[backers_count]])</f>
        <v>31.054054054054053</v>
      </c>
      <c r="U1024" t="str">
        <f>LEFT(Table1[[#This Row],[Category and Sub-Category]],FIND("/",Table1[[#This Row],[Category and Sub-Category]])-1)</f>
        <v>music</v>
      </c>
      <c r="V1024" t="str">
        <f>RIGHT(Table1[[#This Row],[Category and Sub-Category]],LEN(Table1[[#This Row],[Category and Sub-Category]])-FIND("/",Table1[[#This Row],[Category and Sub-Category]]))</f>
        <v>electronic music</v>
      </c>
    </row>
    <row r="1025" spans="1:22" ht="43.2" x14ac:dyDescent="0.3">
      <c r="A1025">
        <v>1023</v>
      </c>
      <c r="B1025" s="3" t="s">
        <v>1024</v>
      </c>
      <c r="C1025" s="3" t="s">
        <v>5133</v>
      </c>
      <c r="D1025" s="12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>((Table1[[#This Row],[deadline]]/60)/60/24)+DATE(1970,1,1)</f>
        <v>42175.919687500005</v>
      </c>
      <c r="K1025">
        <v>1432245861</v>
      </c>
      <c r="L1025" s="11">
        <f>((Table1[[#This Row],[launched_at]]/60)/60/24)+DATE(1970,1,1)</f>
        <v>42145.919687500005</v>
      </c>
      <c r="M1025">
        <f>MONTH(Table1[[#This Row],[Date Created Conversion]])</f>
        <v>5</v>
      </c>
      <c r="N1025">
        <f>YEAR(Table1[[#This Row],[Date Created Conversion]])</f>
        <v>2015</v>
      </c>
      <c r="O1025" t="b">
        <v>0</v>
      </c>
      <c r="P1025">
        <v>131</v>
      </c>
      <c r="Q1025" t="b">
        <v>1</v>
      </c>
      <c r="R1025" t="s">
        <v>8280</v>
      </c>
      <c r="S1025" s="6">
        <f>Table1[[#This Row],[pledged]]/Table1[[#This Row],[goal]]</f>
        <v>2.3715000000000002</v>
      </c>
      <c r="T1025" s="8">
        <f>IF(Table1[[#This Row],[pledged]]=0,"no backers",Table1[[#This Row],[pledged]]/Table1[[#This Row],[backers_count]])</f>
        <v>36.206106870229007</v>
      </c>
      <c r="U1025" t="str">
        <f>LEFT(Table1[[#This Row],[Category and Sub-Category]],FIND("/",Table1[[#This Row],[Category and Sub-Category]])-1)</f>
        <v>music</v>
      </c>
      <c r="V1025" t="str">
        <f>RIGHT(Table1[[#This Row],[Category and Sub-Category]],LEN(Table1[[#This Row],[Category and Sub-Category]])-FIND("/",Table1[[#This Row],[Category and Sub-Category]]))</f>
        <v>electronic music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 s="12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>((Table1[[#This Row],[deadline]]/60)/60/24)+DATE(1970,1,1)</f>
        <v>42400.580590277779</v>
      </c>
      <c r="K1026">
        <v>1451656563</v>
      </c>
      <c r="L1026" s="11">
        <f>((Table1[[#This Row],[launched_at]]/60)/60/24)+DATE(1970,1,1)</f>
        <v>42370.580590277779</v>
      </c>
      <c r="M1026">
        <f>MONTH(Table1[[#This Row],[Date Created Conversion]])</f>
        <v>1</v>
      </c>
      <c r="N1026">
        <f>YEAR(Table1[[#This Row],[Date Created Conversion]])</f>
        <v>2016</v>
      </c>
      <c r="O1026" t="b">
        <v>1</v>
      </c>
      <c r="P1026">
        <v>61</v>
      </c>
      <c r="Q1026" t="b">
        <v>1</v>
      </c>
      <c r="R1026" t="s">
        <v>8280</v>
      </c>
      <c r="S1026" s="6">
        <f>Table1[[#This Row],[pledged]]/Table1[[#This Row],[goal]]</f>
        <v>1.1863774999999999</v>
      </c>
      <c r="T1026" s="8">
        <f>IF(Table1[[#This Row],[pledged]]=0,"no backers",Table1[[#This Row],[pledged]]/Table1[[#This Row],[backers_count]])</f>
        <v>388.9762295081967</v>
      </c>
      <c r="U1026" t="str">
        <f>LEFT(Table1[[#This Row],[Category and Sub-Category]],FIND("/",Table1[[#This Row],[Category and Sub-Category]])-1)</f>
        <v>music</v>
      </c>
      <c r="V1026" t="str">
        <f>RIGHT(Table1[[#This Row],[Category and Sub-Category]],LEN(Table1[[#This Row],[Category and Sub-Category]])-FIND("/",Table1[[#This Row],[Category and Sub-Category]]))</f>
        <v>electronic music</v>
      </c>
    </row>
    <row r="1027" spans="1:22" ht="43.2" x14ac:dyDescent="0.3">
      <c r="A1027">
        <v>1025</v>
      </c>
      <c r="B1027" s="3" t="s">
        <v>1026</v>
      </c>
      <c r="C1027" s="3" t="s">
        <v>5135</v>
      </c>
      <c r="D1027" s="12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>((Table1[[#This Row],[deadline]]/60)/60/24)+DATE(1970,1,1)</f>
        <v>42079.792094907403</v>
      </c>
      <c r="K1027">
        <v>1423944037</v>
      </c>
      <c r="L1027" s="11">
        <f>((Table1[[#This Row],[launched_at]]/60)/60/24)+DATE(1970,1,1)</f>
        <v>42049.833761574075</v>
      </c>
      <c r="M1027">
        <f>MONTH(Table1[[#This Row],[Date Created Conversion]])</f>
        <v>2</v>
      </c>
      <c r="N1027">
        <f>YEAR(Table1[[#This Row],[Date Created Conversion]])</f>
        <v>2015</v>
      </c>
      <c r="O1027" t="b">
        <v>1</v>
      </c>
      <c r="P1027">
        <v>1071</v>
      </c>
      <c r="Q1027" t="b">
        <v>1</v>
      </c>
      <c r="R1027" t="s">
        <v>8280</v>
      </c>
      <c r="S1027" s="6">
        <f>Table1[[#This Row],[pledged]]/Table1[[#This Row],[goal]]</f>
        <v>1.099283142857143</v>
      </c>
      <c r="T1027" s="8">
        <f>IF(Table1[[#This Row],[pledged]]=0,"no backers",Table1[[#This Row],[pledged]]/Table1[[#This Row],[backers_count]])</f>
        <v>71.848571428571432</v>
      </c>
      <c r="U1027" t="str">
        <f>LEFT(Table1[[#This Row],[Category and Sub-Category]],FIND("/",Table1[[#This Row],[Category and Sub-Category]])-1)</f>
        <v>music</v>
      </c>
      <c r="V1027" t="str">
        <f>RIGHT(Table1[[#This Row],[Category and Sub-Category]],LEN(Table1[[#This Row],[Category and Sub-Category]])-FIND("/",Table1[[#This Row],[Category and Sub-Category]]))</f>
        <v>electronic music</v>
      </c>
    </row>
    <row r="1028" spans="1:22" ht="57.6" x14ac:dyDescent="0.3">
      <c r="A1028">
        <v>1026</v>
      </c>
      <c r="B1028" s="3" t="s">
        <v>1027</v>
      </c>
      <c r="C1028" s="3" t="s">
        <v>5136</v>
      </c>
      <c r="D1028" s="12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>((Table1[[#This Row],[deadline]]/60)/60/24)+DATE(1970,1,1)</f>
        <v>42460.365925925929</v>
      </c>
      <c r="K1028">
        <v>1456480016</v>
      </c>
      <c r="L1028" s="11">
        <f>((Table1[[#This Row],[launched_at]]/60)/60/24)+DATE(1970,1,1)</f>
        <v>42426.407592592594</v>
      </c>
      <c r="M1028">
        <f>MONTH(Table1[[#This Row],[Date Created Conversion]])</f>
        <v>2</v>
      </c>
      <c r="N1028">
        <f>YEAR(Table1[[#This Row],[Date Created Conversion]])</f>
        <v>2016</v>
      </c>
      <c r="O1028" t="b">
        <v>1</v>
      </c>
      <c r="P1028">
        <v>122</v>
      </c>
      <c r="Q1028" t="b">
        <v>1</v>
      </c>
      <c r="R1028" t="s">
        <v>8280</v>
      </c>
      <c r="S1028" s="6">
        <f>Table1[[#This Row],[pledged]]/Table1[[#This Row],[goal]]</f>
        <v>1.0000828571428571</v>
      </c>
      <c r="T1028" s="8">
        <f>IF(Table1[[#This Row],[pledged]]=0,"no backers",Table1[[#This Row],[pledged]]/Table1[[#This Row],[backers_count]])</f>
        <v>57.381803278688523</v>
      </c>
      <c r="U1028" t="str">
        <f>LEFT(Table1[[#This Row],[Category and Sub-Category]],FIND("/",Table1[[#This Row],[Category and Sub-Category]])-1)</f>
        <v>music</v>
      </c>
      <c r="V1028" t="str">
        <f>RIGHT(Table1[[#This Row],[Category and Sub-Category]],LEN(Table1[[#This Row],[Category and Sub-Category]])-FIND("/",Table1[[#This Row],[Category and Sub-Category]]))</f>
        <v>electronic music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 s="12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>((Table1[[#This Row],[deadline]]/60)/60/24)+DATE(1970,1,1)</f>
        <v>41935.034108796295</v>
      </c>
      <c r="K1029">
        <v>1411433347</v>
      </c>
      <c r="L1029" s="11">
        <f>((Table1[[#This Row],[launched_at]]/60)/60/24)+DATE(1970,1,1)</f>
        <v>41905.034108796295</v>
      </c>
      <c r="M1029">
        <f>MONTH(Table1[[#This Row],[Date Created Conversion]])</f>
        <v>9</v>
      </c>
      <c r="N1029">
        <f>YEAR(Table1[[#This Row],[Date Created Conversion]])</f>
        <v>2014</v>
      </c>
      <c r="O1029" t="b">
        <v>1</v>
      </c>
      <c r="P1029">
        <v>111</v>
      </c>
      <c r="Q1029" t="b">
        <v>1</v>
      </c>
      <c r="R1029" t="s">
        <v>8280</v>
      </c>
      <c r="S1029" s="6">
        <f>Table1[[#This Row],[pledged]]/Table1[[#This Row],[goal]]</f>
        <v>1.0309292094387414</v>
      </c>
      <c r="T1029" s="8">
        <f>IF(Table1[[#This Row],[pledged]]=0,"no backers",Table1[[#This Row],[pledged]]/Table1[[#This Row],[backers_count]])</f>
        <v>69.666666666666671</v>
      </c>
      <c r="U1029" t="str">
        <f>LEFT(Table1[[#This Row],[Category and Sub-Category]],FIND("/",Table1[[#This Row],[Category and Sub-Category]])-1)</f>
        <v>music</v>
      </c>
      <c r="V1029" t="str">
        <f>RIGHT(Table1[[#This Row],[Category and Sub-Category]],LEN(Table1[[#This Row],[Category and Sub-Category]])-FIND("/",Table1[[#This Row],[Category and Sub-Category]]))</f>
        <v>electronic music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 s="12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>((Table1[[#This Row],[deadline]]/60)/60/24)+DATE(1970,1,1)</f>
        <v>42800.833333333328</v>
      </c>
      <c r="K1030">
        <v>1484924605</v>
      </c>
      <c r="L1030" s="11">
        <f>((Table1[[#This Row],[launched_at]]/60)/60/24)+DATE(1970,1,1)</f>
        <v>42755.627372685187</v>
      </c>
      <c r="M1030">
        <f>MONTH(Table1[[#This Row],[Date Created Conversion]])</f>
        <v>1</v>
      </c>
      <c r="N1030">
        <f>YEAR(Table1[[#This Row],[Date Created Conversion]])</f>
        <v>2017</v>
      </c>
      <c r="O1030" t="b">
        <v>1</v>
      </c>
      <c r="P1030">
        <v>255</v>
      </c>
      <c r="Q1030" t="b">
        <v>1</v>
      </c>
      <c r="R1030" t="s">
        <v>8280</v>
      </c>
      <c r="S1030" s="6">
        <f>Table1[[#This Row],[pledged]]/Table1[[#This Row],[goal]]</f>
        <v>1.1727000000000001</v>
      </c>
      <c r="T1030" s="8">
        <f>IF(Table1[[#This Row],[pledged]]=0,"no backers",Table1[[#This Row],[pledged]]/Table1[[#This Row],[backers_count]])</f>
        <v>45.988235294117644</v>
      </c>
      <c r="U1030" t="str">
        <f>LEFT(Table1[[#This Row],[Category and Sub-Category]],FIND("/",Table1[[#This Row],[Category and Sub-Category]])-1)</f>
        <v>music</v>
      </c>
      <c r="V1030" t="str">
        <f>RIGHT(Table1[[#This Row],[Category and Sub-Category]],LEN(Table1[[#This Row],[Category and Sub-Category]])-FIND("/",Table1[[#This Row],[Category and Sub-Category]]))</f>
        <v>electronic music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 s="12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>((Table1[[#This Row],[deadline]]/60)/60/24)+DATE(1970,1,1)</f>
        <v>42098.915972222225</v>
      </c>
      <c r="K1031">
        <v>1423501507</v>
      </c>
      <c r="L1031" s="11">
        <f>((Table1[[#This Row],[launched_at]]/60)/60/24)+DATE(1970,1,1)</f>
        <v>42044.711886574078</v>
      </c>
      <c r="M1031">
        <f>MONTH(Table1[[#This Row],[Date Created Conversion]])</f>
        <v>2</v>
      </c>
      <c r="N1031">
        <f>YEAR(Table1[[#This Row],[Date Created Conversion]])</f>
        <v>2015</v>
      </c>
      <c r="O1031" t="b">
        <v>0</v>
      </c>
      <c r="P1031">
        <v>141</v>
      </c>
      <c r="Q1031" t="b">
        <v>1</v>
      </c>
      <c r="R1031" t="s">
        <v>8280</v>
      </c>
      <c r="S1031" s="6">
        <f>Table1[[#This Row],[pledged]]/Table1[[#This Row],[goal]]</f>
        <v>1.1175999999999999</v>
      </c>
      <c r="T1031" s="8">
        <f>IF(Table1[[#This Row],[pledged]]=0,"no backers",Table1[[#This Row],[pledged]]/Table1[[#This Row],[backers_count]])</f>
        <v>79.262411347517727</v>
      </c>
      <c r="U1031" t="str">
        <f>LEFT(Table1[[#This Row],[Category and Sub-Category]],FIND("/",Table1[[#This Row],[Category and Sub-Category]])-1)</f>
        <v>music</v>
      </c>
      <c r="V1031" t="str">
        <f>RIGHT(Table1[[#This Row],[Category and Sub-Category]],LEN(Table1[[#This Row],[Category and Sub-Category]])-FIND("/",Table1[[#This Row],[Category and Sub-Category]]))</f>
        <v>electronic music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 s="1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>((Table1[[#This Row],[deadline]]/60)/60/24)+DATE(1970,1,1)</f>
        <v>42625.483206018514</v>
      </c>
      <c r="K1032">
        <v>1472470549</v>
      </c>
      <c r="L1032" s="11">
        <f>((Table1[[#This Row],[launched_at]]/60)/60/24)+DATE(1970,1,1)</f>
        <v>42611.483206018514</v>
      </c>
      <c r="M1032">
        <f>MONTH(Table1[[#This Row],[Date Created Conversion]])</f>
        <v>8</v>
      </c>
      <c r="N1032">
        <f>YEAR(Table1[[#This Row],[Date Created Conversion]])</f>
        <v>2016</v>
      </c>
      <c r="O1032" t="b">
        <v>0</v>
      </c>
      <c r="P1032">
        <v>159</v>
      </c>
      <c r="Q1032" t="b">
        <v>1</v>
      </c>
      <c r="R1032" t="s">
        <v>8280</v>
      </c>
      <c r="S1032" s="6">
        <f>Table1[[#This Row],[pledged]]/Table1[[#This Row],[goal]]</f>
        <v>3.4209999999999998</v>
      </c>
      <c r="T1032" s="8">
        <f>IF(Table1[[#This Row],[pledged]]=0,"no backers",Table1[[#This Row],[pledged]]/Table1[[#This Row],[backers_count]])</f>
        <v>43.031446540880502</v>
      </c>
      <c r="U1032" t="str">
        <f>LEFT(Table1[[#This Row],[Category and Sub-Category]],FIND("/",Table1[[#This Row],[Category and Sub-Category]])-1)</f>
        <v>music</v>
      </c>
      <c r="V1032" t="str">
        <f>RIGHT(Table1[[#This Row],[Category and Sub-Category]],LEN(Table1[[#This Row],[Category and Sub-Category]])-FIND("/",Table1[[#This Row],[Category and Sub-Category]]))</f>
        <v>electronic music</v>
      </c>
    </row>
    <row r="1033" spans="1:22" ht="57.6" x14ac:dyDescent="0.3">
      <c r="A1033">
        <v>1031</v>
      </c>
      <c r="B1033" s="3" t="s">
        <v>1032</v>
      </c>
      <c r="C1033" s="3" t="s">
        <v>5141</v>
      </c>
      <c r="D1033" s="12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>((Table1[[#This Row],[deadline]]/60)/60/24)+DATE(1970,1,1)</f>
        <v>42354.764004629629</v>
      </c>
      <c r="K1033">
        <v>1447698010</v>
      </c>
      <c r="L1033" s="11">
        <f>((Table1[[#This Row],[launched_at]]/60)/60/24)+DATE(1970,1,1)</f>
        <v>42324.764004629629</v>
      </c>
      <c r="M1033">
        <f>MONTH(Table1[[#This Row],[Date Created Conversion]])</f>
        <v>11</v>
      </c>
      <c r="N1033">
        <f>YEAR(Table1[[#This Row],[Date Created Conversion]])</f>
        <v>2015</v>
      </c>
      <c r="O1033" t="b">
        <v>0</v>
      </c>
      <c r="P1033">
        <v>99</v>
      </c>
      <c r="Q1033" t="b">
        <v>1</v>
      </c>
      <c r="R1033" t="s">
        <v>8280</v>
      </c>
      <c r="S1033" s="6">
        <f>Table1[[#This Row],[pledged]]/Table1[[#This Row],[goal]]</f>
        <v>1.0740000000000001</v>
      </c>
      <c r="T1033" s="8">
        <f>IF(Table1[[#This Row],[pledged]]=0,"no backers",Table1[[#This Row],[pledged]]/Table1[[#This Row],[backers_count]])</f>
        <v>108.48484848484848</v>
      </c>
      <c r="U1033" t="str">
        <f>LEFT(Table1[[#This Row],[Category and Sub-Category]],FIND("/",Table1[[#This Row],[Category and Sub-Category]])-1)</f>
        <v>music</v>
      </c>
      <c r="V1033" t="str">
        <f>RIGHT(Table1[[#This Row],[Category and Sub-Category]],LEN(Table1[[#This Row],[Category and Sub-Category]])-FIND("/",Table1[[#This Row],[Category and Sub-Category]]))</f>
        <v>electronic music</v>
      </c>
    </row>
    <row r="1034" spans="1:22" x14ac:dyDescent="0.3">
      <c r="A1034">
        <v>1032</v>
      </c>
      <c r="B1034" s="3" t="s">
        <v>1033</v>
      </c>
      <c r="C1034" s="3" t="s">
        <v>5142</v>
      </c>
      <c r="D1034" s="12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>((Table1[[#This Row],[deadline]]/60)/60/24)+DATE(1970,1,1)</f>
        <v>42544.666956018518</v>
      </c>
      <c r="K1034">
        <v>1464105625</v>
      </c>
      <c r="L1034" s="11">
        <f>((Table1[[#This Row],[launched_at]]/60)/60/24)+DATE(1970,1,1)</f>
        <v>42514.666956018518</v>
      </c>
      <c r="M1034">
        <f>MONTH(Table1[[#This Row],[Date Created Conversion]])</f>
        <v>5</v>
      </c>
      <c r="N1034">
        <f>YEAR(Table1[[#This Row],[Date Created Conversion]])</f>
        <v>2016</v>
      </c>
      <c r="O1034" t="b">
        <v>0</v>
      </c>
      <c r="P1034">
        <v>96</v>
      </c>
      <c r="Q1034" t="b">
        <v>1</v>
      </c>
      <c r="R1034" t="s">
        <v>8280</v>
      </c>
      <c r="S1034" s="6">
        <f>Table1[[#This Row],[pledged]]/Table1[[#This Row],[goal]]</f>
        <v>1.0849703703703704</v>
      </c>
      <c r="T1034" s="8">
        <f>IF(Table1[[#This Row],[pledged]]=0,"no backers",Table1[[#This Row],[pledged]]/Table1[[#This Row],[backers_count]])</f>
        <v>61.029583333333335</v>
      </c>
      <c r="U1034" t="str">
        <f>LEFT(Table1[[#This Row],[Category and Sub-Category]],FIND("/",Table1[[#This Row],[Category and Sub-Category]])-1)</f>
        <v>music</v>
      </c>
      <c r="V1034" t="str">
        <f>RIGHT(Table1[[#This Row],[Category and Sub-Category]],LEN(Table1[[#This Row],[Category and Sub-Category]])-FIND("/",Table1[[#This Row],[Category and Sub-Category]]))</f>
        <v>electronic music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 s="12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>((Table1[[#This Row],[deadline]]/60)/60/24)+DATE(1970,1,1)</f>
        <v>42716.732407407413</v>
      </c>
      <c r="K1035">
        <v>1479144880</v>
      </c>
      <c r="L1035" s="11">
        <f>((Table1[[#This Row],[launched_at]]/60)/60/24)+DATE(1970,1,1)</f>
        <v>42688.732407407413</v>
      </c>
      <c r="M1035">
        <f>MONTH(Table1[[#This Row],[Date Created Conversion]])</f>
        <v>11</v>
      </c>
      <c r="N1035">
        <f>YEAR(Table1[[#This Row],[Date Created Conversion]])</f>
        <v>2016</v>
      </c>
      <c r="O1035" t="b">
        <v>0</v>
      </c>
      <c r="P1035">
        <v>27</v>
      </c>
      <c r="Q1035" t="b">
        <v>1</v>
      </c>
      <c r="R1035" t="s">
        <v>8280</v>
      </c>
      <c r="S1035" s="6">
        <f>Table1[[#This Row],[pledged]]/Table1[[#This Row],[goal]]</f>
        <v>1.0286144578313252</v>
      </c>
      <c r="T1035" s="8">
        <f>IF(Table1[[#This Row],[pledged]]=0,"no backers",Table1[[#This Row],[pledged]]/Table1[[#This Row],[backers_count]])</f>
        <v>50.592592592592595</v>
      </c>
      <c r="U1035" t="str">
        <f>LEFT(Table1[[#This Row],[Category and Sub-Category]],FIND("/",Table1[[#This Row],[Category and Sub-Category]])-1)</f>
        <v>music</v>
      </c>
      <c r="V1035" t="str">
        <f>RIGHT(Table1[[#This Row],[Category and Sub-Category]],LEN(Table1[[#This Row],[Category and Sub-Category]])-FIND("/",Table1[[#This Row],[Category and Sub-Category]]))</f>
        <v>electronic music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 s="12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>((Table1[[#This Row],[deadline]]/60)/60/24)+DATE(1970,1,1)</f>
        <v>42587.165972222225</v>
      </c>
      <c r="K1036">
        <v>1467604804</v>
      </c>
      <c r="L1036" s="11">
        <f>((Table1[[#This Row],[launched_at]]/60)/60/24)+DATE(1970,1,1)</f>
        <v>42555.166712962964</v>
      </c>
      <c r="M1036">
        <f>MONTH(Table1[[#This Row],[Date Created Conversion]])</f>
        <v>7</v>
      </c>
      <c r="N1036">
        <f>YEAR(Table1[[#This Row],[Date Created Conversion]])</f>
        <v>2016</v>
      </c>
      <c r="O1036" t="b">
        <v>0</v>
      </c>
      <c r="P1036">
        <v>166</v>
      </c>
      <c r="Q1036" t="b">
        <v>1</v>
      </c>
      <c r="R1036" t="s">
        <v>8280</v>
      </c>
      <c r="S1036" s="6">
        <f>Table1[[#This Row],[pledged]]/Table1[[#This Row],[goal]]</f>
        <v>1.3000180000000001</v>
      </c>
      <c r="T1036" s="8">
        <f>IF(Table1[[#This Row],[pledged]]=0,"no backers",Table1[[#This Row],[pledged]]/Table1[[#This Row],[backers_count]])</f>
        <v>39.157168674698795</v>
      </c>
      <c r="U1036" t="str">
        <f>LEFT(Table1[[#This Row],[Category and Sub-Category]],FIND("/",Table1[[#This Row],[Category and Sub-Category]])-1)</f>
        <v>music</v>
      </c>
      <c r="V1036" t="str">
        <f>RIGHT(Table1[[#This Row],[Category and Sub-Category]],LEN(Table1[[#This Row],[Category and Sub-Category]])-FIND("/",Table1[[#This Row],[Category and Sub-Category]]))</f>
        <v>electronic music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 s="12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>((Table1[[#This Row],[deadline]]/60)/60/24)+DATE(1970,1,1)</f>
        <v>42046.641435185185</v>
      </c>
      <c r="K1037">
        <v>1421076220</v>
      </c>
      <c r="L1037" s="11">
        <f>((Table1[[#This Row],[launched_at]]/60)/60/24)+DATE(1970,1,1)</f>
        <v>42016.641435185185</v>
      </c>
      <c r="M1037">
        <f>MONTH(Table1[[#This Row],[Date Created Conversion]])</f>
        <v>1</v>
      </c>
      <c r="N1037">
        <f>YEAR(Table1[[#This Row],[Date Created Conversion]])</f>
        <v>2015</v>
      </c>
      <c r="O1037" t="b">
        <v>0</v>
      </c>
      <c r="P1037">
        <v>76</v>
      </c>
      <c r="Q1037" t="b">
        <v>1</v>
      </c>
      <c r="R1037" t="s">
        <v>8280</v>
      </c>
      <c r="S1037" s="6">
        <f>Table1[[#This Row],[pledged]]/Table1[[#This Row],[goal]]</f>
        <v>1.0765217391304347</v>
      </c>
      <c r="T1037" s="8">
        <f>IF(Table1[[#This Row],[pledged]]=0,"no backers",Table1[[#This Row],[pledged]]/Table1[[#This Row],[backers_count]])</f>
        <v>65.15789473684211</v>
      </c>
      <c r="U1037" t="str">
        <f>LEFT(Table1[[#This Row],[Category and Sub-Category]],FIND("/",Table1[[#This Row],[Category and Sub-Category]])-1)</f>
        <v>music</v>
      </c>
      <c r="V1037" t="str">
        <f>RIGHT(Table1[[#This Row],[Category and Sub-Category]],LEN(Table1[[#This Row],[Category and Sub-Category]])-FIND("/",Table1[[#This Row],[Category and Sub-Category]]))</f>
        <v>electronic music</v>
      </c>
    </row>
    <row r="1038" spans="1:22" ht="43.2" x14ac:dyDescent="0.3">
      <c r="A1038">
        <v>1036</v>
      </c>
      <c r="B1038" s="3" t="s">
        <v>1037</v>
      </c>
      <c r="C1038" s="3" t="s">
        <v>5146</v>
      </c>
      <c r="D1038" s="12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>((Table1[[#This Row],[deadline]]/60)/60/24)+DATE(1970,1,1)</f>
        <v>41281.333333333336</v>
      </c>
      <c r="K1038">
        <v>1354790790</v>
      </c>
      <c r="L1038" s="11">
        <f>((Table1[[#This Row],[launched_at]]/60)/60/24)+DATE(1970,1,1)</f>
        <v>41249.448958333334</v>
      </c>
      <c r="M1038">
        <f>MONTH(Table1[[#This Row],[Date Created Conversion]])</f>
        <v>12</v>
      </c>
      <c r="N1038">
        <f>YEAR(Table1[[#This Row],[Date Created Conversion]])</f>
        <v>2012</v>
      </c>
      <c r="O1038" t="b">
        <v>0</v>
      </c>
      <c r="P1038">
        <v>211</v>
      </c>
      <c r="Q1038" t="b">
        <v>1</v>
      </c>
      <c r="R1038" t="s">
        <v>8280</v>
      </c>
      <c r="S1038" s="6">
        <f>Table1[[#This Row],[pledged]]/Table1[[#This Row],[goal]]</f>
        <v>1.1236044444444444</v>
      </c>
      <c r="T1038" s="8">
        <f>IF(Table1[[#This Row],[pledged]]=0,"no backers",Table1[[#This Row],[pledged]]/Table1[[#This Row],[backers_count]])</f>
        <v>23.963127962085309</v>
      </c>
      <c r="U1038" t="str">
        <f>LEFT(Table1[[#This Row],[Category and Sub-Category]],FIND("/",Table1[[#This Row],[Category and Sub-Category]])-1)</f>
        <v>music</v>
      </c>
      <c r="V1038" t="str">
        <f>RIGHT(Table1[[#This Row],[Category and Sub-Category]],LEN(Table1[[#This Row],[Category and Sub-Category]])-FIND("/",Table1[[#This Row],[Category and Sub-Category]]))</f>
        <v>electronic music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 s="12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>((Table1[[#This Row],[deadline]]/60)/60/24)+DATE(1970,1,1)</f>
        <v>42142.208333333328</v>
      </c>
      <c r="K1039">
        <v>1429991062</v>
      </c>
      <c r="L1039" s="11">
        <f>((Table1[[#This Row],[launched_at]]/60)/60/24)+DATE(1970,1,1)</f>
        <v>42119.822476851856</v>
      </c>
      <c r="M1039">
        <f>MONTH(Table1[[#This Row],[Date Created Conversion]])</f>
        <v>4</v>
      </c>
      <c r="N1039">
        <f>YEAR(Table1[[#This Row],[Date Created Conversion]])</f>
        <v>2015</v>
      </c>
      <c r="O1039" t="b">
        <v>0</v>
      </c>
      <c r="P1039">
        <v>21</v>
      </c>
      <c r="Q1039" t="b">
        <v>1</v>
      </c>
      <c r="R1039" t="s">
        <v>8280</v>
      </c>
      <c r="S1039" s="6">
        <f>Table1[[#This Row],[pledged]]/Table1[[#This Row],[goal]]</f>
        <v>1.0209999999999999</v>
      </c>
      <c r="T1039" s="8">
        <f>IF(Table1[[#This Row],[pledged]]=0,"no backers",Table1[[#This Row],[pledged]]/Table1[[#This Row],[backers_count]])</f>
        <v>48.61904761904762</v>
      </c>
      <c r="U1039" t="str">
        <f>LEFT(Table1[[#This Row],[Category and Sub-Category]],FIND("/",Table1[[#This Row],[Category and Sub-Category]])-1)</f>
        <v>music</v>
      </c>
      <c r="V1039" t="str">
        <f>RIGHT(Table1[[#This Row],[Category and Sub-Category]],LEN(Table1[[#This Row],[Category and Sub-Category]])-FIND("/",Table1[[#This Row],[Category and Sub-Category]]))</f>
        <v>electronic music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 s="12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>((Table1[[#This Row],[deadline]]/60)/60/24)+DATE(1970,1,1)</f>
        <v>42448.190081018518</v>
      </c>
      <c r="K1040">
        <v>1455773623</v>
      </c>
      <c r="L1040" s="11">
        <f>((Table1[[#This Row],[launched_at]]/60)/60/24)+DATE(1970,1,1)</f>
        <v>42418.231747685189</v>
      </c>
      <c r="M1040">
        <f>MONTH(Table1[[#This Row],[Date Created Conversion]])</f>
        <v>2</v>
      </c>
      <c r="N1040">
        <f>YEAR(Table1[[#This Row],[Date Created Conversion]])</f>
        <v>2016</v>
      </c>
      <c r="O1040" t="b">
        <v>0</v>
      </c>
      <c r="P1040">
        <v>61</v>
      </c>
      <c r="Q1040" t="b">
        <v>1</v>
      </c>
      <c r="R1040" t="s">
        <v>8280</v>
      </c>
      <c r="S1040" s="6">
        <f>Table1[[#This Row],[pledged]]/Table1[[#This Row],[goal]]</f>
        <v>1.4533333333333334</v>
      </c>
      <c r="T1040" s="8">
        <f>IF(Table1[[#This Row],[pledged]]=0,"no backers",Table1[[#This Row],[pledged]]/Table1[[#This Row],[backers_count]])</f>
        <v>35.73770491803279</v>
      </c>
      <c r="U1040" t="str">
        <f>LEFT(Table1[[#This Row],[Category and Sub-Category]],FIND("/",Table1[[#This Row],[Category and Sub-Category]])-1)</f>
        <v>music</v>
      </c>
      <c r="V1040" t="str">
        <f>RIGHT(Table1[[#This Row],[Category and Sub-Category]],LEN(Table1[[#This Row],[Category and Sub-Category]])-FIND("/",Table1[[#This Row],[Category and Sub-Category]]))</f>
        <v>electronic music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 s="12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>((Table1[[#This Row],[deadline]]/60)/60/24)+DATE(1970,1,1)</f>
        <v>42717.332638888889</v>
      </c>
      <c r="K1041">
        <v>1479436646</v>
      </c>
      <c r="L1041" s="11">
        <f>((Table1[[#This Row],[launched_at]]/60)/60/24)+DATE(1970,1,1)</f>
        <v>42692.109328703707</v>
      </c>
      <c r="M1041">
        <f>MONTH(Table1[[#This Row],[Date Created Conversion]])</f>
        <v>11</v>
      </c>
      <c r="N1041">
        <f>YEAR(Table1[[#This Row],[Date Created Conversion]])</f>
        <v>2016</v>
      </c>
      <c r="O1041" t="b">
        <v>0</v>
      </c>
      <c r="P1041">
        <v>30</v>
      </c>
      <c r="Q1041" t="b">
        <v>1</v>
      </c>
      <c r="R1041" t="s">
        <v>8280</v>
      </c>
      <c r="S1041" s="6">
        <f>Table1[[#This Row],[pledged]]/Table1[[#This Row],[goal]]</f>
        <v>1.282</v>
      </c>
      <c r="T1041" s="8">
        <f>IF(Table1[[#This Row],[pledged]]=0,"no backers",Table1[[#This Row],[pledged]]/Table1[[#This Row],[backers_count]])</f>
        <v>21.366666666666667</v>
      </c>
      <c r="U1041" t="str">
        <f>LEFT(Table1[[#This Row],[Category and Sub-Category]],FIND("/",Table1[[#This Row],[Category and Sub-Category]])-1)</f>
        <v>music</v>
      </c>
      <c r="V1041" t="str">
        <f>RIGHT(Table1[[#This Row],[Category and Sub-Category]],LEN(Table1[[#This Row],[Category and Sub-Category]])-FIND("/",Table1[[#This Row],[Category and Sub-Category]]))</f>
        <v>electronic music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 s="1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>((Table1[[#This Row],[deadline]]/60)/60/24)+DATE(1970,1,1)</f>
        <v>42609.708437499998</v>
      </c>
      <c r="K1042">
        <v>1469725209</v>
      </c>
      <c r="L1042" s="11">
        <f>((Table1[[#This Row],[launched_at]]/60)/60/24)+DATE(1970,1,1)</f>
        <v>42579.708437499998</v>
      </c>
      <c r="M1042">
        <f>MONTH(Table1[[#This Row],[Date Created Conversion]])</f>
        <v>7</v>
      </c>
      <c r="N1042">
        <f>YEAR(Table1[[#This Row],[Date Created Conversion]])</f>
        <v>2016</v>
      </c>
      <c r="O1042" t="b">
        <v>0</v>
      </c>
      <c r="P1042">
        <v>1</v>
      </c>
      <c r="Q1042" t="b">
        <v>0</v>
      </c>
      <c r="R1042" t="s">
        <v>8281</v>
      </c>
      <c r="S1042" s="6">
        <f>Table1[[#This Row],[pledged]]/Table1[[#This Row],[goal]]</f>
        <v>2.9411764705882353E-3</v>
      </c>
      <c r="T1042" s="8">
        <f>IF(Table1[[#This Row],[pledged]]=0,"no backers",Table1[[#This Row],[pledged]]/Table1[[#This Row],[backers_count]])</f>
        <v>250</v>
      </c>
      <c r="U1042" t="str">
        <f>LEFT(Table1[[#This Row],[Category and Sub-Category]],FIND("/",Table1[[#This Row],[Category and Sub-Category]])-1)</f>
        <v>journalism</v>
      </c>
      <c r="V1042" t="str">
        <f>RIGHT(Table1[[#This Row],[Category and Sub-Category]],LEN(Table1[[#This Row],[Category and Sub-Category]])-FIND("/",Table1[[#This Row],[Category and Sub-Category]]))</f>
        <v>audio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 s="12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>((Table1[[#This Row],[deadline]]/60)/60/24)+DATE(1970,1,1)</f>
        <v>41851.060092592597</v>
      </c>
      <c r="K1043">
        <v>1405041992</v>
      </c>
      <c r="L1043" s="11">
        <f>((Table1[[#This Row],[launched_at]]/60)/60/24)+DATE(1970,1,1)</f>
        <v>41831.060092592597</v>
      </c>
      <c r="M1043">
        <f>MONTH(Table1[[#This Row],[Date Created Conversion]])</f>
        <v>7</v>
      </c>
      <c r="N1043">
        <f>YEAR(Table1[[#This Row],[Date Created Conversion]])</f>
        <v>2014</v>
      </c>
      <c r="O1043" t="b">
        <v>0</v>
      </c>
      <c r="P1043">
        <v>0</v>
      </c>
      <c r="Q1043" t="b">
        <v>0</v>
      </c>
      <c r="R1043" t="s">
        <v>8281</v>
      </c>
      <c r="S1043" s="6">
        <f>Table1[[#This Row],[pledged]]/Table1[[#This Row],[goal]]</f>
        <v>0</v>
      </c>
      <c r="T1043" s="8" t="str">
        <f>IF(Table1[[#This Row],[pledged]]=0,"no backers",Table1[[#This Row],[pledged]]/Table1[[#This Row],[backers_count]])</f>
        <v>no backers</v>
      </c>
      <c r="U1043" t="str">
        <f>LEFT(Table1[[#This Row],[Category and Sub-Category]],FIND("/",Table1[[#This Row],[Category and Sub-Category]])-1)</f>
        <v>journalism</v>
      </c>
      <c r="V1043" t="str">
        <f>RIGHT(Table1[[#This Row],[Category and Sub-Category]],LEN(Table1[[#This Row],[Category and Sub-Category]])-FIND("/",Table1[[#This Row],[Category and Sub-Category]]))</f>
        <v>audio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 s="12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>((Table1[[#This Row],[deadline]]/60)/60/24)+DATE(1970,1,1)</f>
        <v>41894.416666666664</v>
      </c>
      <c r="K1044">
        <v>1406824948</v>
      </c>
      <c r="L1044" s="11">
        <f>((Table1[[#This Row],[launched_at]]/60)/60/24)+DATE(1970,1,1)</f>
        <v>41851.696157407408</v>
      </c>
      <c r="M1044">
        <f>MONTH(Table1[[#This Row],[Date Created Conversion]])</f>
        <v>7</v>
      </c>
      <c r="N1044">
        <f>YEAR(Table1[[#This Row],[Date Created Conversion]])</f>
        <v>2014</v>
      </c>
      <c r="O1044" t="b">
        <v>0</v>
      </c>
      <c r="P1044">
        <v>1</v>
      </c>
      <c r="Q1044" t="b">
        <v>0</v>
      </c>
      <c r="R1044" t="s">
        <v>8281</v>
      </c>
      <c r="S1044" s="6">
        <f>Table1[[#This Row],[pledged]]/Table1[[#This Row],[goal]]</f>
        <v>1.5384615384615385E-2</v>
      </c>
      <c r="T1044" s="8">
        <f>IF(Table1[[#This Row],[pledged]]=0,"no backers",Table1[[#This Row],[pledged]]/Table1[[#This Row],[backers_count]])</f>
        <v>10</v>
      </c>
      <c r="U1044" t="str">
        <f>LEFT(Table1[[#This Row],[Category and Sub-Category]],FIND("/",Table1[[#This Row],[Category and Sub-Category]])-1)</f>
        <v>journalism</v>
      </c>
      <c r="V1044" t="str">
        <f>RIGHT(Table1[[#This Row],[Category and Sub-Category]],LEN(Table1[[#This Row],[Category and Sub-Category]])-FIND("/",Table1[[#This Row],[Category and Sub-Category]]))</f>
        <v>audio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 s="12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>((Table1[[#This Row],[deadline]]/60)/60/24)+DATE(1970,1,1)</f>
        <v>42144.252951388888</v>
      </c>
      <c r="K1045">
        <v>1429509855</v>
      </c>
      <c r="L1045" s="11">
        <f>((Table1[[#This Row],[launched_at]]/60)/60/24)+DATE(1970,1,1)</f>
        <v>42114.252951388888</v>
      </c>
      <c r="M1045">
        <f>MONTH(Table1[[#This Row],[Date Created Conversion]])</f>
        <v>4</v>
      </c>
      <c r="N1045">
        <f>YEAR(Table1[[#This Row],[Date Created Conversion]])</f>
        <v>2015</v>
      </c>
      <c r="O1045" t="b">
        <v>0</v>
      </c>
      <c r="P1045">
        <v>292</v>
      </c>
      <c r="Q1045" t="b">
        <v>0</v>
      </c>
      <c r="R1045" t="s">
        <v>8281</v>
      </c>
      <c r="S1045" s="6">
        <f>Table1[[#This Row],[pledged]]/Table1[[#This Row],[goal]]</f>
        <v>8.5370000000000001E-2</v>
      </c>
      <c r="T1045" s="8">
        <f>IF(Table1[[#This Row],[pledged]]=0,"no backers",Table1[[#This Row],[pledged]]/Table1[[#This Row],[backers_count]])</f>
        <v>29.236301369863014</v>
      </c>
      <c r="U1045" t="str">
        <f>LEFT(Table1[[#This Row],[Category and Sub-Category]],FIND("/",Table1[[#This Row],[Category and Sub-Category]])-1)</f>
        <v>journalism</v>
      </c>
      <c r="V1045" t="str">
        <f>RIGHT(Table1[[#This Row],[Category and Sub-Category]],LEN(Table1[[#This Row],[Category and Sub-Category]])-FIND("/",Table1[[#This Row],[Category and Sub-Category]]))</f>
        <v>audio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 s="12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>((Table1[[#This Row],[deadline]]/60)/60/24)+DATE(1970,1,1)</f>
        <v>42068.852083333331</v>
      </c>
      <c r="K1046">
        <v>1420668801</v>
      </c>
      <c r="L1046" s="11">
        <f>((Table1[[#This Row],[launched_at]]/60)/60/24)+DATE(1970,1,1)</f>
        <v>42011.925937499997</v>
      </c>
      <c r="M1046">
        <f>MONTH(Table1[[#This Row],[Date Created Conversion]])</f>
        <v>1</v>
      </c>
      <c r="N1046">
        <f>YEAR(Table1[[#This Row],[Date Created Conversion]])</f>
        <v>2015</v>
      </c>
      <c r="O1046" t="b">
        <v>0</v>
      </c>
      <c r="P1046">
        <v>2</v>
      </c>
      <c r="Q1046" t="b">
        <v>0</v>
      </c>
      <c r="R1046" t="s">
        <v>8281</v>
      </c>
      <c r="S1046" s="6">
        <f>Table1[[#This Row],[pledged]]/Table1[[#This Row],[goal]]</f>
        <v>8.571428571428571E-4</v>
      </c>
      <c r="T1046" s="8">
        <f>IF(Table1[[#This Row],[pledged]]=0,"no backers",Table1[[#This Row],[pledged]]/Table1[[#This Row],[backers_count]])</f>
        <v>3</v>
      </c>
      <c r="U1046" t="str">
        <f>LEFT(Table1[[#This Row],[Category and Sub-Category]],FIND("/",Table1[[#This Row],[Category and Sub-Category]])-1)</f>
        <v>journalism</v>
      </c>
      <c r="V1046" t="str">
        <f>RIGHT(Table1[[#This Row],[Category and Sub-Category]],LEN(Table1[[#This Row],[Category and Sub-Category]])-FIND("/",Table1[[#This Row],[Category and Sub-Category]]))</f>
        <v>audio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 s="12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>((Table1[[#This Row],[deadline]]/60)/60/24)+DATE(1970,1,1)</f>
        <v>41874.874421296299</v>
      </c>
      <c r="K1047">
        <v>1406235550</v>
      </c>
      <c r="L1047" s="11">
        <f>((Table1[[#This Row],[launched_at]]/60)/60/24)+DATE(1970,1,1)</f>
        <v>41844.874421296299</v>
      </c>
      <c r="M1047">
        <f>MONTH(Table1[[#This Row],[Date Created Conversion]])</f>
        <v>7</v>
      </c>
      <c r="N1047">
        <f>YEAR(Table1[[#This Row],[Date Created Conversion]])</f>
        <v>2014</v>
      </c>
      <c r="O1047" t="b">
        <v>0</v>
      </c>
      <c r="P1047">
        <v>8</v>
      </c>
      <c r="Q1047" t="b">
        <v>0</v>
      </c>
      <c r="R1047" t="s">
        <v>8281</v>
      </c>
      <c r="S1047" s="6">
        <f>Table1[[#This Row],[pledged]]/Table1[[#This Row],[goal]]</f>
        <v>2.6599999999999999E-2</v>
      </c>
      <c r="T1047" s="8">
        <f>IF(Table1[[#This Row],[pledged]]=0,"no backers",Table1[[#This Row],[pledged]]/Table1[[#This Row],[backers_count]])</f>
        <v>33.25</v>
      </c>
      <c r="U1047" t="str">
        <f>LEFT(Table1[[#This Row],[Category and Sub-Category]],FIND("/",Table1[[#This Row],[Category and Sub-Category]])-1)</f>
        <v>journalism</v>
      </c>
      <c r="V1047" t="str">
        <f>RIGHT(Table1[[#This Row],[Category and Sub-Category]],LEN(Table1[[#This Row],[Category and Sub-Category]])-FIND("/",Table1[[#This Row],[Category and Sub-Category]]))</f>
        <v>audio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 s="12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>((Table1[[#This Row],[deadline]]/60)/60/24)+DATE(1970,1,1)</f>
        <v>42364.851388888885</v>
      </c>
      <c r="K1048">
        <v>1447273560</v>
      </c>
      <c r="L1048" s="11">
        <f>((Table1[[#This Row],[launched_at]]/60)/60/24)+DATE(1970,1,1)</f>
        <v>42319.851388888885</v>
      </c>
      <c r="M1048">
        <f>MONTH(Table1[[#This Row],[Date Created Conversion]])</f>
        <v>11</v>
      </c>
      <c r="N1048">
        <f>YEAR(Table1[[#This Row],[Date Created Conversion]])</f>
        <v>2015</v>
      </c>
      <c r="O1048" t="b">
        <v>0</v>
      </c>
      <c r="P1048">
        <v>0</v>
      </c>
      <c r="Q1048" t="b">
        <v>0</v>
      </c>
      <c r="R1048" t="s">
        <v>8281</v>
      </c>
      <c r="S1048" s="6">
        <f>Table1[[#This Row],[pledged]]/Table1[[#This Row],[goal]]</f>
        <v>0</v>
      </c>
      <c r="T1048" s="8" t="str">
        <f>IF(Table1[[#This Row],[pledged]]=0,"no backers",Table1[[#This Row],[pledged]]/Table1[[#This Row],[backers_count]])</f>
        <v>no backers</v>
      </c>
      <c r="U1048" t="str">
        <f>LEFT(Table1[[#This Row],[Category and Sub-Category]],FIND("/",Table1[[#This Row],[Category and Sub-Category]])-1)</f>
        <v>journalism</v>
      </c>
      <c r="V1048" t="str">
        <f>RIGHT(Table1[[#This Row],[Category and Sub-Category]],LEN(Table1[[#This Row],[Category and Sub-Category]])-FIND("/",Table1[[#This Row],[Category and Sub-Category]]))</f>
        <v>audio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 s="12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>((Table1[[#This Row],[deadline]]/60)/60/24)+DATE(1970,1,1)</f>
        <v>41948.860127314816</v>
      </c>
      <c r="K1049">
        <v>1412624315</v>
      </c>
      <c r="L1049" s="11">
        <f>((Table1[[#This Row],[launched_at]]/60)/60/24)+DATE(1970,1,1)</f>
        <v>41918.818460648145</v>
      </c>
      <c r="M1049">
        <f>MONTH(Table1[[#This Row],[Date Created Conversion]])</f>
        <v>10</v>
      </c>
      <c r="N1049">
        <f>YEAR(Table1[[#This Row],[Date Created Conversion]])</f>
        <v>2014</v>
      </c>
      <c r="O1049" t="b">
        <v>0</v>
      </c>
      <c r="P1049">
        <v>1</v>
      </c>
      <c r="Q1049" t="b">
        <v>0</v>
      </c>
      <c r="R1049" t="s">
        <v>8281</v>
      </c>
      <c r="S1049" s="6">
        <f>Table1[[#This Row],[pledged]]/Table1[[#This Row],[goal]]</f>
        <v>5.0000000000000001E-4</v>
      </c>
      <c r="T1049" s="8">
        <f>IF(Table1[[#This Row],[pledged]]=0,"no backers",Table1[[#This Row],[pledged]]/Table1[[#This Row],[backers_count]])</f>
        <v>1</v>
      </c>
      <c r="U1049" t="str">
        <f>LEFT(Table1[[#This Row],[Category and Sub-Category]],FIND("/",Table1[[#This Row],[Category and Sub-Category]])-1)</f>
        <v>journalism</v>
      </c>
      <c r="V1049" t="str">
        <f>RIGHT(Table1[[#This Row],[Category and Sub-Category]],LEN(Table1[[#This Row],[Category and Sub-Category]])-FIND("/",Table1[[#This Row],[Category and Sub-Category]]))</f>
        <v>audio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 s="12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>((Table1[[#This Row],[deadline]]/60)/60/24)+DATE(1970,1,1)</f>
        <v>42638.053113425922</v>
      </c>
      <c r="K1050">
        <v>1471310189</v>
      </c>
      <c r="L1050" s="11">
        <f>((Table1[[#This Row],[launched_at]]/60)/60/24)+DATE(1970,1,1)</f>
        <v>42598.053113425922</v>
      </c>
      <c r="M1050">
        <f>MONTH(Table1[[#This Row],[Date Created Conversion]])</f>
        <v>8</v>
      </c>
      <c r="N1050">
        <f>YEAR(Table1[[#This Row],[Date Created Conversion]])</f>
        <v>2016</v>
      </c>
      <c r="O1050" t="b">
        <v>0</v>
      </c>
      <c r="P1050">
        <v>4</v>
      </c>
      <c r="Q1050" t="b">
        <v>0</v>
      </c>
      <c r="R1050" t="s">
        <v>8281</v>
      </c>
      <c r="S1050" s="6">
        <f>Table1[[#This Row],[pledged]]/Table1[[#This Row],[goal]]</f>
        <v>1.4133333333333333E-2</v>
      </c>
      <c r="T1050" s="8">
        <f>IF(Table1[[#This Row],[pledged]]=0,"no backers",Table1[[#This Row],[pledged]]/Table1[[#This Row],[backers_count]])</f>
        <v>53</v>
      </c>
      <c r="U1050" t="str">
        <f>LEFT(Table1[[#This Row],[Category and Sub-Category]],FIND("/",Table1[[#This Row],[Category and Sub-Category]])-1)</f>
        <v>journalism</v>
      </c>
      <c r="V1050" t="str">
        <f>RIGHT(Table1[[#This Row],[Category and Sub-Category]],LEN(Table1[[#This Row],[Category and Sub-Category]])-FIND("/",Table1[[#This Row],[Category and Sub-Category]]))</f>
        <v>audio</v>
      </c>
    </row>
    <row r="1051" spans="1:22" x14ac:dyDescent="0.3">
      <c r="A1051">
        <v>1049</v>
      </c>
      <c r="B1051" s="3" t="s">
        <v>1050</v>
      </c>
      <c r="C1051" s="3" t="s">
        <v>5159</v>
      </c>
      <c r="D1051" s="12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>((Table1[[#This Row],[deadline]]/60)/60/24)+DATE(1970,1,1)</f>
        <v>42412.431076388893</v>
      </c>
      <c r="K1051">
        <v>1452680445</v>
      </c>
      <c r="L1051" s="11">
        <f>((Table1[[#This Row],[launched_at]]/60)/60/24)+DATE(1970,1,1)</f>
        <v>42382.431076388893</v>
      </c>
      <c r="M1051">
        <f>MONTH(Table1[[#This Row],[Date Created Conversion]])</f>
        <v>1</v>
      </c>
      <c r="N1051">
        <f>YEAR(Table1[[#This Row],[Date Created Conversion]])</f>
        <v>2016</v>
      </c>
      <c r="O1051" t="b">
        <v>0</v>
      </c>
      <c r="P1051">
        <v>0</v>
      </c>
      <c r="Q1051" t="b">
        <v>0</v>
      </c>
      <c r="R1051" t="s">
        <v>8281</v>
      </c>
      <c r="S1051" s="6">
        <f>Table1[[#This Row],[pledged]]/Table1[[#This Row],[goal]]</f>
        <v>0</v>
      </c>
      <c r="T1051" s="8" t="str">
        <f>IF(Table1[[#This Row],[pledged]]=0,"no backers",Table1[[#This Row],[pledged]]/Table1[[#This Row],[backers_count]])</f>
        <v>no backers</v>
      </c>
      <c r="U1051" t="str">
        <f>LEFT(Table1[[#This Row],[Category and Sub-Category]],FIND("/",Table1[[#This Row],[Category and Sub-Category]])-1)</f>
        <v>journalism</v>
      </c>
      <c r="V1051" t="str">
        <f>RIGHT(Table1[[#This Row],[Category and Sub-Category]],LEN(Table1[[#This Row],[Category and Sub-Category]])-FIND("/",Table1[[#This Row],[Category and Sub-Category]]))</f>
        <v>audio</v>
      </c>
    </row>
    <row r="1052" spans="1:22" ht="28.8" x14ac:dyDescent="0.3">
      <c r="A1052">
        <v>1050</v>
      </c>
      <c r="B1052" s="3" t="s">
        <v>1051</v>
      </c>
      <c r="C1052" s="3" t="s">
        <v>5160</v>
      </c>
      <c r="D1052" s="1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>((Table1[[#This Row],[deadline]]/60)/60/24)+DATE(1970,1,1)</f>
        <v>42261.7971875</v>
      </c>
      <c r="K1052">
        <v>1439665677</v>
      </c>
      <c r="L1052" s="11">
        <f>((Table1[[#This Row],[launched_at]]/60)/60/24)+DATE(1970,1,1)</f>
        <v>42231.7971875</v>
      </c>
      <c r="M1052">
        <f>MONTH(Table1[[#This Row],[Date Created Conversion]])</f>
        <v>8</v>
      </c>
      <c r="N1052">
        <f>YEAR(Table1[[#This Row],[Date Created Conversion]])</f>
        <v>2015</v>
      </c>
      <c r="O1052" t="b">
        <v>0</v>
      </c>
      <c r="P1052">
        <v>0</v>
      </c>
      <c r="Q1052" t="b">
        <v>0</v>
      </c>
      <c r="R1052" t="s">
        <v>8281</v>
      </c>
      <c r="S1052" s="6">
        <f>Table1[[#This Row],[pledged]]/Table1[[#This Row],[goal]]</f>
        <v>0</v>
      </c>
      <c r="T1052" s="8" t="str">
        <f>IF(Table1[[#This Row],[pledged]]=0,"no backers",Table1[[#This Row],[pledged]]/Table1[[#This Row],[backers_count]])</f>
        <v>no backers</v>
      </c>
      <c r="U1052" t="str">
        <f>LEFT(Table1[[#This Row],[Category and Sub-Category]],FIND("/",Table1[[#This Row],[Category and Sub-Category]])-1)</f>
        <v>journalism</v>
      </c>
      <c r="V1052" t="str">
        <f>RIGHT(Table1[[#This Row],[Category and Sub-Category]],LEN(Table1[[#This Row],[Category and Sub-Category]])-FIND("/",Table1[[#This Row],[Category and Sub-Category]]))</f>
        <v>audio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 s="12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>((Table1[[#This Row],[deadline]]/60)/60/24)+DATE(1970,1,1)</f>
        <v>41878.014178240745</v>
      </c>
      <c r="K1053">
        <v>1406679625</v>
      </c>
      <c r="L1053" s="11">
        <f>((Table1[[#This Row],[launched_at]]/60)/60/24)+DATE(1970,1,1)</f>
        <v>41850.014178240745</v>
      </c>
      <c r="M1053">
        <f>MONTH(Table1[[#This Row],[Date Created Conversion]])</f>
        <v>7</v>
      </c>
      <c r="N1053">
        <f>YEAR(Table1[[#This Row],[Date Created Conversion]])</f>
        <v>2014</v>
      </c>
      <c r="O1053" t="b">
        <v>0</v>
      </c>
      <c r="P1053">
        <v>0</v>
      </c>
      <c r="Q1053" t="b">
        <v>0</v>
      </c>
      <c r="R1053" t="s">
        <v>8281</v>
      </c>
      <c r="S1053" s="6">
        <f>Table1[[#This Row],[pledged]]/Table1[[#This Row],[goal]]</f>
        <v>0</v>
      </c>
      <c r="T1053" s="8" t="str">
        <f>IF(Table1[[#This Row],[pledged]]=0,"no backers",Table1[[#This Row],[pledged]]/Table1[[#This Row],[backers_count]])</f>
        <v>no backers</v>
      </c>
      <c r="U1053" t="str">
        <f>LEFT(Table1[[#This Row],[Category and Sub-Category]],FIND("/",Table1[[#This Row],[Category and Sub-Category]])-1)</f>
        <v>journalism</v>
      </c>
      <c r="V1053" t="str">
        <f>RIGHT(Table1[[#This Row],[Category and Sub-Category]],LEN(Table1[[#This Row],[Category and Sub-Category]])-FIND("/",Table1[[#This Row],[Category and Sub-Category]]))</f>
        <v>audio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 s="12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>((Table1[[#This Row],[deadline]]/60)/60/24)+DATE(1970,1,1)</f>
        <v>42527.839583333334</v>
      </c>
      <c r="K1054">
        <v>1461438495</v>
      </c>
      <c r="L1054" s="11">
        <f>((Table1[[#This Row],[launched_at]]/60)/60/24)+DATE(1970,1,1)</f>
        <v>42483.797395833331</v>
      </c>
      <c r="M1054">
        <f>MONTH(Table1[[#This Row],[Date Created Conversion]])</f>
        <v>4</v>
      </c>
      <c r="N1054">
        <f>YEAR(Table1[[#This Row],[Date Created Conversion]])</f>
        <v>2016</v>
      </c>
      <c r="O1054" t="b">
        <v>0</v>
      </c>
      <c r="P1054">
        <v>0</v>
      </c>
      <c r="Q1054" t="b">
        <v>0</v>
      </c>
      <c r="R1054" t="s">
        <v>8281</v>
      </c>
      <c r="S1054" s="6">
        <f>Table1[[#This Row],[pledged]]/Table1[[#This Row],[goal]]</f>
        <v>0</v>
      </c>
      <c r="T1054" s="8" t="str">
        <f>IF(Table1[[#This Row],[pledged]]=0,"no backers",Table1[[#This Row],[pledged]]/Table1[[#This Row],[backers_count]])</f>
        <v>no backers</v>
      </c>
      <c r="U1054" t="str">
        <f>LEFT(Table1[[#This Row],[Category and Sub-Category]],FIND("/",Table1[[#This Row],[Category and Sub-Category]])-1)</f>
        <v>journalism</v>
      </c>
      <c r="V1054" t="str">
        <f>RIGHT(Table1[[#This Row],[Category and Sub-Category]],LEN(Table1[[#This Row],[Category and Sub-Category]])-FIND("/",Table1[[#This Row],[Category and Sub-Category]]))</f>
        <v>audio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 s="12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>((Table1[[#This Row],[deadline]]/60)/60/24)+DATE(1970,1,1)</f>
        <v>42800.172824074078</v>
      </c>
      <c r="K1055">
        <v>1486613332</v>
      </c>
      <c r="L1055" s="11">
        <f>((Table1[[#This Row],[launched_at]]/60)/60/24)+DATE(1970,1,1)</f>
        <v>42775.172824074078</v>
      </c>
      <c r="M1055">
        <f>MONTH(Table1[[#This Row],[Date Created Conversion]])</f>
        <v>2</v>
      </c>
      <c r="N1055">
        <f>YEAR(Table1[[#This Row],[Date Created Conversion]])</f>
        <v>2017</v>
      </c>
      <c r="O1055" t="b">
        <v>0</v>
      </c>
      <c r="P1055">
        <v>1</v>
      </c>
      <c r="Q1055" t="b">
        <v>0</v>
      </c>
      <c r="R1055" t="s">
        <v>8281</v>
      </c>
      <c r="S1055" s="6">
        <f>Table1[[#This Row],[pledged]]/Table1[[#This Row],[goal]]</f>
        <v>0.01</v>
      </c>
      <c r="T1055" s="8">
        <f>IF(Table1[[#This Row],[pledged]]=0,"no backers",Table1[[#This Row],[pledged]]/Table1[[#This Row],[backers_count]])</f>
        <v>15</v>
      </c>
      <c r="U1055" t="str">
        <f>LEFT(Table1[[#This Row],[Category and Sub-Category]],FIND("/",Table1[[#This Row],[Category and Sub-Category]])-1)</f>
        <v>journalism</v>
      </c>
      <c r="V1055" t="str">
        <f>RIGHT(Table1[[#This Row],[Category and Sub-Category]],LEN(Table1[[#This Row],[Category and Sub-Category]])-FIND("/",Table1[[#This Row],[Category and Sub-Category]]))</f>
        <v>audio</v>
      </c>
    </row>
    <row r="1056" spans="1:22" ht="57.6" x14ac:dyDescent="0.3">
      <c r="A1056">
        <v>1054</v>
      </c>
      <c r="B1056" s="3" t="s">
        <v>1055</v>
      </c>
      <c r="C1056" s="3" t="s">
        <v>5164</v>
      </c>
      <c r="D1056" s="12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>((Table1[[#This Row],[deadline]]/60)/60/24)+DATE(1970,1,1)</f>
        <v>41861.916666666664</v>
      </c>
      <c r="K1056">
        <v>1405110399</v>
      </c>
      <c r="L1056" s="11">
        <f>((Table1[[#This Row],[launched_at]]/60)/60/24)+DATE(1970,1,1)</f>
        <v>41831.851840277777</v>
      </c>
      <c r="M1056">
        <f>MONTH(Table1[[#This Row],[Date Created Conversion]])</f>
        <v>7</v>
      </c>
      <c r="N1056">
        <f>YEAR(Table1[[#This Row],[Date Created Conversion]])</f>
        <v>2014</v>
      </c>
      <c r="O1056" t="b">
        <v>0</v>
      </c>
      <c r="P1056">
        <v>0</v>
      </c>
      <c r="Q1056" t="b">
        <v>0</v>
      </c>
      <c r="R1056" t="s">
        <v>8281</v>
      </c>
      <c r="S1056" s="6">
        <f>Table1[[#This Row],[pledged]]/Table1[[#This Row],[goal]]</f>
        <v>0</v>
      </c>
      <c r="T1056" s="8" t="str">
        <f>IF(Table1[[#This Row],[pledged]]=0,"no backers",Table1[[#This Row],[pledged]]/Table1[[#This Row],[backers_count]])</f>
        <v>no backers</v>
      </c>
      <c r="U1056" t="str">
        <f>LEFT(Table1[[#This Row],[Category and Sub-Category]],FIND("/",Table1[[#This Row],[Category and Sub-Category]])-1)</f>
        <v>journalism</v>
      </c>
      <c r="V1056" t="str">
        <f>RIGHT(Table1[[#This Row],[Category and Sub-Category]],LEN(Table1[[#This Row],[Category and Sub-Category]])-FIND("/",Table1[[#This Row],[Category and Sub-Category]]))</f>
        <v>audio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 s="12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>((Table1[[#This Row],[deadline]]/60)/60/24)+DATE(1970,1,1)</f>
        <v>42436.992418981477</v>
      </c>
      <c r="K1057">
        <v>1454802545</v>
      </c>
      <c r="L1057" s="11">
        <f>((Table1[[#This Row],[launched_at]]/60)/60/24)+DATE(1970,1,1)</f>
        <v>42406.992418981477</v>
      </c>
      <c r="M1057">
        <f>MONTH(Table1[[#This Row],[Date Created Conversion]])</f>
        <v>2</v>
      </c>
      <c r="N1057">
        <f>YEAR(Table1[[#This Row],[Date Created Conversion]])</f>
        <v>2016</v>
      </c>
      <c r="O1057" t="b">
        <v>0</v>
      </c>
      <c r="P1057">
        <v>0</v>
      </c>
      <c r="Q1057" t="b">
        <v>0</v>
      </c>
      <c r="R1057" t="s">
        <v>8281</v>
      </c>
      <c r="S1057" s="6">
        <f>Table1[[#This Row],[pledged]]/Table1[[#This Row],[goal]]</f>
        <v>0</v>
      </c>
      <c r="T1057" s="8" t="str">
        <f>IF(Table1[[#This Row],[pledged]]=0,"no backers",Table1[[#This Row],[pledged]]/Table1[[#This Row],[backers_count]])</f>
        <v>no backers</v>
      </c>
      <c r="U1057" t="str">
        <f>LEFT(Table1[[#This Row],[Category and Sub-Category]],FIND("/",Table1[[#This Row],[Category and Sub-Category]])-1)</f>
        <v>journalism</v>
      </c>
      <c r="V1057" t="str">
        <f>RIGHT(Table1[[#This Row],[Category and Sub-Category]],LEN(Table1[[#This Row],[Category and Sub-Category]])-FIND("/",Table1[[#This Row],[Category and Sub-Category]]))</f>
        <v>audio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 s="12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>((Table1[[#This Row],[deadline]]/60)/60/24)+DATE(1970,1,1)</f>
        <v>42118.677974537044</v>
      </c>
      <c r="K1058">
        <v>1424711777</v>
      </c>
      <c r="L1058" s="11">
        <f>((Table1[[#This Row],[launched_at]]/60)/60/24)+DATE(1970,1,1)</f>
        <v>42058.719641203701</v>
      </c>
      <c r="M1058">
        <f>MONTH(Table1[[#This Row],[Date Created Conversion]])</f>
        <v>2</v>
      </c>
      <c r="N1058">
        <f>YEAR(Table1[[#This Row],[Date Created Conversion]])</f>
        <v>2015</v>
      </c>
      <c r="O1058" t="b">
        <v>0</v>
      </c>
      <c r="P1058">
        <v>0</v>
      </c>
      <c r="Q1058" t="b">
        <v>0</v>
      </c>
      <c r="R1058" t="s">
        <v>8281</v>
      </c>
      <c r="S1058" s="6">
        <f>Table1[[#This Row],[pledged]]/Table1[[#This Row],[goal]]</f>
        <v>0</v>
      </c>
      <c r="T1058" s="8" t="str">
        <f>IF(Table1[[#This Row],[pledged]]=0,"no backers",Table1[[#This Row],[pledged]]/Table1[[#This Row],[backers_count]])</f>
        <v>no backers</v>
      </c>
      <c r="U1058" t="str">
        <f>LEFT(Table1[[#This Row],[Category and Sub-Category]],FIND("/",Table1[[#This Row],[Category and Sub-Category]])-1)</f>
        <v>journalism</v>
      </c>
      <c r="V1058" t="str">
        <f>RIGHT(Table1[[#This Row],[Category and Sub-Category]],LEN(Table1[[#This Row],[Category and Sub-Category]])-FIND("/",Table1[[#This Row],[Category and Sub-Category]]))</f>
        <v>audio</v>
      </c>
    </row>
    <row r="1059" spans="1:22" ht="43.2" x14ac:dyDescent="0.3">
      <c r="A1059">
        <v>1057</v>
      </c>
      <c r="B1059" s="3" t="s">
        <v>1058</v>
      </c>
      <c r="C1059" s="3" t="s">
        <v>5167</v>
      </c>
      <c r="D1059" s="12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>((Table1[[#This Row],[deadline]]/60)/60/24)+DATE(1970,1,1)</f>
        <v>42708.912997685184</v>
      </c>
      <c r="K1059">
        <v>1478292883</v>
      </c>
      <c r="L1059" s="11">
        <f>((Table1[[#This Row],[launched_at]]/60)/60/24)+DATE(1970,1,1)</f>
        <v>42678.871331018512</v>
      </c>
      <c r="M1059">
        <f>MONTH(Table1[[#This Row],[Date Created Conversion]])</f>
        <v>11</v>
      </c>
      <c r="N1059">
        <f>YEAR(Table1[[#This Row],[Date Created Conversion]])</f>
        <v>2016</v>
      </c>
      <c r="O1059" t="b">
        <v>0</v>
      </c>
      <c r="P1059">
        <v>0</v>
      </c>
      <c r="Q1059" t="b">
        <v>0</v>
      </c>
      <c r="R1059" t="s">
        <v>8281</v>
      </c>
      <c r="S1059" s="6">
        <f>Table1[[#This Row],[pledged]]/Table1[[#This Row],[goal]]</f>
        <v>0</v>
      </c>
      <c r="T1059" s="8" t="str">
        <f>IF(Table1[[#This Row],[pledged]]=0,"no backers",Table1[[#This Row],[pledged]]/Table1[[#This Row],[backers_count]])</f>
        <v>no backers</v>
      </c>
      <c r="U1059" t="str">
        <f>LEFT(Table1[[#This Row],[Category and Sub-Category]],FIND("/",Table1[[#This Row],[Category and Sub-Category]])-1)</f>
        <v>journalism</v>
      </c>
      <c r="V1059" t="str">
        <f>RIGHT(Table1[[#This Row],[Category and Sub-Category]],LEN(Table1[[#This Row],[Category and Sub-Category]])-FIND("/",Table1[[#This Row],[Category and Sub-Category]]))</f>
        <v>audio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 s="12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>((Table1[[#This Row],[deadline]]/60)/60/24)+DATE(1970,1,1)</f>
        <v>42089</v>
      </c>
      <c r="K1060">
        <v>1423777043</v>
      </c>
      <c r="L1060" s="11">
        <f>((Table1[[#This Row],[launched_at]]/60)/60/24)+DATE(1970,1,1)</f>
        <v>42047.900960648149</v>
      </c>
      <c r="M1060">
        <f>MONTH(Table1[[#This Row],[Date Created Conversion]])</f>
        <v>2</v>
      </c>
      <c r="N1060">
        <f>YEAR(Table1[[#This Row],[Date Created Conversion]])</f>
        <v>2015</v>
      </c>
      <c r="O1060" t="b">
        <v>0</v>
      </c>
      <c r="P1060">
        <v>0</v>
      </c>
      <c r="Q1060" t="b">
        <v>0</v>
      </c>
      <c r="R1060" t="s">
        <v>8281</v>
      </c>
      <c r="S1060" s="6">
        <f>Table1[[#This Row],[pledged]]/Table1[[#This Row],[goal]]</f>
        <v>0</v>
      </c>
      <c r="T1060" s="8" t="str">
        <f>IF(Table1[[#This Row],[pledged]]=0,"no backers",Table1[[#This Row],[pledged]]/Table1[[#This Row],[backers_count]])</f>
        <v>no backers</v>
      </c>
      <c r="U1060" t="str">
        <f>LEFT(Table1[[#This Row],[Category and Sub-Category]],FIND("/",Table1[[#This Row],[Category and Sub-Category]])-1)</f>
        <v>journalism</v>
      </c>
      <c r="V1060" t="str">
        <f>RIGHT(Table1[[#This Row],[Category and Sub-Category]],LEN(Table1[[#This Row],[Category and Sub-Category]])-FIND("/",Table1[[#This Row],[Category and Sub-Category]]))</f>
        <v>audio</v>
      </c>
    </row>
    <row r="1061" spans="1:22" x14ac:dyDescent="0.3">
      <c r="A1061">
        <v>1059</v>
      </c>
      <c r="B1061" s="3" t="s">
        <v>1060</v>
      </c>
      <c r="C1061" s="3" t="s">
        <v>5169</v>
      </c>
      <c r="D1061" s="12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>((Table1[[#This Row],[deadline]]/60)/60/24)+DATE(1970,1,1)</f>
        <v>42076.748333333337</v>
      </c>
      <c r="K1061">
        <v>1423681056</v>
      </c>
      <c r="L1061" s="11">
        <f>((Table1[[#This Row],[launched_at]]/60)/60/24)+DATE(1970,1,1)</f>
        <v>42046.79</v>
      </c>
      <c r="M1061">
        <f>MONTH(Table1[[#This Row],[Date Created Conversion]])</f>
        <v>2</v>
      </c>
      <c r="N1061">
        <f>YEAR(Table1[[#This Row],[Date Created Conversion]])</f>
        <v>2015</v>
      </c>
      <c r="O1061" t="b">
        <v>0</v>
      </c>
      <c r="P1061">
        <v>0</v>
      </c>
      <c r="Q1061" t="b">
        <v>0</v>
      </c>
      <c r="R1061" t="s">
        <v>8281</v>
      </c>
      <c r="S1061" s="6">
        <f>Table1[[#This Row],[pledged]]/Table1[[#This Row],[goal]]</f>
        <v>0</v>
      </c>
      <c r="T1061" s="8" t="str">
        <f>IF(Table1[[#This Row],[pledged]]=0,"no backers",Table1[[#This Row],[pledged]]/Table1[[#This Row],[backers_count]])</f>
        <v>no backers</v>
      </c>
      <c r="U1061" t="str">
        <f>LEFT(Table1[[#This Row],[Category and Sub-Category]],FIND("/",Table1[[#This Row],[Category and Sub-Category]])-1)</f>
        <v>journalism</v>
      </c>
      <c r="V1061" t="str">
        <f>RIGHT(Table1[[#This Row],[Category and Sub-Category]],LEN(Table1[[#This Row],[Category and Sub-Category]])-FIND("/",Table1[[#This Row],[Category and Sub-Category]]))</f>
        <v>audio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 s="1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>((Table1[[#This Row],[deadline]]/60)/60/24)+DATE(1970,1,1)</f>
        <v>42109.913113425922</v>
      </c>
      <c r="K1062">
        <v>1426542893</v>
      </c>
      <c r="L1062" s="11">
        <f>((Table1[[#This Row],[launched_at]]/60)/60/24)+DATE(1970,1,1)</f>
        <v>42079.913113425922</v>
      </c>
      <c r="M1062">
        <f>MONTH(Table1[[#This Row],[Date Created Conversion]])</f>
        <v>3</v>
      </c>
      <c r="N1062">
        <f>YEAR(Table1[[#This Row],[Date Created Conversion]])</f>
        <v>2015</v>
      </c>
      <c r="O1062" t="b">
        <v>0</v>
      </c>
      <c r="P1062">
        <v>1</v>
      </c>
      <c r="Q1062" t="b">
        <v>0</v>
      </c>
      <c r="R1062" t="s">
        <v>8281</v>
      </c>
      <c r="S1062" s="6">
        <f>Table1[[#This Row],[pledged]]/Table1[[#This Row],[goal]]</f>
        <v>0.01</v>
      </c>
      <c r="T1062" s="8">
        <f>IF(Table1[[#This Row],[pledged]]=0,"no backers",Table1[[#This Row],[pledged]]/Table1[[#This Row],[backers_count]])</f>
        <v>50</v>
      </c>
      <c r="U1062" t="str">
        <f>LEFT(Table1[[#This Row],[Category and Sub-Category]],FIND("/",Table1[[#This Row],[Category and Sub-Category]])-1)</f>
        <v>journalism</v>
      </c>
      <c r="V1062" t="str">
        <f>RIGHT(Table1[[#This Row],[Category and Sub-Category]],LEN(Table1[[#This Row],[Category and Sub-Category]])-FIND("/",Table1[[#This Row],[Category and Sub-Category]]))</f>
        <v>audio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 s="12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>((Table1[[#This Row],[deadline]]/60)/60/24)+DATE(1970,1,1)</f>
        <v>42492.041666666672</v>
      </c>
      <c r="K1063">
        <v>1456987108</v>
      </c>
      <c r="L1063" s="11">
        <f>((Table1[[#This Row],[launched_at]]/60)/60/24)+DATE(1970,1,1)</f>
        <v>42432.276712962965</v>
      </c>
      <c r="M1063">
        <f>MONTH(Table1[[#This Row],[Date Created Conversion]])</f>
        <v>3</v>
      </c>
      <c r="N1063">
        <f>YEAR(Table1[[#This Row],[Date Created Conversion]])</f>
        <v>2016</v>
      </c>
      <c r="O1063" t="b">
        <v>0</v>
      </c>
      <c r="P1063">
        <v>0</v>
      </c>
      <c r="Q1063" t="b">
        <v>0</v>
      </c>
      <c r="R1063" t="s">
        <v>8281</v>
      </c>
      <c r="S1063" s="6">
        <f>Table1[[#This Row],[pledged]]/Table1[[#This Row],[goal]]</f>
        <v>0</v>
      </c>
      <c r="T1063" s="8" t="str">
        <f>IF(Table1[[#This Row],[pledged]]=0,"no backers",Table1[[#This Row],[pledged]]/Table1[[#This Row],[backers_count]])</f>
        <v>no backers</v>
      </c>
      <c r="U1063" t="str">
        <f>LEFT(Table1[[#This Row],[Category and Sub-Category]],FIND("/",Table1[[#This Row],[Category and Sub-Category]])-1)</f>
        <v>journalism</v>
      </c>
      <c r="V1063" t="str">
        <f>RIGHT(Table1[[#This Row],[Category and Sub-Category]],LEN(Table1[[#This Row],[Category and Sub-Category]])-FIND("/",Table1[[#This Row],[Category and Sub-Category]]))</f>
        <v>audio</v>
      </c>
    </row>
    <row r="1064" spans="1:22" x14ac:dyDescent="0.3">
      <c r="A1064">
        <v>1062</v>
      </c>
      <c r="B1064" s="3" t="s">
        <v>1063</v>
      </c>
      <c r="C1064" s="3" t="s">
        <v>5172</v>
      </c>
      <c r="D1064" s="12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>((Table1[[#This Row],[deadline]]/60)/60/24)+DATE(1970,1,1)</f>
        <v>42563.807187500002</v>
      </c>
      <c r="K1064">
        <v>1467746541</v>
      </c>
      <c r="L1064" s="11">
        <f>((Table1[[#This Row],[launched_at]]/60)/60/24)+DATE(1970,1,1)</f>
        <v>42556.807187500002</v>
      </c>
      <c r="M1064">
        <f>MONTH(Table1[[#This Row],[Date Created Conversion]])</f>
        <v>7</v>
      </c>
      <c r="N1064">
        <f>YEAR(Table1[[#This Row],[Date Created Conversion]])</f>
        <v>2016</v>
      </c>
      <c r="O1064" t="b">
        <v>0</v>
      </c>
      <c r="P1064">
        <v>4</v>
      </c>
      <c r="Q1064" t="b">
        <v>0</v>
      </c>
      <c r="R1064" t="s">
        <v>8281</v>
      </c>
      <c r="S1064" s="6">
        <f>Table1[[#This Row],[pledged]]/Table1[[#This Row],[goal]]</f>
        <v>0.95477386934673369</v>
      </c>
      <c r="T1064" s="8">
        <f>IF(Table1[[#This Row],[pledged]]=0,"no backers",Table1[[#This Row],[pledged]]/Table1[[#This Row],[backers_count]])</f>
        <v>47.5</v>
      </c>
      <c r="U1064" t="str">
        <f>LEFT(Table1[[#This Row],[Category and Sub-Category]],FIND("/",Table1[[#This Row],[Category and Sub-Category]])-1)</f>
        <v>journalism</v>
      </c>
      <c r="V1064" t="str">
        <f>RIGHT(Table1[[#This Row],[Category and Sub-Category]],LEN(Table1[[#This Row],[Category and Sub-Category]])-FIND("/",Table1[[#This Row],[Category and Sub-Category]]))</f>
        <v>audio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 s="12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>((Table1[[#This Row],[deadline]]/60)/60/24)+DATE(1970,1,1)</f>
        <v>42613.030810185184</v>
      </c>
      <c r="K1065">
        <v>1470012262</v>
      </c>
      <c r="L1065" s="11">
        <f>((Table1[[#This Row],[launched_at]]/60)/60/24)+DATE(1970,1,1)</f>
        <v>42583.030810185184</v>
      </c>
      <c r="M1065">
        <f>MONTH(Table1[[#This Row],[Date Created Conversion]])</f>
        <v>8</v>
      </c>
      <c r="N1065">
        <f>YEAR(Table1[[#This Row],[Date Created Conversion]])</f>
        <v>2016</v>
      </c>
      <c r="O1065" t="b">
        <v>0</v>
      </c>
      <c r="P1065">
        <v>0</v>
      </c>
      <c r="Q1065" t="b">
        <v>0</v>
      </c>
      <c r="R1065" t="s">
        <v>8281</v>
      </c>
      <c r="S1065" s="6">
        <f>Table1[[#This Row],[pledged]]/Table1[[#This Row],[goal]]</f>
        <v>0</v>
      </c>
      <c r="T1065" s="8" t="str">
        <f>IF(Table1[[#This Row],[pledged]]=0,"no backers",Table1[[#This Row],[pledged]]/Table1[[#This Row],[backers_count]])</f>
        <v>no backers</v>
      </c>
      <c r="U1065" t="str">
        <f>LEFT(Table1[[#This Row],[Category and Sub-Category]],FIND("/",Table1[[#This Row],[Category and Sub-Category]])-1)</f>
        <v>journalism</v>
      </c>
      <c r="V1065" t="str">
        <f>RIGHT(Table1[[#This Row],[Category and Sub-Category]],LEN(Table1[[#This Row],[Category and Sub-Category]])-FIND("/",Table1[[#This Row],[Category and Sub-Category]]))</f>
        <v>audio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 s="12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>((Table1[[#This Row],[deadline]]/60)/60/24)+DATE(1970,1,1)</f>
        <v>41462.228043981479</v>
      </c>
      <c r="K1066">
        <v>1369286903</v>
      </c>
      <c r="L1066" s="11">
        <f>((Table1[[#This Row],[launched_at]]/60)/60/24)+DATE(1970,1,1)</f>
        <v>41417.228043981479</v>
      </c>
      <c r="M1066">
        <f>MONTH(Table1[[#This Row],[Date Created Conversion]])</f>
        <v>5</v>
      </c>
      <c r="N1066">
        <f>YEAR(Table1[[#This Row],[Date Created Conversion]])</f>
        <v>2013</v>
      </c>
      <c r="O1066" t="b">
        <v>0</v>
      </c>
      <c r="P1066">
        <v>123</v>
      </c>
      <c r="Q1066" t="b">
        <v>0</v>
      </c>
      <c r="R1066" t="s">
        <v>8282</v>
      </c>
      <c r="S1066" s="6">
        <f>Table1[[#This Row],[pledged]]/Table1[[#This Row],[goal]]</f>
        <v>8.9744444444444446E-2</v>
      </c>
      <c r="T1066" s="8">
        <f>IF(Table1[[#This Row],[pledged]]=0,"no backers",Table1[[#This Row],[pledged]]/Table1[[#This Row],[backers_count]])</f>
        <v>65.666666666666671</v>
      </c>
      <c r="U1066" t="str">
        <f>LEFT(Table1[[#This Row],[Category and Sub-Category]],FIND("/",Table1[[#This Row],[Category and Sub-Category]])-1)</f>
        <v>games</v>
      </c>
      <c r="V1066" t="str">
        <f>RIGHT(Table1[[#This Row],[Category and Sub-Category]],LEN(Table1[[#This Row],[Category and Sub-Category]])-FIND("/",Table1[[#This Row],[Category and Sub-Category]]))</f>
        <v>video games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 s="12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>((Table1[[#This Row],[deadline]]/60)/60/24)+DATE(1970,1,1)</f>
        <v>41689.381041666667</v>
      </c>
      <c r="K1067">
        <v>1390381722</v>
      </c>
      <c r="L1067" s="11">
        <f>((Table1[[#This Row],[launched_at]]/60)/60/24)+DATE(1970,1,1)</f>
        <v>41661.381041666667</v>
      </c>
      <c r="M1067">
        <f>MONTH(Table1[[#This Row],[Date Created Conversion]])</f>
        <v>1</v>
      </c>
      <c r="N1067">
        <f>YEAR(Table1[[#This Row],[Date Created Conversion]])</f>
        <v>2014</v>
      </c>
      <c r="O1067" t="b">
        <v>0</v>
      </c>
      <c r="P1067">
        <v>5</v>
      </c>
      <c r="Q1067" t="b">
        <v>0</v>
      </c>
      <c r="R1067" t="s">
        <v>8282</v>
      </c>
      <c r="S1067" s="6">
        <f>Table1[[#This Row],[pledged]]/Table1[[#This Row],[goal]]</f>
        <v>2.7E-2</v>
      </c>
      <c r="T1067" s="8">
        <f>IF(Table1[[#This Row],[pledged]]=0,"no backers",Table1[[#This Row],[pledged]]/Table1[[#This Row],[backers_count]])</f>
        <v>16.2</v>
      </c>
      <c r="U1067" t="str">
        <f>LEFT(Table1[[#This Row],[Category and Sub-Category]],FIND("/",Table1[[#This Row],[Category and Sub-Category]])-1)</f>
        <v>games</v>
      </c>
      <c r="V1067" t="str">
        <f>RIGHT(Table1[[#This Row],[Category and Sub-Category]],LEN(Table1[[#This Row],[Category and Sub-Category]])-FIND("/",Table1[[#This Row],[Category and Sub-Category]]))</f>
        <v>video games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 s="12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>((Table1[[#This Row],[deadline]]/60)/60/24)+DATE(1970,1,1)</f>
        <v>41490.962754629632</v>
      </c>
      <c r="K1068">
        <v>1371769582</v>
      </c>
      <c r="L1068" s="11">
        <f>((Table1[[#This Row],[launched_at]]/60)/60/24)+DATE(1970,1,1)</f>
        <v>41445.962754629632</v>
      </c>
      <c r="M1068">
        <f>MONTH(Table1[[#This Row],[Date Created Conversion]])</f>
        <v>6</v>
      </c>
      <c r="N1068">
        <f>YEAR(Table1[[#This Row],[Date Created Conversion]])</f>
        <v>2013</v>
      </c>
      <c r="O1068" t="b">
        <v>0</v>
      </c>
      <c r="P1068">
        <v>148</v>
      </c>
      <c r="Q1068" t="b">
        <v>0</v>
      </c>
      <c r="R1068" t="s">
        <v>8282</v>
      </c>
      <c r="S1068" s="6">
        <f>Table1[[#This Row],[pledged]]/Table1[[#This Row],[goal]]</f>
        <v>3.3673333333333333E-2</v>
      </c>
      <c r="T1068" s="8">
        <f>IF(Table1[[#This Row],[pledged]]=0,"no backers",Table1[[#This Row],[pledged]]/Table1[[#This Row],[backers_count]])</f>
        <v>34.128378378378379</v>
      </c>
      <c r="U1068" t="str">
        <f>LEFT(Table1[[#This Row],[Category and Sub-Category]],FIND("/",Table1[[#This Row],[Category and Sub-Category]])-1)</f>
        <v>games</v>
      </c>
      <c r="V1068" t="str">
        <f>RIGHT(Table1[[#This Row],[Category and Sub-Category]],LEN(Table1[[#This Row],[Category and Sub-Category]])-FIND("/",Table1[[#This Row],[Category and Sub-Category]]))</f>
        <v>video games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 s="12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>((Table1[[#This Row],[deadline]]/60)/60/24)+DATE(1970,1,1)</f>
        <v>41629.855682870373</v>
      </c>
      <c r="K1069">
        <v>1385065931</v>
      </c>
      <c r="L1069" s="11">
        <f>((Table1[[#This Row],[launched_at]]/60)/60/24)+DATE(1970,1,1)</f>
        <v>41599.855682870373</v>
      </c>
      <c r="M1069">
        <f>MONTH(Table1[[#This Row],[Date Created Conversion]])</f>
        <v>11</v>
      </c>
      <c r="N1069">
        <f>YEAR(Table1[[#This Row],[Date Created Conversion]])</f>
        <v>2013</v>
      </c>
      <c r="O1069" t="b">
        <v>0</v>
      </c>
      <c r="P1069">
        <v>10</v>
      </c>
      <c r="Q1069" t="b">
        <v>0</v>
      </c>
      <c r="R1069" t="s">
        <v>8282</v>
      </c>
      <c r="S1069" s="6">
        <f>Table1[[#This Row],[pledged]]/Table1[[#This Row],[goal]]</f>
        <v>0.26</v>
      </c>
      <c r="T1069" s="8">
        <f>IF(Table1[[#This Row],[pledged]]=0,"no backers",Table1[[#This Row],[pledged]]/Table1[[#This Row],[backers_count]])</f>
        <v>13</v>
      </c>
      <c r="U1069" t="str">
        <f>LEFT(Table1[[#This Row],[Category and Sub-Category]],FIND("/",Table1[[#This Row],[Category and Sub-Category]])-1)</f>
        <v>games</v>
      </c>
      <c r="V1069" t="str">
        <f>RIGHT(Table1[[#This Row],[Category and Sub-Category]],LEN(Table1[[#This Row],[Category and Sub-Category]])-FIND("/",Table1[[#This Row],[Category and Sub-Category]]))</f>
        <v>video games</v>
      </c>
    </row>
    <row r="1070" spans="1:22" ht="57.6" x14ac:dyDescent="0.3">
      <c r="A1070">
        <v>1068</v>
      </c>
      <c r="B1070" s="3" t="s">
        <v>1069</v>
      </c>
      <c r="C1070" s="3" t="s">
        <v>5178</v>
      </c>
      <c r="D1070" s="12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>((Table1[[#This Row],[deadline]]/60)/60/24)+DATE(1970,1,1)</f>
        <v>42470.329444444447</v>
      </c>
      <c r="K1070">
        <v>1457686464</v>
      </c>
      <c r="L1070" s="11">
        <f>((Table1[[#This Row],[launched_at]]/60)/60/24)+DATE(1970,1,1)</f>
        <v>42440.371111111104</v>
      </c>
      <c r="M1070">
        <f>MONTH(Table1[[#This Row],[Date Created Conversion]])</f>
        <v>3</v>
      </c>
      <c r="N1070">
        <f>YEAR(Table1[[#This Row],[Date Created Conversion]])</f>
        <v>2016</v>
      </c>
      <c r="O1070" t="b">
        <v>0</v>
      </c>
      <c r="P1070">
        <v>4</v>
      </c>
      <c r="Q1070" t="b">
        <v>0</v>
      </c>
      <c r="R1070" t="s">
        <v>8282</v>
      </c>
      <c r="S1070" s="6">
        <f>Table1[[#This Row],[pledged]]/Table1[[#This Row],[goal]]</f>
        <v>1.5E-3</v>
      </c>
      <c r="T1070" s="8">
        <f>IF(Table1[[#This Row],[pledged]]=0,"no backers",Table1[[#This Row],[pledged]]/Table1[[#This Row],[backers_count]])</f>
        <v>11.25</v>
      </c>
      <c r="U1070" t="str">
        <f>LEFT(Table1[[#This Row],[Category and Sub-Category]],FIND("/",Table1[[#This Row],[Category and Sub-Category]])-1)</f>
        <v>games</v>
      </c>
      <c r="V1070" t="str">
        <f>RIGHT(Table1[[#This Row],[Category and Sub-Category]],LEN(Table1[[#This Row],[Category and Sub-Category]])-FIND("/",Table1[[#This Row],[Category and Sub-Category]]))</f>
        <v>video games</v>
      </c>
    </row>
    <row r="1071" spans="1:22" ht="43.2" x14ac:dyDescent="0.3">
      <c r="A1071">
        <v>1069</v>
      </c>
      <c r="B1071" s="3" t="s">
        <v>1070</v>
      </c>
      <c r="C1071" s="3" t="s">
        <v>5179</v>
      </c>
      <c r="D1071" s="12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>((Table1[[#This Row],[deadline]]/60)/60/24)+DATE(1970,1,1)</f>
        <v>41604.271516203706</v>
      </c>
      <c r="K1071">
        <v>1382679059</v>
      </c>
      <c r="L1071" s="11">
        <f>((Table1[[#This Row],[launched_at]]/60)/60/24)+DATE(1970,1,1)</f>
        <v>41572.229849537034</v>
      </c>
      <c r="M1071">
        <f>MONTH(Table1[[#This Row],[Date Created Conversion]])</f>
        <v>10</v>
      </c>
      <c r="N1071">
        <f>YEAR(Table1[[#This Row],[Date Created Conversion]])</f>
        <v>2013</v>
      </c>
      <c r="O1071" t="b">
        <v>0</v>
      </c>
      <c r="P1071">
        <v>21</v>
      </c>
      <c r="Q1071" t="b">
        <v>0</v>
      </c>
      <c r="R1071" t="s">
        <v>8282</v>
      </c>
      <c r="S1071" s="6">
        <f>Table1[[#This Row],[pledged]]/Table1[[#This Row],[goal]]</f>
        <v>0.38636363636363635</v>
      </c>
      <c r="T1071" s="8">
        <f>IF(Table1[[#This Row],[pledged]]=0,"no backers",Table1[[#This Row],[pledged]]/Table1[[#This Row],[backers_count]])</f>
        <v>40.476190476190474</v>
      </c>
      <c r="U1071" t="str">
        <f>LEFT(Table1[[#This Row],[Category and Sub-Category]],FIND("/",Table1[[#This Row],[Category and Sub-Category]])-1)</f>
        <v>games</v>
      </c>
      <c r="V1071" t="str">
        <f>RIGHT(Table1[[#This Row],[Category and Sub-Category]],LEN(Table1[[#This Row],[Category and Sub-Category]])-FIND("/",Table1[[#This Row],[Category and Sub-Category]]))</f>
        <v>video games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 s="1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>((Table1[[#This Row],[deadline]]/60)/60/24)+DATE(1970,1,1)</f>
        <v>41183.011828703704</v>
      </c>
      <c r="K1072">
        <v>1347322622</v>
      </c>
      <c r="L1072" s="11">
        <f>((Table1[[#This Row],[launched_at]]/60)/60/24)+DATE(1970,1,1)</f>
        <v>41163.011828703704</v>
      </c>
      <c r="M1072">
        <f>MONTH(Table1[[#This Row],[Date Created Conversion]])</f>
        <v>9</v>
      </c>
      <c r="N1072">
        <f>YEAR(Table1[[#This Row],[Date Created Conversion]])</f>
        <v>2012</v>
      </c>
      <c r="O1072" t="b">
        <v>0</v>
      </c>
      <c r="P1072">
        <v>2</v>
      </c>
      <c r="Q1072" t="b">
        <v>0</v>
      </c>
      <c r="R1072" t="s">
        <v>8282</v>
      </c>
      <c r="S1072" s="6">
        <f>Table1[[#This Row],[pledged]]/Table1[[#This Row],[goal]]</f>
        <v>7.0000000000000001E-3</v>
      </c>
      <c r="T1072" s="8">
        <f>IF(Table1[[#This Row],[pledged]]=0,"no backers",Table1[[#This Row],[pledged]]/Table1[[#This Row],[backers_count]])</f>
        <v>35</v>
      </c>
      <c r="U1072" t="str">
        <f>LEFT(Table1[[#This Row],[Category and Sub-Category]],FIND("/",Table1[[#This Row],[Category and Sub-Category]])-1)</f>
        <v>games</v>
      </c>
      <c r="V1072" t="str">
        <f>RIGHT(Table1[[#This Row],[Category and Sub-Category]],LEN(Table1[[#This Row],[Category and Sub-Category]])-FIND("/",Table1[[#This Row],[Category and Sub-Category]]))</f>
        <v>video games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 s="12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>((Table1[[#This Row],[deadline]]/60)/60/24)+DATE(1970,1,1)</f>
        <v>42325.795057870375</v>
      </c>
      <c r="K1073">
        <v>1445191493</v>
      </c>
      <c r="L1073" s="11">
        <f>((Table1[[#This Row],[launched_at]]/60)/60/24)+DATE(1970,1,1)</f>
        <v>42295.753391203703</v>
      </c>
      <c r="M1073">
        <f>MONTH(Table1[[#This Row],[Date Created Conversion]])</f>
        <v>10</v>
      </c>
      <c r="N1073">
        <f>YEAR(Table1[[#This Row],[Date Created Conversion]])</f>
        <v>2015</v>
      </c>
      <c r="O1073" t="b">
        <v>0</v>
      </c>
      <c r="P1073">
        <v>0</v>
      </c>
      <c r="Q1073" t="b">
        <v>0</v>
      </c>
      <c r="R1073" t="s">
        <v>8282</v>
      </c>
      <c r="S1073" s="6">
        <f>Table1[[#This Row],[pledged]]/Table1[[#This Row],[goal]]</f>
        <v>0</v>
      </c>
      <c r="T1073" s="8" t="str">
        <f>IF(Table1[[#This Row],[pledged]]=0,"no backers",Table1[[#This Row],[pledged]]/Table1[[#This Row],[backers_count]])</f>
        <v>no backers</v>
      </c>
      <c r="U1073" t="str">
        <f>LEFT(Table1[[#This Row],[Category and Sub-Category]],FIND("/",Table1[[#This Row],[Category and Sub-Category]])-1)</f>
        <v>games</v>
      </c>
      <c r="V1073" t="str">
        <f>RIGHT(Table1[[#This Row],[Category and Sub-Category]],LEN(Table1[[#This Row],[Category and Sub-Category]])-FIND("/",Table1[[#This Row],[Category and Sub-Category]]))</f>
        <v>video games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 s="12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>((Table1[[#This Row],[deadline]]/60)/60/24)+DATE(1970,1,1)</f>
        <v>41675.832141203704</v>
      </c>
      <c r="K1074">
        <v>1389038297</v>
      </c>
      <c r="L1074" s="11">
        <f>((Table1[[#This Row],[launched_at]]/60)/60/24)+DATE(1970,1,1)</f>
        <v>41645.832141203704</v>
      </c>
      <c r="M1074">
        <f>MONTH(Table1[[#This Row],[Date Created Conversion]])</f>
        <v>1</v>
      </c>
      <c r="N1074">
        <f>YEAR(Table1[[#This Row],[Date Created Conversion]])</f>
        <v>2014</v>
      </c>
      <c r="O1074" t="b">
        <v>0</v>
      </c>
      <c r="P1074">
        <v>4</v>
      </c>
      <c r="Q1074" t="b">
        <v>0</v>
      </c>
      <c r="R1074" t="s">
        <v>8282</v>
      </c>
      <c r="S1074" s="6">
        <f>Table1[[#This Row],[pledged]]/Table1[[#This Row],[goal]]</f>
        <v>6.8000000000000005E-4</v>
      </c>
      <c r="T1074" s="8">
        <f>IF(Table1[[#This Row],[pledged]]=0,"no backers",Table1[[#This Row],[pledged]]/Table1[[#This Row],[backers_count]])</f>
        <v>12.75</v>
      </c>
      <c r="U1074" t="str">
        <f>LEFT(Table1[[#This Row],[Category and Sub-Category]],FIND("/",Table1[[#This Row],[Category and Sub-Category]])-1)</f>
        <v>games</v>
      </c>
      <c r="V1074" t="str">
        <f>RIGHT(Table1[[#This Row],[Category and Sub-Category]],LEN(Table1[[#This Row],[Category and Sub-Category]])-FIND("/",Table1[[#This Row],[Category and Sub-Category]]))</f>
        <v>video games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 s="12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>((Table1[[#This Row],[deadline]]/60)/60/24)+DATE(1970,1,1)</f>
        <v>40832.964594907404</v>
      </c>
      <c r="K1075">
        <v>1316214541</v>
      </c>
      <c r="L1075" s="11">
        <f>((Table1[[#This Row],[launched_at]]/60)/60/24)+DATE(1970,1,1)</f>
        <v>40802.964594907404</v>
      </c>
      <c r="M1075">
        <f>MONTH(Table1[[#This Row],[Date Created Conversion]])</f>
        <v>9</v>
      </c>
      <c r="N1075">
        <f>YEAR(Table1[[#This Row],[Date Created Conversion]])</f>
        <v>2011</v>
      </c>
      <c r="O1075" t="b">
        <v>0</v>
      </c>
      <c r="P1075">
        <v>1</v>
      </c>
      <c r="Q1075" t="b">
        <v>0</v>
      </c>
      <c r="R1075" t="s">
        <v>8282</v>
      </c>
      <c r="S1075" s="6">
        <f>Table1[[#This Row],[pledged]]/Table1[[#This Row],[goal]]</f>
        <v>1.3333333333333334E-2</v>
      </c>
      <c r="T1075" s="8">
        <f>IF(Table1[[#This Row],[pledged]]=0,"no backers",Table1[[#This Row],[pledged]]/Table1[[#This Row],[backers_count]])</f>
        <v>10</v>
      </c>
      <c r="U1075" t="str">
        <f>LEFT(Table1[[#This Row],[Category and Sub-Category]],FIND("/",Table1[[#This Row],[Category and Sub-Category]])-1)</f>
        <v>games</v>
      </c>
      <c r="V1075" t="str">
        <f>RIGHT(Table1[[#This Row],[Category and Sub-Category]],LEN(Table1[[#This Row],[Category and Sub-Category]])-FIND("/",Table1[[#This Row],[Category and Sub-Category]]))</f>
        <v>video games</v>
      </c>
    </row>
    <row r="1076" spans="1:22" ht="57.6" x14ac:dyDescent="0.3">
      <c r="A1076">
        <v>1074</v>
      </c>
      <c r="B1076" s="3" t="s">
        <v>1075</v>
      </c>
      <c r="C1076" s="3" t="s">
        <v>5184</v>
      </c>
      <c r="D1076" s="12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>((Table1[[#This Row],[deadline]]/60)/60/24)+DATE(1970,1,1)</f>
        <v>41643.172974537039</v>
      </c>
      <c r="K1076">
        <v>1386216545</v>
      </c>
      <c r="L1076" s="11">
        <f>((Table1[[#This Row],[launched_at]]/60)/60/24)+DATE(1970,1,1)</f>
        <v>41613.172974537039</v>
      </c>
      <c r="M1076">
        <f>MONTH(Table1[[#This Row],[Date Created Conversion]])</f>
        <v>12</v>
      </c>
      <c r="N1076">
        <f>YEAR(Table1[[#This Row],[Date Created Conversion]])</f>
        <v>2013</v>
      </c>
      <c r="O1076" t="b">
        <v>0</v>
      </c>
      <c r="P1076">
        <v>30</v>
      </c>
      <c r="Q1076" t="b">
        <v>0</v>
      </c>
      <c r="R1076" t="s">
        <v>8282</v>
      </c>
      <c r="S1076" s="6">
        <f>Table1[[#This Row],[pledged]]/Table1[[#This Row],[goal]]</f>
        <v>6.3092592592592589E-2</v>
      </c>
      <c r="T1076" s="8">
        <f>IF(Table1[[#This Row],[pledged]]=0,"no backers",Table1[[#This Row],[pledged]]/Table1[[#This Row],[backers_count]])</f>
        <v>113.56666666666666</v>
      </c>
      <c r="U1076" t="str">
        <f>LEFT(Table1[[#This Row],[Category and Sub-Category]],FIND("/",Table1[[#This Row],[Category and Sub-Category]])-1)</f>
        <v>games</v>
      </c>
      <c r="V1076" t="str">
        <f>RIGHT(Table1[[#This Row],[Category and Sub-Category]],LEN(Table1[[#This Row],[Category and Sub-Category]])-FIND("/",Table1[[#This Row],[Category and Sub-Category]]))</f>
        <v>video games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 s="12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>((Table1[[#This Row],[deadline]]/60)/60/24)+DATE(1970,1,1)</f>
        <v>41035.904120370367</v>
      </c>
      <c r="K1077">
        <v>1333748516</v>
      </c>
      <c r="L1077" s="11">
        <f>((Table1[[#This Row],[launched_at]]/60)/60/24)+DATE(1970,1,1)</f>
        <v>41005.904120370367</v>
      </c>
      <c r="M1077">
        <f>MONTH(Table1[[#This Row],[Date Created Conversion]])</f>
        <v>4</v>
      </c>
      <c r="N1077">
        <f>YEAR(Table1[[#This Row],[Date Created Conversion]])</f>
        <v>2012</v>
      </c>
      <c r="O1077" t="b">
        <v>0</v>
      </c>
      <c r="P1077">
        <v>3</v>
      </c>
      <c r="Q1077" t="b">
        <v>0</v>
      </c>
      <c r="R1077" t="s">
        <v>8282</v>
      </c>
      <c r="S1077" s="6">
        <f>Table1[[#This Row],[pledged]]/Table1[[#This Row],[goal]]</f>
        <v>4.4999999999999998E-2</v>
      </c>
      <c r="T1077" s="8">
        <f>IF(Table1[[#This Row],[pledged]]=0,"no backers",Table1[[#This Row],[pledged]]/Table1[[#This Row],[backers_count]])</f>
        <v>15</v>
      </c>
      <c r="U1077" t="str">
        <f>LEFT(Table1[[#This Row],[Category and Sub-Category]],FIND("/",Table1[[#This Row],[Category and Sub-Category]])-1)</f>
        <v>games</v>
      </c>
      <c r="V1077" t="str">
        <f>RIGHT(Table1[[#This Row],[Category and Sub-Category]],LEN(Table1[[#This Row],[Category and Sub-Category]])-FIND("/",Table1[[#This Row],[Category and Sub-Category]]))</f>
        <v>video games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 s="12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>((Table1[[#This Row],[deadline]]/60)/60/24)+DATE(1970,1,1)</f>
        <v>41893.377893518518</v>
      </c>
      <c r="K1078">
        <v>1405674250</v>
      </c>
      <c r="L1078" s="11">
        <f>((Table1[[#This Row],[launched_at]]/60)/60/24)+DATE(1970,1,1)</f>
        <v>41838.377893518518</v>
      </c>
      <c r="M1078">
        <f>MONTH(Table1[[#This Row],[Date Created Conversion]])</f>
        <v>7</v>
      </c>
      <c r="N1078">
        <f>YEAR(Table1[[#This Row],[Date Created Conversion]])</f>
        <v>2014</v>
      </c>
      <c r="O1078" t="b">
        <v>0</v>
      </c>
      <c r="P1078">
        <v>975</v>
      </c>
      <c r="Q1078" t="b">
        <v>0</v>
      </c>
      <c r="R1078" t="s">
        <v>8282</v>
      </c>
      <c r="S1078" s="6">
        <f>Table1[[#This Row],[pledged]]/Table1[[#This Row],[goal]]</f>
        <v>0.62765333333333329</v>
      </c>
      <c r="T1078" s="8">
        <f>IF(Table1[[#This Row],[pledged]]=0,"no backers",Table1[[#This Row],[pledged]]/Table1[[#This Row],[backers_count]])</f>
        <v>48.281025641025643</v>
      </c>
      <c r="U1078" t="str">
        <f>LEFT(Table1[[#This Row],[Category and Sub-Category]],FIND("/",Table1[[#This Row],[Category and Sub-Category]])-1)</f>
        <v>games</v>
      </c>
      <c r="V1078" t="str">
        <f>RIGHT(Table1[[#This Row],[Category and Sub-Category]],LEN(Table1[[#This Row],[Category and Sub-Category]])-FIND("/",Table1[[#This Row],[Category and Sub-Category]]))</f>
        <v>video games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 s="12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>((Table1[[#This Row],[deadline]]/60)/60/24)+DATE(1970,1,1)</f>
        <v>42383.16679398148</v>
      </c>
      <c r="K1079">
        <v>1450152011</v>
      </c>
      <c r="L1079" s="11">
        <f>((Table1[[#This Row],[launched_at]]/60)/60/24)+DATE(1970,1,1)</f>
        <v>42353.16679398148</v>
      </c>
      <c r="M1079">
        <f>MONTH(Table1[[#This Row],[Date Created Conversion]])</f>
        <v>12</v>
      </c>
      <c r="N1079">
        <f>YEAR(Table1[[#This Row],[Date Created Conversion]])</f>
        <v>2015</v>
      </c>
      <c r="O1079" t="b">
        <v>0</v>
      </c>
      <c r="P1079">
        <v>167</v>
      </c>
      <c r="Q1079" t="b">
        <v>0</v>
      </c>
      <c r="R1079" t="s">
        <v>8282</v>
      </c>
      <c r="S1079" s="6">
        <f>Table1[[#This Row],[pledged]]/Table1[[#This Row],[goal]]</f>
        <v>0.29376000000000002</v>
      </c>
      <c r="T1079" s="8">
        <f>IF(Table1[[#This Row],[pledged]]=0,"no backers",Table1[[#This Row],[pledged]]/Table1[[#This Row],[backers_count]])</f>
        <v>43.976047904191617</v>
      </c>
      <c r="U1079" t="str">
        <f>LEFT(Table1[[#This Row],[Category and Sub-Category]],FIND("/",Table1[[#This Row],[Category and Sub-Category]])-1)</f>
        <v>games</v>
      </c>
      <c r="V1079" t="str">
        <f>RIGHT(Table1[[#This Row],[Category and Sub-Category]],LEN(Table1[[#This Row],[Category and Sub-Category]])-FIND("/",Table1[[#This Row],[Category and Sub-Category]]))</f>
        <v>video games</v>
      </c>
    </row>
    <row r="1080" spans="1:22" ht="57.6" x14ac:dyDescent="0.3">
      <c r="A1080">
        <v>1078</v>
      </c>
      <c r="B1080" s="3" t="s">
        <v>1079</v>
      </c>
      <c r="C1080" s="3" t="s">
        <v>5188</v>
      </c>
      <c r="D1080" s="12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>((Table1[[#This Row],[deadline]]/60)/60/24)+DATE(1970,1,1)</f>
        <v>40746.195844907408</v>
      </c>
      <c r="K1080">
        <v>1307421721</v>
      </c>
      <c r="L1080" s="11">
        <f>((Table1[[#This Row],[launched_at]]/60)/60/24)+DATE(1970,1,1)</f>
        <v>40701.195844907408</v>
      </c>
      <c r="M1080">
        <f>MONTH(Table1[[#This Row],[Date Created Conversion]])</f>
        <v>6</v>
      </c>
      <c r="N1080">
        <f>YEAR(Table1[[#This Row],[Date Created Conversion]])</f>
        <v>2011</v>
      </c>
      <c r="O1080" t="b">
        <v>0</v>
      </c>
      <c r="P1080">
        <v>5</v>
      </c>
      <c r="Q1080" t="b">
        <v>0</v>
      </c>
      <c r="R1080" t="s">
        <v>8282</v>
      </c>
      <c r="S1080" s="6">
        <f>Table1[[#This Row],[pledged]]/Table1[[#This Row],[goal]]</f>
        <v>7.4999999999999997E-2</v>
      </c>
      <c r="T1080" s="8">
        <f>IF(Table1[[#This Row],[pledged]]=0,"no backers",Table1[[#This Row],[pledged]]/Table1[[#This Row],[backers_count]])</f>
        <v>9</v>
      </c>
      <c r="U1080" t="str">
        <f>LEFT(Table1[[#This Row],[Category and Sub-Category]],FIND("/",Table1[[#This Row],[Category and Sub-Category]])-1)</f>
        <v>games</v>
      </c>
      <c r="V1080" t="str">
        <f>RIGHT(Table1[[#This Row],[Category and Sub-Category]],LEN(Table1[[#This Row],[Category and Sub-Category]])-FIND("/",Table1[[#This Row],[Category and Sub-Category]]))</f>
        <v>video games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 s="12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>((Table1[[#This Row],[deadline]]/60)/60/24)+DATE(1970,1,1)</f>
        <v>42504.566388888896</v>
      </c>
      <c r="K1081">
        <v>1461072936</v>
      </c>
      <c r="L1081" s="11">
        <f>((Table1[[#This Row],[launched_at]]/60)/60/24)+DATE(1970,1,1)</f>
        <v>42479.566388888896</v>
      </c>
      <c r="M1081">
        <f>MONTH(Table1[[#This Row],[Date Created Conversion]])</f>
        <v>4</v>
      </c>
      <c r="N1081">
        <f>YEAR(Table1[[#This Row],[Date Created Conversion]])</f>
        <v>2016</v>
      </c>
      <c r="O1081" t="b">
        <v>0</v>
      </c>
      <c r="P1081">
        <v>18</v>
      </c>
      <c r="Q1081" t="b">
        <v>0</v>
      </c>
      <c r="R1081" t="s">
        <v>8282</v>
      </c>
      <c r="S1081" s="6">
        <f>Table1[[#This Row],[pledged]]/Table1[[#This Row],[goal]]</f>
        <v>2.6076923076923077E-2</v>
      </c>
      <c r="T1081" s="8">
        <f>IF(Table1[[#This Row],[pledged]]=0,"no backers",Table1[[#This Row],[pledged]]/Table1[[#This Row],[backers_count]])</f>
        <v>37.666666666666664</v>
      </c>
      <c r="U1081" t="str">
        <f>LEFT(Table1[[#This Row],[Category and Sub-Category]],FIND("/",Table1[[#This Row],[Category and Sub-Category]])-1)</f>
        <v>games</v>
      </c>
      <c r="V1081" t="str">
        <f>RIGHT(Table1[[#This Row],[Category and Sub-Category]],LEN(Table1[[#This Row],[Category and Sub-Category]])-FIND("/",Table1[[#This Row],[Category and Sub-Category]]))</f>
        <v>video games</v>
      </c>
    </row>
    <row r="1082" spans="1:22" ht="43.2" x14ac:dyDescent="0.3">
      <c r="A1082">
        <v>1080</v>
      </c>
      <c r="B1082" s="3" t="s">
        <v>1081</v>
      </c>
      <c r="C1082" s="3" t="s">
        <v>5190</v>
      </c>
      <c r="D1082" s="1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>((Table1[[#This Row],[deadline]]/60)/60/24)+DATE(1970,1,1)</f>
        <v>41770.138113425928</v>
      </c>
      <c r="K1082">
        <v>1397186333</v>
      </c>
      <c r="L1082" s="11">
        <f>((Table1[[#This Row],[launched_at]]/60)/60/24)+DATE(1970,1,1)</f>
        <v>41740.138113425928</v>
      </c>
      <c r="M1082">
        <f>MONTH(Table1[[#This Row],[Date Created Conversion]])</f>
        <v>4</v>
      </c>
      <c r="N1082">
        <f>YEAR(Table1[[#This Row],[Date Created Conversion]])</f>
        <v>2014</v>
      </c>
      <c r="O1082" t="b">
        <v>0</v>
      </c>
      <c r="P1082">
        <v>98</v>
      </c>
      <c r="Q1082" t="b">
        <v>0</v>
      </c>
      <c r="R1082" t="s">
        <v>8282</v>
      </c>
      <c r="S1082" s="6">
        <f>Table1[[#This Row],[pledged]]/Table1[[#This Row],[goal]]</f>
        <v>9.1050000000000006E-2</v>
      </c>
      <c r="T1082" s="8">
        <f>IF(Table1[[#This Row],[pledged]]=0,"no backers",Table1[[#This Row],[pledged]]/Table1[[#This Row],[backers_count]])</f>
        <v>18.581632653061224</v>
      </c>
      <c r="U1082" t="str">
        <f>LEFT(Table1[[#This Row],[Category and Sub-Category]],FIND("/",Table1[[#This Row],[Category and Sub-Category]])-1)</f>
        <v>games</v>
      </c>
      <c r="V1082" t="str">
        <f>RIGHT(Table1[[#This Row],[Category and Sub-Category]],LEN(Table1[[#This Row],[Category and Sub-Category]])-FIND("/",Table1[[#This Row],[Category and Sub-Category]]))</f>
        <v>video games</v>
      </c>
    </row>
    <row r="1083" spans="1:22" ht="43.2" x14ac:dyDescent="0.3">
      <c r="A1083">
        <v>1081</v>
      </c>
      <c r="B1083" s="3" t="s">
        <v>1082</v>
      </c>
      <c r="C1083" s="3" t="s">
        <v>5191</v>
      </c>
      <c r="D1083" s="12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>((Table1[[#This Row],[deadline]]/60)/60/24)+DATE(1970,1,1)</f>
        <v>42032.926990740743</v>
      </c>
      <c r="K1083">
        <v>1419891292</v>
      </c>
      <c r="L1083" s="11">
        <f>((Table1[[#This Row],[launched_at]]/60)/60/24)+DATE(1970,1,1)</f>
        <v>42002.926990740743</v>
      </c>
      <c r="M1083">
        <f>MONTH(Table1[[#This Row],[Date Created Conversion]])</f>
        <v>12</v>
      </c>
      <c r="N1083">
        <f>YEAR(Table1[[#This Row],[Date Created Conversion]])</f>
        <v>2014</v>
      </c>
      <c r="O1083" t="b">
        <v>0</v>
      </c>
      <c r="P1083">
        <v>4</v>
      </c>
      <c r="Q1083" t="b">
        <v>0</v>
      </c>
      <c r="R1083" t="s">
        <v>8282</v>
      </c>
      <c r="S1083" s="6">
        <f>Table1[[#This Row],[pledged]]/Table1[[#This Row],[goal]]</f>
        <v>1.7647058823529413E-4</v>
      </c>
      <c r="T1083" s="8">
        <f>IF(Table1[[#This Row],[pledged]]=0,"no backers",Table1[[#This Row],[pledged]]/Table1[[#This Row],[backers_count]])</f>
        <v>3</v>
      </c>
      <c r="U1083" t="str">
        <f>LEFT(Table1[[#This Row],[Category and Sub-Category]],FIND("/",Table1[[#This Row],[Category and Sub-Category]])-1)</f>
        <v>games</v>
      </c>
      <c r="V1083" t="str">
        <f>RIGHT(Table1[[#This Row],[Category and Sub-Category]],LEN(Table1[[#This Row],[Category and Sub-Category]])-FIND("/",Table1[[#This Row],[Category and Sub-Category]]))</f>
        <v>video games</v>
      </c>
    </row>
    <row r="1084" spans="1:22" ht="43.2" x14ac:dyDescent="0.3">
      <c r="A1084">
        <v>1082</v>
      </c>
      <c r="B1084" s="3" t="s">
        <v>1083</v>
      </c>
      <c r="C1084" s="3" t="s">
        <v>5192</v>
      </c>
      <c r="D1084" s="12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>((Table1[[#This Row],[deadline]]/60)/60/24)+DATE(1970,1,1)</f>
        <v>41131.906111111115</v>
      </c>
      <c r="K1084">
        <v>1342043088</v>
      </c>
      <c r="L1084" s="11">
        <f>((Table1[[#This Row],[launched_at]]/60)/60/24)+DATE(1970,1,1)</f>
        <v>41101.906111111115</v>
      </c>
      <c r="M1084">
        <f>MONTH(Table1[[#This Row],[Date Created Conversion]])</f>
        <v>7</v>
      </c>
      <c r="N1084">
        <f>YEAR(Table1[[#This Row],[Date Created Conversion]])</f>
        <v>2012</v>
      </c>
      <c r="O1084" t="b">
        <v>0</v>
      </c>
      <c r="P1084">
        <v>3</v>
      </c>
      <c r="Q1084" t="b">
        <v>0</v>
      </c>
      <c r="R1084" t="s">
        <v>8282</v>
      </c>
      <c r="S1084" s="6">
        <f>Table1[[#This Row],[pledged]]/Table1[[#This Row],[goal]]</f>
        <v>5.5999999999999999E-3</v>
      </c>
      <c r="T1084" s="8">
        <f>IF(Table1[[#This Row],[pledged]]=0,"no backers",Table1[[#This Row],[pledged]]/Table1[[#This Row],[backers_count]])</f>
        <v>18.666666666666668</v>
      </c>
      <c r="U1084" t="str">
        <f>LEFT(Table1[[#This Row],[Category and Sub-Category]],FIND("/",Table1[[#This Row],[Category and Sub-Category]])-1)</f>
        <v>games</v>
      </c>
      <c r="V1084" t="str">
        <f>RIGHT(Table1[[#This Row],[Category and Sub-Category]],LEN(Table1[[#This Row],[Category and Sub-Category]])-FIND("/",Table1[[#This Row],[Category and Sub-Category]]))</f>
        <v>video games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 s="12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>((Table1[[#This Row],[deadline]]/60)/60/24)+DATE(1970,1,1)</f>
        <v>41853.659525462965</v>
      </c>
      <c r="K1085">
        <v>1401810583</v>
      </c>
      <c r="L1085" s="11">
        <f>((Table1[[#This Row],[launched_at]]/60)/60/24)+DATE(1970,1,1)</f>
        <v>41793.659525462965</v>
      </c>
      <c r="M1085">
        <f>MONTH(Table1[[#This Row],[Date Created Conversion]])</f>
        <v>6</v>
      </c>
      <c r="N1085">
        <f>YEAR(Table1[[#This Row],[Date Created Conversion]])</f>
        <v>2014</v>
      </c>
      <c r="O1085" t="b">
        <v>0</v>
      </c>
      <c r="P1085">
        <v>1</v>
      </c>
      <c r="Q1085" t="b">
        <v>0</v>
      </c>
      <c r="R1085" t="s">
        <v>8282</v>
      </c>
      <c r="S1085" s="6">
        <f>Table1[[#This Row],[pledged]]/Table1[[#This Row],[goal]]</f>
        <v>8.2000000000000007E-3</v>
      </c>
      <c r="T1085" s="8">
        <f>IF(Table1[[#This Row],[pledged]]=0,"no backers",Table1[[#This Row],[pledged]]/Table1[[#This Row],[backers_count]])</f>
        <v>410</v>
      </c>
      <c r="U1085" t="str">
        <f>LEFT(Table1[[#This Row],[Category and Sub-Category]],FIND("/",Table1[[#This Row],[Category and Sub-Category]])-1)</f>
        <v>games</v>
      </c>
      <c r="V1085" t="str">
        <f>RIGHT(Table1[[#This Row],[Category and Sub-Category]],LEN(Table1[[#This Row],[Category and Sub-Category]])-FIND("/",Table1[[#This Row],[Category and Sub-Category]]))</f>
        <v>video games</v>
      </c>
    </row>
    <row r="1086" spans="1:22" x14ac:dyDescent="0.3">
      <c r="A1086">
        <v>1084</v>
      </c>
      <c r="B1086" s="3" t="s">
        <v>1085</v>
      </c>
      <c r="C1086" s="3" t="s">
        <v>5194</v>
      </c>
      <c r="D1086" s="12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>((Table1[[#This Row],[deadline]]/60)/60/24)+DATE(1970,1,1)</f>
        <v>41859.912083333329</v>
      </c>
      <c r="K1086">
        <v>1404942804</v>
      </c>
      <c r="L1086" s="11">
        <f>((Table1[[#This Row],[launched_at]]/60)/60/24)+DATE(1970,1,1)</f>
        <v>41829.912083333329</v>
      </c>
      <c r="M1086">
        <f>MONTH(Table1[[#This Row],[Date Created Conversion]])</f>
        <v>7</v>
      </c>
      <c r="N1086">
        <f>YEAR(Table1[[#This Row],[Date Created Conversion]])</f>
        <v>2014</v>
      </c>
      <c r="O1086" t="b">
        <v>0</v>
      </c>
      <c r="P1086">
        <v>0</v>
      </c>
      <c r="Q1086" t="b">
        <v>0</v>
      </c>
      <c r="R1086" t="s">
        <v>8282</v>
      </c>
      <c r="S1086" s="6">
        <f>Table1[[#This Row],[pledged]]/Table1[[#This Row],[goal]]</f>
        <v>0</v>
      </c>
      <c r="T1086" s="8" t="str">
        <f>IF(Table1[[#This Row],[pledged]]=0,"no backers",Table1[[#This Row],[pledged]]/Table1[[#This Row],[backers_count]])</f>
        <v>no backers</v>
      </c>
      <c r="U1086" t="str">
        <f>LEFT(Table1[[#This Row],[Category and Sub-Category]],FIND("/",Table1[[#This Row],[Category and Sub-Category]])-1)</f>
        <v>games</v>
      </c>
      <c r="V1086" t="str">
        <f>RIGHT(Table1[[#This Row],[Category and Sub-Category]],LEN(Table1[[#This Row],[Category and Sub-Category]])-FIND("/",Table1[[#This Row],[Category and Sub-Category]]))</f>
        <v>video games</v>
      </c>
    </row>
    <row r="1087" spans="1:22" ht="43.2" x14ac:dyDescent="0.3">
      <c r="A1087">
        <v>1085</v>
      </c>
      <c r="B1087" s="3" t="s">
        <v>1086</v>
      </c>
      <c r="C1087" s="3" t="s">
        <v>5195</v>
      </c>
      <c r="D1087" s="12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>((Table1[[#This Row],[deadline]]/60)/60/24)+DATE(1970,1,1)</f>
        <v>42443.629340277781</v>
      </c>
      <c r="K1087">
        <v>1455379575</v>
      </c>
      <c r="L1087" s="11">
        <f>((Table1[[#This Row],[launched_at]]/60)/60/24)+DATE(1970,1,1)</f>
        <v>42413.671006944445</v>
      </c>
      <c r="M1087">
        <f>MONTH(Table1[[#This Row],[Date Created Conversion]])</f>
        <v>2</v>
      </c>
      <c r="N1087">
        <f>YEAR(Table1[[#This Row],[Date Created Conversion]])</f>
        <v>2016</v>
      </c>
      <c r="O1087" t="b">
        <v>0</v>
      </c>
      <c r="P1087">
        <v>9</v>
      </c>
      <c r="Q1087" t="b">
        <v>0</v>
      </c>
      <c r="R1087" t="s">
        <v>8282</v>
      </c>
      <c r="S1087" s="6">
        <f>Table1[[#This Row],[pledged]]/Table1[[#This Row],[goal]]</f>
        <v>3.4200000000000001E-2</v>
      </c>
      <c r="T1087" s="8">
        <f>IF(Table1[[#This Row],[pledged]]=0,"no backers",Table1[[#This Row],[pledged]]/Table1[[#This Row],[backers_count]])</f>
        <v>114</v>
      </c>
      <c r="U1087" t="str">
        <f>LEFT(Table1[[#This Row],[Category and Sub-Category]],FIND("/",Table1[[#This Row],[Category and Sub-Category]])-1)</f>
        <v>games</v>
      </c>
      <c r="V1087" t="str">
        <f>RIGHT(Table1[[#This Row],[Category and Sub-Category]],LEN(Table1[[#This Row],[Category and Sub-Category]])-FIND("/",Table1[[#This Row],[Category and Sub-Category]]))</f>
        <v>video games</v>
      </c>
    </row>
    <row r="1088" spans="1:22" x14ac:dyDescent="0.3">
      <c r="A1088">
        <v>1086</v>
      </c>
      <c r="B1088" s="3" t="s">
        <v>1087</v>
      </c>
      <c r="C1088" s="3" t="s">
        <v>5196</v>
      </c>
      <c r="D1088" s="12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>((Table1[[#This Row],[deadline]]/60)/60/24)+DATE(1970,1,1)</f>
        <v>41875.866793981484</v>
      </c>
      <c r="K1088">
        <v>1406321291</v>
      </c>
      <c r="L1088" s="11">
        <f>((Table1[[#This Row],[launched_at]]/60)/60/24)+DATE(1970,1,1)</f>
        <v>41845.866793981484</v>
      </c>
      <c r="M1088">
        <f>MONTH(Table1[[#This Row],[Date Created Conversion]])</f>
        <v>7</v>
      </c>
      <c r="N1088">
        <f>YEAR(Table1[[#This Row],[Date Created Conversion]])</f>
        <v>2014</v>
      </c>
      <c r="O1088" t="b">
        <v>0</v>
      </c>
      <c r="P1088">
        <v>2</v>
      </c>
      <c r="Q1088" t="b">
        <v>0</v>
      </c>
      <c r="R1088" t="s">
        <v>8282</v>
      </c>
      <c r="S1088" s="6">
        <f>Table1[[#This Row],[pledged]]/Table1[[#This Row],[goal]]</f>
        <v>8.3333333333333339E-4</v>
      </c>
      <c r="T1088" s="8">
        <f>IF(Table1[[#This Row],[pledged]]=0,"no backers",Table1[[#This Row],[pledged]]/Table1[[#This Row],[backers_count]])</f>
        <v>7.5</v>
      </c>
      <c r="U1088" t="str">
        <f>LEFT(Table1[[#This Row],[Category and Sub-Category]],FIND("/",Table1[[#This Row],[Category and Sub-Category]])-1)</f>
        <v>games</v>
      </c>
      <c r="V1088" t="str">
        <f>RIGHT(Table1[[#This Row],[Category and Sub-Category]],LEN(Table1[[#This Row],[Category and Sub-Category]])-FIND("/",Table1[[#This Row],[Category and Sub-Category]]))</f>
        <v>video games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 s="12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>((Table1[[#This Row],[deadline]]/60)/60/24)+DATE(1970,1,1)</f>
        <v>41805.713969907411</v>
      </c>
      <c r="K1089">
        <v>1400260087</v>
      </c>
      <c r="L1089" s="11">
        <f>((Table1[[#This Row],[launched_at]]/60)/60/24)+DATE(1970,1,1)</f>
        <v>41775.713969907411</v>
      </c>
      <c r="M1089">
        <f>MONTH(Table1[[#This Row],[Date Created Conversion]])</f>
        <v>5</v>
      </c>
      <c r="N1089">
        <f>YEAR(Table1[[#This Row],[Date Created Conversion]])</f>
        <v>2014</v>
      </c>
      <c r="O1089" t="b">
        <v>0</v>
      </c>
      <c r="P1089">
        <v>0</v>
      </c>
      <c r="Q1089" t="b">
        <v>0</v>
      </c>
      <c r="R1089" t="s">
        <v>8282</v>
      </c>
      <c r="S1089" s="6">
        <f>Table1[[#This Row],[pledged]]/Table1[[#This Row],[goal]]</f>
        <v>0</v>
      </c>
      <c r="T1089" s="8" t="str">
        <f>IF(Table1[[#This Row],[pledged]]=0,"no backers",Table1[[#This Row],[pledged]]/Table1[[#This Row],[backers_count]])</f>
        <v>no backers</v>
      </c>
      <c r="U1089" t="str">
        <f>LEFT(Table1[[#This Row],[Category and Sub-Category]],FIND("/",Table1[[#This Row],[Category and Sub-Category]])-1)</f>
        <v>games</v>
      </c>
      <c r="V1089" t="str">
        <f>RIGHT(Table1[[#This Row],[Category and Sub-Category]],LEN(Table1[[#This Row],[Category and Sub-Category]])-FIND("/",Table1[[#This Row],[Category and Sub-Category]]))</f>
        <v>video games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 s="12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>((Table1[[#This Row],[deadline]]/60)/60/24)+DATE(1970,1,1)</f>
        <v>41753.799386574072</v>
      </c>
      <c r="K1090">
        <v>1395774667</v>
      </c>
      <c r="L1090" s="11">
        <f>((Table1[[#This Row],[launched_at]]/60)/60/24)+DATE(1970,1,1)</f>
        <v>41723.799386574072</v>
      </c>
      <c r="M1090">
        <f>MONTH(Table1[[#This Row],[Date Created Conversion]])</f>
        <v>3</v>
      </c>
      <c r="N1090">
        <f>YEAR(Table1[[#This Row],[Date Created Conversion]])</f>
        <v>2014</v>
      </c>
      <c r="O1090" t="b">
        <v>0</v>
      </c>
      <c r="P1090">
        <v>147</v>
      </c>
      <c r="Q1090" t="b">
        <v>0</v>
      </c>
      <c r="R1090" t="s">
        <v>8282</v>
      </c>
      <c r="S1090" s="6">
        <f>Table1[[#This Row],[pledged]]/Table1[[#This Row],[goal]]</f>
        <v>0.14182977777777778</v>
      </c>
      <c r="T1090" s="8">
        <f>IF(Table1[[#This Row],[pledged]]=0,"no backers",Table1[[#This Row],[pledged]]/Table1[[#This Row],[backers_count]])</f>
        <v>43.41727891156463</v>
      </c>
      <c r="U1090" t="str">
        <f>LEFT(Table1[[#This Row],[Category and Sub-Category]],FIND("/",Table1[[#This Row],[Category and Sub-Category]])-1)</f>
        <v>games</v>
      </c>
      <c r="V1090" t="str">
        <f>RIGHT(Table1[[#This Row],[Category and Sub-Category]],LEN(Table1[[#This Row],[Category and Sub-Category]])-FIND("/",Table1[[#This Row],[Category and Sub-Category]]))</f>
        <v>video games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 s="12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>((Table1[[#This Row],[deadline]]/60)/60/24)+DATE(1970,1,1)</f>
        <v>42181.189525462964</v>
      </c>
      <c r="K1091">
        <v>1432701175</v>
      </c>
      <c r="L1091" s="11">
        <f>((Table1[[#This Row],[launched_at]]/60)/60/24)+DATE(1970,1,1)</f>
        <v>42151.189525462964</v>
      </c>
      <c r="M1091">
        <f>MONTH(Table1[[#This Row],[Date Created Conversion]])</f>
        <v>5</v>
      </c>
      <c r="N1091">
        <f>YEAR(Table1[[#This Row],[Date Created Conversion]])</f>
        <v>2015</v>
      </c>
      <c r="O1091" t="b">
        <v>0</v>
      </c>
      <c r="P1091">
        <v>49</v>
      </c>
      <c r="Q1091" t="b">
        <v>0</v>
      </c>
      <c r="R1091" t="s">
        <v>8282</v>
      </c>
      <c r="S1091" s="6">
        <f>Table1[[#This Row],[pledged]]/Table1[[#This Row],[goal]]</f>
        <v>7.8266666666666665E-2</v>
      </c>
      <c r="T1091" s="8">
        <f>IF(Table1[[#This Row],[pledged]]=0,"no backers",Table1[[#This Row],[pledged]]/Table1[[#This Row],[backers_count]])</f>
        <v>23.959183673469386</v>
      </c>
      <c r="U1091" t="str">
        <f>LEFT(Table1[[#This Row],[Category and Sub-Category]],FIND("/",Table1[[#This Row],[Category and Sub-Category]])-1)</f>
        <v>games</v>
      </c>
      <c r="V1091" t="str">
        <f>RIGHT(Table1[[#This Row],[Category and Sub-Category]],LEN(Table1[[#This Row],[Category and Sub-Category]])-FIND("/",Table1[[#This Row],[Category and Sub-Category]]))</f>
        <v>video games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 s="1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>((Table1[[#This Row],[deadline]]/60)/60/24)+DATE(1970,1,1)</f>
        <v>42153.185798611114</v>
      </c>
      <c r="K1092">
        <v>1430281653</v>
      </c>
      <c r="L1092" s="11">
        <f>((Table1[[#This Row],[launched_at]]/60)/60/24)+DATE(1970,1,1)</f>
        <v>42123.185798611114</v>
      </c>
      <c r="M1092">
        <f>MONTH(Table1[[#This Row],[Date Created Conversion]])</f>
        <v>4</v>
      </c>
      <c r="N1092">
        <f>YEAR(Table1[[#This Row],[Date Created Conversion]])</f>
        <v>2015</v>
      </c>
      <c r="O1092" t="b">
        <v>0</v>
      </c>
      <c r="P1092">
        <v>1</v>
      </c>
      <c r="Q1092" t="b">
        <v>0</v>
      </c>
      <c r="R1092" t="s">
        <v>8282</v>
      </c>
      <c r="S1092" s="6">
        <f>Table1[[#This Row],[pledged]]/Table1[[#This Row],[goal]]</f>
        <v>3.8464497269020693E-4</v>
      </c>
      <c r="T1092" s="8">
        <f>IF(Table1[[#This Row],[pledged]]=0,"no backers",Table1[[#This Row],[pledged]]/Table1[[#This Row],[backers_count]])</f>
        <v>5</v>
      </c>
      <c r="U1092" t="str">
        <f>LEFT(Table1[[#This Row],[Category and Sub-Category]],FIND("/",Table1[[#This Row],[Category and Sub-Category]])-1)</f>
        <v>games</v>
      </c>
      <c r="V1092" t="str">
        <f>RIGHT(Table1[[#This Row],[Category and Sub-Category]],LEN(Table1[[#This Row],[Category and Sub-Category]])-FIND("/",Table1[[#This Row],[Category and Sub-Category]]))</f>
        <v>video games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 s="12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>((Table1[[#This Row],[deadline]]/60)/60/24)+DATE(1970,1,1)</f>
        <v>42470.778611111105</v>
      </c>
      <c r="K1093">
        <v>1457725272</v>
      </c>
      <c r="L1093" s="11">
        <f>((Table1[[#This Row],[launched_at]]/60)/60/24)+DATE(1970,1,1)</f>
        <v>42440.820277777777</v>
      </c>
      <c r="M1093">
        <f>MONTH(Table1[[#This Row],[Date Created Conversion]])</f>
        <v>3</v>
      </c>
      <c r="N1093">
        <f>YEAR(Table1[[#This Row],[Date Created Conversion]])</f>
        <v>2016</v>
      </c>
      <c r="O1093" t="b">
        <v>0</v>
      </c>
      <c r="P1093">
        <v>2</v>
      </c>
      <c r="Q1093" t="b">
        <v>0</v>
      </c>
      <c r="R1093" t="s">
        <v>8282</v>
      </c>
      <c r="S1093" s="6">
        <f>Table1[[#This Row],[pledged]]/Table1[[#This Row],[goal]]</f>
        <v>0.125</v>
      </c>
      <c r="T1093" s="8">
        <f>IF(Table1[[#This Row],[pledged]]=0,"no backers",Table1[[#This Row],[pledged]]/Table1[[#This Row],[backers_count]])</f>
        <v>12.5</v>
      </c>
      <c r="U1093" t="str">
        <f>LEFT(Table1[[#This Row],[Category and Sub-Category]],FIND("/",Table1[[#This Row],[Category and Sub-Category]])-1)</f>
        <v>games</v>
      </c>
      <c r="V1093" t="str">
        <f>RIGHT(Table1[[#This Row],[Category and Sub-Category]],LEN(Table1[[#This Row],[Category and Sub-Category]])-FIND("/",Table1[[#This Row],[Category and Sub-Category]]))</f>
        <v>video games</v>
      </c>
    </row>
    <row r="1094" spans="1:22" ht="57.6" x14ac:dyDescent="0.3">
      <c r="A1094">
        <v>1092</v>
      </c>
      <c r="B1094" s="3" t="s">
        <v>1093</v>
      </c>
      <c r="C1094" s="3" t="s">
        <v>5202</v>
      </c>
      <c r="D1094" s="12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>((Table1[[#This Row],[deadline]]/60)/60/24)+DATE(1970,1,1)</f>
        <v>41280.025902777779</v>
      </c>
      <c r="K1094">
        <v>1354840638</v>
      </c>
      <c r="L1094" s="11">
        <f>((Table1[[#This Row],[launched_at]]/60)/60/24)+DATE(1970,1,1)</f>
        <v>41250.025902777779</v>
      </c>
      <c r="M1094">
        <f>MONTH(Table1[[#This Row],[Date Created Conversion]])</f>
        <v>12</v>
      </c>
      <c r="N1094">
        <f>YEAR(Table1[[#This Row],[Date Created Conversion]])</f>
        <v>2012</v>
      </c>
      <c r="O1094" t="b">
        <v>0</v>
      </c>
      <c r="P1094">
        <v>7</v>
      </c>
      <c r="Q1094" t="b">
        <v>0</v>
      </c>
      <c r="R1094" t="s">
        <v>8282</v>
      </c>
      <c r="S1094" s="6">
        <f>Table1[[#This Row],[pledged]]/Table1[[#This Row],[goal]]</f>
        <v>1.0500000000000001E-2</v>
      </c>
      <c r="T1094" s="8">
        <f>IF(Table1[[#This Row],[pledged]]=0,"no backers",Table1[[#This Row],[pledged]]/Table1[[#This Row],[backers_count]])</f>
        <v>3</v>
      </c>
      <c r="U1094" t="str">
        <f>LEFT(Table1[[#This Row],[Category and Sub-Category]],FIND("/",Table1[[#This Row],[Category and Sub-Category]])-1)</f>
        <v>games</v>
      </c>
      <c r="V1094" t="str">
        <f>RIGHT(Table1[[#This Row],[Category and Sub-Category]],LEN(Table1[[#This Row],[Category and Sub-Category]])-FIND("/",Table1[[#This Row],[Category and Sub-Category]]))</f>
        <v>video games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 s="12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>((Table1[[#This Row],[deadline]]/60)/60/24)+DATE(1970,1,1)</f>
        <v>42411.973807870367</v>
      </c>
      <c r="K1095">
        <v>1453936937</v>
      </c>
      <c r="L1095" s="11">
        <f>((Table1[[#This Row],[launched_at]]/60)/60/24)+DATE(1970,1,1)</f>
        <v>42396.973807870367</v>
      </c>
      <c r="M1095">
        <f>MONTH(Table1[[#This Row],[Date Created Conversion]])</f>
        <v>1</v>
      </c>
      <c r="N1095">
        <f>YEAR(Table1[[#This Row],[Date Created Conversion]])</f>
        <v>2016</v>
      </c>
      <c r="O1095" t="b">
        <v>0</v>
      </c>
      <c r="P1095">
        <v>4</v>
      </c>
      <c r="Q1095" t="b">
        <v>0</v>
      </c>
      <c r="R1095" t="s">
        <v>8282</v>
      </c>
      <c r="S1095" s="6">
        <f>Table1[[#This Row],[pledged]]/Table1[[#This Row],[goal]]</f>
        <v>0.14083333333333334</v>
      </c>
      <c r="T1095" s="8">
        <f>IF(Table1[[#This Row],[pledged]]=0,"no backers",Table1[[#This Row],[pledged]]/Table1[[#This Row],[backers_count]])</f>
        <v>10.5625</v>
      </c>
      <c r="U1095" t="str">
        <f>LEFT(Table1[[#This Row],[Category and Sub-Category]],FIND("/",Table1[[#This Row],[Category and Sub-Category]])-1)</f>
        <v>games</v>
      </c>
      <c r="V1095" t="str">
        <f>RIGHT(Table1[[#This Row],[Category and Sub-Category]],LEN(Table1[[#This Row],[Category and Sub-Category]])-FIND("/",Table1[[#This Row],[Category and Sub-Category]]))</f>
        <v>video games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 s="12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>((Table1[[#This Row],[deadline]]/60)/60/24)+DATE(1970,1,1)</f>
        <v>40825.713344907403</v>
      </c>
      <c r="K1096">
        <v>1315588033</v>
      </c>
      <c r="L1096" s="11">
        <f>((Table1[[#This Row],[launched_at]]/60)/60/24)+DATE(1970,1,1)</f>
        <v>40795.713344907403</v>
      </c>
      <c r="M1096">
        <f>MONTH(Table1[[#This Row],[Date Created Conversion]])</f>
        <v>9</v>
      </c>
      <c r="N1096">
        <f>YEAR(Table1[[#This Row],[Date Created Conversion]])</f>
        <v>2011</v>
      </c>
      <c r="O1096" t="b">
        <v>0</v>
      </c>
      <c r="P1096">
        <v>27</v>
      </c>
      <c r="Q1096" t="b">
        <v>0</v>
      </c>
      <c r="R1096" t="s">
        <v>8282</v>
      </c>
      <c r="S1096" s="6">
        <f>Table1[[#This Row],[pledged]]/Table1[[#This Row],[goal]]</f>
        <v>0.18300055555555556</v>
      </c>
      <c r="T1096" s="8">
        <f>IF(Table1[[#This Row],[pledged]]=0,"no backers",Table1[[#This Row],[pledged]]/Table1[[#This Row],[backers_count]])</f>
        <v>122.00037037037038</v>
      </c>
      <c r="U1096" t="str">
        <f>LEFT(Table1[[#This Row],[Category and Sub-Category]],FIND("/",Table1[[#This Row],[Category and Sub-Category]])-1)</f>
        <v>games</v>
      </c>
      <c r="V1096" t="str">
        <f>RIGHT(Table1[[#This Row],[Category and Sub-Category]],LEN(Table1[[#This Row],[Category and Sub-Category]])-FIND("/",Table1[[#This Row],[Category and Sub-Category]]))</f>
        <v>video games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 s="12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>((Table1[[#This Row],[deadline]]/60)/60/24)+DATE(1970,1,1)</f>
        <v>41516.537268518521</v>
      </c>
      <c r="K1097">
        <v>1375275220</v>
      </c>
      <c r="L1097" s="11">
        <f>((Table1[[#This Row],[launched_at]]/60)/60/24)+DATE(1970,1,1)</f>
        <v>41486.537268518521</v>
      </c>
      <c r="M1097">
        <f>MONTH(Table1[[#This Row],[Date Created Conversion]])</f>
        <v>7</v>
      </c>
      <c r="N1097">
        <f>YEAR(Table1[[#This Row],[Date Created Conversion]])</f>
        <v>2013</v>
      </c>
      <c r="O1097" t="b">
        <v>0</v>
      </c>
      <c r="P1097">
        <v>94</v>
      </c>
      <c r="Q1097" t="b">
        <v>0</v>
      </c>
      <c r="R1097" t="s">
        <v>8282</v>
      </c>
      <c r="S1097" s="6">
        <f>Table1[[#This Row],[pledged]]/Table1[[#This Row],[goal]]</f>
        <v>5.0347999999999997E-2</v>
      </c>
      <c r="T1097" s="8">
        <f>IF(Table1[[#This Row],[pledged]]=0,"no backers",Table1[[#This Row],[pledged]]/Table1[[#This Row],[backers_count]])</f>
        <v>267.80851063829789</v>
      </c>
      <c r="U1097" t="str">
        <f>LEFT(Table1[[#This Row],[Category and Sub-Category]],FIND("/",Table1[[#This Row],[Category and Sub-Category]])-1)</f>
        <v>games</v>
      </c>
      <c r="V1097" t="str">
        <f>RIGHT(Table1[[#This Row],[Category and Sub-Category]],LEN(Table1[[#This Row],[Category and Sub-Category]])-FIND("/",Table1[[#This Row],[Category and Sub-Category]]))</f>
        <v>video games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 s="12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>((Table1[[#This Row],[deadline]]/60)/60/24)+DATE(1970,1,1)</f>
        <v>41916.145833333336</v>
      </c>
      <c r="K1098">
        <v>1409747154</v>
      </c>
      <c r="L1098" s="11">
        <f>((Table1[[#This Row],[launched_at]]/60)/60/24)+DATE(1970,1,1)</f>
        <v>41885.51798611111</v>
      </c>
      <c r="M1098">
        <f>MONTH(Table1[[#This Row],[Date Created Conversion]])</f>
        <v>9</v>
      </c>
      <c r="N1098">
        <f>YEAR(Table1[[#This Row],[Date Created Conversion]])</f>
        <v>2014</v>
      </c>
      <c r="O1098" t="b">
        <v>0</v>
      </c>
      <c r="P1098">
        <v>29</v>
      </c>
      <c r="Q1098" t="b">
        <v>0</v>
      </c>
      <c r="R1098" t="s">
        <v>8282</v>
      </c>
      <c r="S1098" s="6">
        <f>Table1[[#This Row],[pledged]]/Table1[[#This Row],[goal]]</f>
        <v>0.17933333333333334</v>
      </c>
      <c r="T1098" s="8">
        <f>IF(Table1[[#This Row],[pledged]]=0,"no backers",Table1[[#This Row],[pledged]]/Table1[[#This Row],[backers_count]])</f>
        <v>74.206896551724142</v>
      </c>
      <c r="U1098" t="str">
        <f>LEFT(Table1[[#This Row],[Category and Sub-Category]],FIND("/",Table1[[#This Row],[Category and Sub-Category]])-1)</f>
        <v>games</v>
      </c>
      <c r="V1098" t="str">
        <f>RIGHT(Table1[[#This Row],[Category and Sub-Category]],LEN(Table1[[#This Row],[Category and Sub-Category]])-FIND("/",Table1[[#This Row],[Category and Sub-Category]]))</f>
        <v>video games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 s="12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>((Table1[[#This Row],[deadline]]/60)/60/24)+DATE(1970,1,1)</f>
        <v>41700.792557870373</v>
      </c>
      <c r="K1099">
        <v>1390330877</v>
      </c>
      <c r="L1099" s="11">
        <f>((Table1[[#This Row],[launched_at]]/60)/60/24)+DATE(1970,1,1)</f>
        <v>41660.792557870373</v>
      </c>
      <c r="M1099">
        <f>MONTH(Table1[[#This Row],[Date Created Conversion]])</f>
        <v>1</v>
      </c>
      <c r="N1099">
        <f>YEAR(Table1[[#This Row],[Date Created Conversion]])</f>
        <v>2014</v>
      </c>
      <c r="O1099" t="b">
        <v>0</v>
      </c>
      <c r="P1099">
        <v>7</v>
      </c>
      <c r="Q1099" t="b">
        <v>0</v>
      </c>
      <c r="R1099" t="s">
        <v>8282</v>
      </c>
      <c r="S1099" s="6">
        <f>Table1[[#This Row],[pledged]]/Table1[[#This Row],[goal]]</f>
        <v>4.6999999999999999E-4</v>
      </c>
      <c r="T1099" s="8">
        <f>IF(Table1[[#This Row],[pledged]]=0,"no backers",Table1[[#This Row],[pledged]]/Table1[[#This Row],[backers_count]])</f>
        <v>6.7142857142857144</v>
      </c>
      <c r="U1099" t="str">
        <f>LEFT(Table1[[#This Row],[Category and Sub-Category]],FIND("/",Table1[[#This Row],[Category and Sub-Category]])-1)</f>
        <v>games</v>
      </c>
      <c r="V1099" t="str">
        <f>RIGHT(Table1[[#This Row],[Category and Sub-Category]],LEN(Table1[[#This Row],[Category and Sub-Category]])-FIND("/",Table1[[#This Row],[Category and Sub-Category]]))</f>
        <v>video games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 s="12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>((Table1[[#This Row],[deadline]]/60)/60/24)+DATE(1970,1,1)</f>
        <v>41742.762673611112</v>
      </c>
      <c r="K1100">
        <v>1394821095</v>
      </c>
      <c r="L1100" s="11">
        <f>((Table1[[#This Row],[launched_at]]/60)/60/24)+DATE(1970,1,1)</f>
        <v>41712.762673611112</v>
      </c>
      <c r="M1100">
        <f>MONTH(Table1[[#This Row],[Date Created Conversion]])</f>
        <v>3</v>
      </c>
      <c r="N1100">
        <f>YEAR(Table1[[#This Row],[Date Created Conversion]])</f>
        <v>2014</v>
      </c>
      <c r="O1100" t="b">
        <v>0</v>
      </c>
      <c r="P1100">
        <v>22</v>
      </c>
      <c r="Q1100" t="b">
        <v>0</v>
      </c>
      <c r="R1100" t="s">
        <v>8282</v>
      </c>
      <c r="S1100" s="6">
        <f>Table1[[#This Row],[pledged]]/Table1[[#This Row],[goal]]</f>
        <v>7.2120000000000004E-2</v>
      </c>
      <c r="T1100" s="8">
        <f>IF(Table1[[#This Row],[pledged]]=0,"no backers",Table1[[#This Row],[pledged]]/Table1[[#This Row],[backers_count]])</f>
        <v>81.954545454545453</v>
      </c>
      <c r="U1100" t="str">
        <f>LEFT(Table1[[#This Row],[Category and Sub-Category]],FIND("/",Table1[[#This Row],[Category and Sub-Category]])-1)</f>
        <v>games</v>
      </c>
      <c r="V1100" t="str">
        <f>RIGHT(Table1[[#This Row],[Category and Sub-Category]],LEN(Table1[[#This Row],[Category and Sub-Category]])-FIND("/",Table1[[#This Row],[Category and Sub-Category]]))</f>
        <v>video games</v>
      </c>
    </row>
    <row r="1101" spans="1:22" ht="57.6" x14ac:dyDescent="0.3">
      <c r="A1101">
        <v>1099</v>
      </c>
      <c r="B1101" s="3" t="s">
        <v>1100</v>
      </c>
      <c r="C1101" s="3" t="s">
        <v>5209</v>
      </c>
      <c r="D1101" s="12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>((Table1[[#This Row],[deadline]]/60)/60/24)+DATE(1970,1,1)</f>
        <v>42137.836435185185</v>
      </c>
      <c r="K1101">
        <v>1428955468</v>
      </c>
      <c r="L1101" s="11">
        <f>((Table1[[#This Row],[launched_at]]/60)/60/24)+DATE(1970,1,1)</f>
        <v>42107.836435185185</v>
      </c>
      <c r="M1101">
        <f>MONTH(Table1[[#This Row],[Date Created Conversion]])</f>
        <v>4</v>
      </c>
      <c r="N1101">
        <f>YEAR(Table1[[#This Row],[Date Created Conversion]])</f>
        <v>2015</v>
      </c>
      <c r="O1101" t="b">
        <v>0</v>
      </c>
      <c r="P1101">
        <v>1</v>
      </c>
      <c r="Q1101" t="b">
        <v>0</v>
      </c>
      <c r="R1101" t="s">
        <v>8282</v>
      </c>
      <c r="S1101" s="6">
        <f>Table1[[#This Row],[pledged]]/Table1[[#This Row],[goal]]</f>
        <v>5.0000000000000001E-3</v>
      </c>
      <c r="T1101" s="8">
        <f>IF(Table1[[#This Row],[pledged]]=0,"no backers",Table1[[#This Row],[pledged]]/Table1[[#This Row],[backers_count]])</f>
        <v>25</v>
      </c>
      <c r="U1101" t="str">
        <f>LEFT(Table1[[#This Row],[Category and Sub-Category]],FIND("/",Table1[[#This Row],[Category and Sub-Category]])-1)</f>
        <v>games</v>
      </c>
      <c r="V1101" t="str">
        <f>RIGHT(Table1[[#This Row],[Category and Sub-Category]],LEN(Table1[[#This Row],[Category and Sub-Category]])-FIND("/",Table1[[#This Row],[Category and Sub-Category]]))</f>
        <v>video games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 s="1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>((Table1[[#This Row],[deadline]]/60)/60/24)+DATE(1970,1,1)</f>
        <v>42414.110775462963</v>
      </c>
      <c r="K1102">
        <v>1452825571</v>
      </c>
      <c r="L1102" s="11">
        <f>((Table1[[#This Row],[launched_at]]/60)/60/24)+DATE(1970,1,1)</f>
        <v>42384.110775462963</v>
      </c>
      <c r="M1102">
        <f>MONTH(Table1[[#This Row],[Date Created Conversion]])</f>
        <v>1</v>
      </c>
      <c r="N1102">
        <f>YEAR(Table1[[#This Row],[Date Created Conversion]])</f>
        <v>2016</v>
      </c>
      <c r="O1102" t="b">
        <v>0</v>
      </c>
      <c r="P1102">
        <v>10</v>
      </c>
      <c r="Q1102" t="b">
        <v>0</v>
      </c>
      <c r="R1102" t="s">
        <v>8282</v>
      </c>
      <c r="S1102" s="6">
        <f>Table1[[#This Row],[pledged]]/Table1[[#This Row],[goal]]</f>
        <v>2.5000000000000001E-2</v>
      </c>
      <c r="T1102" s="8">
        <f>IF(Table1[[#This Row],[pledged]]=0,"no backers",Table1[[#This Row],[pledged]]/Table1[[#This Row],[backers_count]])</f>
        <v>10</v>
      </c>
      <c r="U1102" t="str">
        <f>LEFT(Table1[[#This Row],[Category and Sub-Category]],FIND("/",Table1[[#This Row],[Category and Sub-Category]])-1)</f>
        <v>games</v>
      </c>
      <c r="V1102" t="str">
        <f>RIGHT(Table1[[#This Row],[Category and Sub-Category]],LEN(Table1[[#This Row],[Category and Sub-Category]])-FIND("/",Table1[[#This Row],[Category and Sub-Category]]))</f>
        <v>video games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 s="12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>((Table1[[#This Row],[deadline]]/60)/60/24)+DATE(1970,1,1)</f>
        <v>42565.758333333331</v>
      </c>
      <c r="K1103">
        <v>1466188338</v>
      </c>
      <c r="L1103" s="11">
        <f>((Table1[[#This Row],[launched_at]]/60)/60/24)+DATE(1970,1,1)</f>
        <v>42538.77243055556</v>
      </c>
      <c r="M1103">
        <f>MONTH(Table1[[#This Row],[Date Created Conversion]])</f>
        <v>6</v>
      </c>
      <c r="N1103">
        <f>YEAR(Table1[[#This Row],[Date Created Conversion]])</f>
        <v>2016</v>
      </c>
      <c r="O1103" t="b">
        <v>0</v>
      </c>
      <c r="P1103">
        <v>6</v>
      </c>
      <c r="Q1103" t="b">
        <v>0</v>
      </c>
      <c r="R1103" t="s">
        <v>8282</v>
      </c>
      <c r="S1103" s="6">
        <f>Table1[[#This Row],[pledged]]/Table1[[#This Row],[goal]]</f>
        <v>4.0999999999999999E-4</v>
      </c>
      <c r="T1103" s="8">
        <f>IF(Table1[[#This Row],[pledged]]=0,"no backers",Table1[[#This Row],[pledged]]/Table1[[#This Row],[backers_count]])</f>
        <v>6.833333333333333</v>
      </c>
      <c r="U1103" t="str">
        <f>LEFT(Table1[[#This Row],[Category and Sub-Category]],FIND("/",Table1[[#This Row],[Category and Sub-Category]])-1)</f>
        <v>games</v>
      </c>
      <c r="V1103" t="str">
        <f>RIGHT(Table1[[#This Row],[Category and Sub-Category]],LEN(Table1[[#This Row],[Category and Sub-Category]])-FIND("/",Table1[[#This Row],[Category and Sub-Category]]))</f>
        <v>video games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 s="12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>((Table1[[#This Row],[deadline]]/60)/60/24)+DATE(1970,1,1)</f>
        <v>41617.249305555553</v>
      </c>
      <c r="K1104">
        <v>1383095125</v>
      </c>
      <c r="L1104" s="11">
        <f>((Table1[[#This Row],[launched_at]]/60)/60/24)+DATE(1970,1,1)</f>
        <v>41577.045428240745</v>
      </c>
      <c r="M1104">
        <f>MONTH(Table1[[#This Row],[Date Created Conversion]])</f>
        <v>10</v>
      </c>
      <c r="N1104">
        <f>YEAR(Table1[[#This Row],[Date Created Conversion]])</f>
        <v>2013</v>
      </c>
      <c r="O1104" t="b">
        <v>0</v>
      </c>
      <c r="P1104">
        <v>24</v>
      </c>
      <c r="Q1104" t="b">
        <v>0</v>
      </c>
      <c r="R1104" t="s">
        <v>8282</v>
      </c>
      <c r="S1104" s="6">
        <f>Table1[[#This Row],[pledged]]/Table1[[#This Row],[goal]]</f>
        <v>5.3124999999999999E-2</v>
      </c>
      <c r="T1104" s="8">
        <f>IF(Table1[[#This Row],[pledged]]=0,"no backers",Table1[[#This Row],[pledged]]/Table1[[#This Row],[backers_count]])</f>
        <v>17.708333333333332</v>
      </c>
      <c r="U1104" t="str">
        <f>LEFT(Table1[[#This Row],[Category and Sub-Category]],FIND("/",Table1[[#This Row],[Category and Sub-Category]])-1)</f>
        <v>games</v>
      </c>
      <c r="V1104" t="str">
        <f>RIGHT(Table1[[#This Row],[Category and Sub-Category]],LEN(Table1[[#This Row],[Category and Sub-Category]])-FIND("/",Table1[[#This Row],[Category and Sub-Category]]))</f>
        <v>video games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 s="12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>((Table1[[#This Row],[deadline]]/60)/60/24)+DATE(1970,1,1)</f>
        <v>42539.22210648148</v>
      </c>
      <c r="K1105">
        <v>1461043190</v>
      </c>
      <c r="L1105" s="11">
        <f>((Table1[[#This Row],[launched_at]]/60)/60/24)+DATE(1970,1,1)</f>
        <v>42479.22210648148</v>
      </c>
      <c r="M1105">
        <f>MONTH(Table1[[#This Row],[Date Created Conversion]])</f>
        <v>4</v>
      </c>
      <c r="N1105">
        <f>YEAR(Table1[[#This Row],[Date Created Conversion]])</f>
        <v>2016</v>
      </c>
      <c r="O1105" t="b">
        <v>0</v>
      </c>
      <c r="P1105">
        <v>15</v>
      </c>
      <c r="Q1105" t="b">
        <v>0</v>
      </c>
      <c r="R1105" t="s">
        <v>8282</v>
      </c>
      <c r="S1105" s="6">
        <f>Table1[[#This Row],[pledged]]/Table1[[#This Row],[goal]]</f>
        <v>1.6199999999999999E-2</v>
      </c>
      <c r="T1105" s="8">
        <f>IF(Table1[[#This Row],[pledged]]=0,"no backers",Table1[[#This Row],[pledged]]/Table1[[#This Row],[backers_count]])</f>
        <v>16.2</v>
      </c>
      <c r="U1105" t="str">
        <f>LEFT(Table1[[#This Row],[Category and Sub-Category]],FIND("/",Table1[[#This Row],[Category and Sub-Category]])-1)</f>
        <v>games</v>
      </c>
      <c r="V1105" t="str">
        <f>RIGHT(Table1[[#This Row],[Category and Sub-Category]],LEN(Table1[[#This Row],[Category and Sub-Category]])-FIND("/",Table1[[#This Row],[Category and Sub-Category]]))</f>
        <v>video games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 s="12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>((Table1[[#This Row],[deadline]]/60)/60/24)+DATE(1970,1,1)</f>
        <v>41801.40996527778</v>
      </c>
      <c r="K1106">
        <v>1399888221</v>
      </c>
      <c r="L1106" s="11">
        <f>((Table1[[#This Row],[launched_at]]/60)/60/24)+DATE(1970,1,1)</f>
        <v>41771.40996527778</v>
      </c>
      <c r="M1106">
        <f>MONTH(Table1[[#This Row],[Date Created Conversion]])</f>
        <v>5</v>
      </c>
      <c r="N1106">
        <f>YEAR(Table1[[#This Row],[Date Created Conversion]])</f>
        <v>2014</v>
      </c>
      <c r="O1106" t="b">
        <v>0</v>
      </c>
      <c r="P1106">
        <v>37</v>
      </c>
      <c r="Q1106" t="b">
        <v>0</v>
      </c>
      <c r="R1106" t="s">
        <v>8282</v>
      </c>
      <c r="S1106" s="6">
        <f>Table1[[#This Row],[pledged]]/Table1[[#This Row],[goal]]</f>
        <v>4.9516666666666667E-2</v>
      </c>
      <c r="T1106" s="8">
        <f>IF(Table1[[#This Row],[pledged]]=0,"no backers",Table1[[#This Row],[pledged]]/Table1[[#This Row],[backers_count]])</f>
        <v>80.297297297297291</v>
      </c>
      <c r="U1106" t="str">
        <f>LEFT(Table1[[#This Row],[Category and Sub-Category]],FIND("/",Table1[[#This Row],[Category and Sub-Category]])-1)</f>
        <v>games</v>
      </c>
      <c r="V1106" t="str">
        <f>RIGHT(Table1[[#This Row],[Category and Sub-Category]],LEN(Table1[[#This Row],[Category and Sub-Category]])-FIND("/",Table1[[#This Row],[Category and Sub-Category]]))</f>
        <v>video games</v>
      </c>
    </row>
    <row r="1107" spans="1:22" ht="57.6" x14ac:dyDescent="0.3">
      <c r="A1107">
        <v>1105</v>
      </c>
      <c r="B1107" s="3" t="s">
        <v>1106</v>
      </c>
      <c r="C1107" s="3" t="s">
        <v>5215</v>
      </c>
      <c r="D1107" s="12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>((Table1[[#This Row],[deadline]]/60)/60/24)+DATE(1970,1,1)</f>
        <v>41722.0940625</v>
      </c>
      <c r="K1107">
        <v>1393038927</v>
      </c>
      <c r="L1107" s="11">
        <f>((Table1[[#This Row],[launched_at]]/60)/60/24)+DATE(1970,1,1)</f>
        <v>41692.135729166665</v>
      </c>
      <c r="M1107">
        <f>MONTH(Table1[[#This Row],[Date Created Conversion]])</f>
        <v>2</v>
      </c>
      <c r="N1107">
        <f>YEAR(Table1[[#This Row],[Date Created Conversion]])</f>
        <v>2014</v>
      </c>
      <c r="O1107" t="b">
        <v>0</v>
      </c>
      <c r="P1107">
        <v>20</v>
      </c>
      <c r="Q1107" t="b">
        <v>0</v>
      </c>
      <c r="R1107" t="s">
        <v>8282</v>
      </c>
      <c r="S1107" s="6">
        <f>Table1[[#This Row],[pledged]]/Table1[[#This Row],[goal]]</f>
        <v>1.5900000000000001E-3</v>
      </c>
      <c r="T1107" s="8">
        <f>IF(Table1[[#This Row],[pledged]]=0,"no backers",Table1[[#This Row],[pledged]]/Table1[[#This Row],[backers_count]])</f>
        <v>71.55</v>
      </c>
      <c r="U1107" t="str">
        <f>LEFT(Table1[[#This Row],[Category and Sub-Category]],FIND("/",Table1[[#This Row],[Category and Sub-Category]])-1)</f>
        <v>games</v>
      </c>
      <c r="V1107" t="str">
        <f>RIGHT(Table1[[#This Row],[Category and Sub-Category]],LEN(Table1[[#This Row],[Category and Sub-Category]])-FIND("/",Table1[[#This Row],[Category and Sub-Category]]))</f>
        <v>video games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 s="12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>((Table1[[#This Row],[deadline]]/60)/60/24)+DATE(1970,1,1)</f>
        <v>41003.698784722219</v>
      </c>
      <c r="K1108">
        <v>1330969575</v>
      </c>
      <c r="L1108" s="11">
        <f>((Table1[[#This Row],[launched_at]]/60)/60/24)+DATE(1970,1,1)</f>
        <v>40973.740451388891</v>
      </c>
      <c r="M1108">
        <f>MONTH(Table1[[#This Row],[Date Created Conversion]])</f>
        <v>3</v>
      </c>
      <c r="N1108">
        <f>YEAR(Table1[[#This Row],[Date Created Conversion]])</f>
        <v>2012</v>
      </c>
      <c r="O1108" t="b">
        <v>0</v>
      </c>
      <c r="P1108">
        <v>7</v>
      </c>
      <c r="Q1108" t="b">
        <v>0</v>
      </c>
      <c r="R1108" t="s">
        <v>8282</v>
      </c>
      <c r="S1108" s="6">
        <f>Table1[[#This Row],[pledged]]/Table1[[#This Row],[goal]]</f>
        <v>0.41249999999999998</v>
      </c>
      <c r="T1108" s="8">
        <f>IF(Table1[[#This Row],[pledged]]=0,"no backers",Table1[[#This Row],[pledged]]/Table1[[#This Row],[backers_count]])</f>
        <v>23.571428571428573</v>
      </c>
      <c r="U1108" t="str">
        <f>LEFT(Table1[[#This Row],[Category and Sub-Category]],FIND("/",Table1[[#This Row],[Category and Sub-Category]])-1)</f>
        <v>games</v>
      </c>
      <c r="V1108" t="str">
        <f>RIGHT(Table1[[#This Row],[Category and Sub-Category]],LEN(Table1[[#This Row],[Category and Sub-Category]])-FIND("/",Table1[[#This Row],[Category and Sub-Category]]))</f>
        <v>video games</v>
      </c>
    </row>
    <row r="1109" spans="1:22" ht="57.6" x14ac:dyDescent="0.3">
      <c r="A1109">
        <v>1107</v>
      </c>
      <c r="B1109" s="3" t="s">
        <v>1108</v>
      </c>
      <c r="C1109" s="3" t="s">
        <v>5217</v>
      </c>
      <c r="D1109" s="12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>((Table1[[#This Row],[deadline]]/60)/60/24)+DATE(1970,1,1)</f>
        <v>41843.861388888887</v>
      </c>
      <c r="K1109">
        <v>1403556024</v>
      </c>
      <c r="L1109" s="11">
        <f>((Table1[[#This Row],[launched_at]]/60)/60/24)+DATE(1970,1,1)</f>
        <v>41813.861388888887</v>
      </c>
      <c r="M1109">
        <f>MONTH(Table1[[#This Row],[Date Created Conversion]])</f>
        <v>6</v>
      </c>
      <c r="N1109">
        <f>YEAR(Table1[[#This Row],[Date Created Conversion]])</f>
        <v>2014</v>
      </c>
      <c r="O1109" t="b">
        <v>0</v>
      </c>
      <c r="P1109">
        <v>0</v>
      </c>
      <c r="Q1109" t="b">
        <v>0</v>
      </c>
      <c r="R1109" t="s">
        <v>8282</v>
      </c>
      <c r="S1109" s="6">
        <f>Table1[[#This Row],[pledged]]/Table1[[#This Row],[goal]]</f>
        <v>0</v>
      </c>
      <c r="T1109" s="8" t="str">
        <f>IF(Table1[[#This Row],[pledged]]=0,"no backers",Table1[[#This Row],[pledged]]/Table1[[#This Row],[backers_count]])</f>
        <v>no backers</v>
      </c>
      <c r="U1109" t="str">
        <f>LEFT(Table1[[#This Row],[Category and Sub-Category]],FIND("/",Table1[[#This Row],[Category and Sub-Category]])-1)</f>
        <v>games</v>
      </c>
      <c r="V1109" t="str">
        <f>RIGHT(Table1[[#This Row],[Category and Sub-Category]],LEN(Table1[[#This Row],[Category and Sub-Category]])-FIND("/",Table1[[#This Row],[Category and Sub-Category]]))</f>
        <v>video games</v>
      </c>
    </row>
    <row r="1110" spans="1:22" ht="57.6" x14ac:dyDescent="0.3">
      <c r="A1110">
        <v>1108</v>
      </c>
      <c r="B1110" s="3" t="s">
        <v>1109</v>
      </c>
      <c r="C1110" s="3" t="s">
        <v>5218</v>
      </c>
      <c r="D1110" s="12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>((Table1[[#This Row],[deadline]]/60)/60/24)+DATE(1970,1,1)</f>
        <v>41012.595312500001</v>
      </c>
      <c r="K1110">
        <v>1329146235</v>
      </c>
      <c r="L1110" s="11">
        <f>((Table1[[#This Row],[launched_at]]/60)/60/24)+DATE(1970,1,1)</f>
        <v>40952.636979166666</v>
      </c>
      <c r="M1110">
        <f>MONTH(Table1[[#This Row],[Date Created Conversion]])</f>
        <v>2</v>
      </c>
      <c r="N1110">
        <f>YEAR(Table1[[#This Row],[Date Created Conversion]])</f>
        <v>2012</v>
      </c>
      <c r="O1110" t="b">
        <v>0</v>
      </c>
      <c r="P1110">
        <v>21</v>
      </c>
      <c r="Q1110" t="b">
        <v>0</v>
      </c>
      <c r="R1110" t="s">
        <v>8282</v>
      </c>
      <c r="S1110" s="6">
        <f>Table1[[#This Row],[pledged]]/Table1[[#This Row],[goal]]</f>
        <v>2.93E-2</v>
      </c>
      <c r="T1110" s="8">
        <f>IF(Table1[[#This Row],[pledged]]=0,"no backers",Table1[[#This Row],[pledged]]/Table1[[#This Row],[backers_count]])</f>
        <v>34.88095238095238</v>
      </c>
      <c r="U1110" t="str">
        <f>LEFT(Table1[[#This Row],[Category and Sub-Category]],FIND("/",Table1[[#This Row],[Category and Sub-Category]])-1)</f>
        <v>games</v>
      </c>
      <c r="V1110" t="str">
        <f>RIGHT(Table1[[#This Row],[Category and Sub-Category]],LEN(Table1[[#This Row],[Category and Sub-Category]])-FIND("/",Table1[[#This Row],[Category and Sub-Category]]))</f>
        <v>video games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 s="12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>((Table1[[#This Row],[deadline]]/60)/60/24)+DATE(1970,1,1)</f>
        <v>42692.793865740736</v>
      </c>
      <c r="K1111">
        <v>1476900190</v>
      </c>
      <c r="L1111" s="11">
        <f>((Table1[[#This Row],[launched_at]]/60)/60/24)+DATE(1970,1,1)</f>
        <v>42662.752199074079</v>
      </c>
      <c r="M1111">
        <f>MONTH(Table1[[#This Row],[Date Created Conversion]])</f>
        <v>10</v>
      </c>
      <c r="N1111">
        <f>YEAR(Table1[[#This Row],[Date Created Conversion]])</f>
        <v>2016</v>
      </c>
      <c r="O1111" t="b">
        <v>0</v>
      </c>
      <c r="P1111">
        <v>3</v>
      </c>
      <c r="Q1111" t="b">
        <v>0</v>
      </c>
      <c r="R1111" t="s">
        <v>8282</v>
      </c>
      <c r="S1111" s="6">
        <f>Table1[[#This Row],[pledged]]/Table1[[#This Row],[goal]]</f>
        <v>4.4999999999999997E-3</v>
      </c>
      <c r="T1111" s="8">
        <f>IF(Table1[[#This Row],[pledged]]=0,"no backers",Table1[[#This Row],[pledged]]/Table1[[#This Row],[backers_count]])</f>
        <v>15</v>
      </c>
      <c r="U1111" t="str">
        <f>LEFT(Table1[[#This Row],[Category and Sub-Category]],FIND("/",Table1[[#This Row],[Category and Sub-Category]])-1)</f>
        <v>games</v>
      </c>
      <c r="V1111" t="str">
        <f>RIGHT(Table1[[#This Row],[Category and Sub-Category]],LEN(Table1[[#This Row],[Category and Sub-Category]])-FIND("/",Table1[[#This Row],[Category and Sub-Category]]))</f>
        <v>video games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 s="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>((Table1[[#This Row],[deadline]]/60)/60/24)+DATE(1970,1,1)</f>
        <v>41250.933124999996</v>
      </c>
      <c r="K1112">
        <v>1352327022</v>
      </c>
      <c r="L1112" s="11">
        <f>((Table1[[#This Row],[launched_at]]/60)/60/24)+DATE(1970,1,1)</f>
        <v>41220.933124999996</v>
      </c>
      <c r="M1112">
        <f>MONTH(Table1[[#This Row],[Date Created Conversion]])</f>
        <v>11</v>
      </c>
      <c r="N1112">
        <f>YEAR(Table1[[#This Row],[Date Created Conversion]])</f>
        <v>2012</v>
      </c>
      <c r="O1112" t="b">
        <v>0</v>
      </c>
      <c r="P1112">
        <v>11</v>
      </c>
      <c r="Q1112" t="b">
        <v>0</v>
      </c>
      <c r="R1112" t="s">
        <v>8282</v>
      </c>
      <c r="S1112" s="6">
        <f>Table1[[#This Row],[pledged]]/Table1[[#This Row],[goal]]</f>
        <v>5.1000000000000004E-3</v>
      </c>
      <c r="T1112" s="8">
        <f>IF(Table1[[#This Row],[pledged]]=0,"no backers",Table1[[#This Row],[pledged]]/Table1[[#This Row],[backers_count]])</f>
        <v>23.181818181818183</v>
      </c>
      <c r="U1112" t="str">
        <f>LEFT(Table1[[#This Row],[Category and Sub-Category]],FIND("/",Table1[[#This Row],[Category and Sub-Category]])-1)</f>
        <v>games</v>
      </c>
      <c r="V1112" t="str">
        <f>RIGHT(Table1[[#This Row],[Category and Sub-Category]],LEN(Table1[[#This Row],[Category and Sub-Category]])-FIND("/",Table1[[#This Row],[Category and Sub-Category]]))</f>
        <v>video games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 s="12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>((Table1[[#This Row],[deadline]]/60)/60/24)+DATE(1970,1,1)</f>
        <v>42377.203587962969</v>
      </c>
      <c r="K1113">
        <v>1449636790</v>
      </c>
      <c r="L1113" s="11">
        <f>((Table1[[#This Row],[launched_at]]/60)/60/24)+DATE(1970,1,1)</f>
        <v>42347.203587962969</v>
      </c>
      <c r="M1113">
        <f>MONTH(Table1[[#This Row],[Date Created Conversion]])</f>
        <v>12</v>
      </c>
      <c r="N1113">
        <f>YEAR(Table1[[#This Row],[Date Created Conversion]])</f>
        <v>2015</v>
      </c>
      <c r="O1113" t="b">
        <v>0</v>
      </c>
      <c r="P1113">
        <v>1</v>
      </c>
      <c r="Q1113" t="b">
        <v>0</v>
      </c>
      <c r="R1113" t="s">
        <v>8282</v>
      </c>
      <c r="S1113" s="6">
        <f>Table1[[#This Row],[pledged]]/Table1[[#This Row],[goal]]</f>
        <v>4.0000000000000002E-4</v>
      </c>
      <c r="T1113" s="8">
        <f>IF(Table1[[#This Row],[pledged]]=0,"no backers",Table1[[#This Row],[pledged]]/Table1[[#This Row],[backers_count]])</f>
        <v>1</v>
      </c>
      <c r="U1113" t="str">
        <f>LEFT(Table1[[#This Row],[Category and Sub-Category]],FIND("/",Table1[[#This Row],[Category and Sub-Category]])-1)</f>
        <v>games</v>
      </c>
      <c r="V1113" t="str">
        <f>RIGHT(Table1[[#This Row],[Category and Sub-Category]],LEN(Table1[[#This Row],[Category and Sub-Category]])-FIND("/",Table1[[#This Row],[Category and Sub-Category]]))</f>
        <v>video games</v>
      </c>
    </row>
    <row r="1114" spans="1:22" ht="43.2" x14ac:dyDescent="0.3">
      <c r="A1114">
        <v>1112</v>
      </c>
      <c r="B1114" s="3" t="s">
        <v>1113</v>
      </c>
      <c r="C1114" s="3" t="s">
        <v>5222</v>
      </c>
      <c r="D1114" s="12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>((Table1[[#This Row],[deadline]]/60)/60/24)+DATE(1970,1,1)</f>
        <v>42023.354166666672</v>
      </c>
      <c r="K1114">
        <v>1416507211</v>
      </c>
      <c r="L1114" s="11">
        <f>((Table1[[#This Row],[launched_at]]/60)/60/24)+DATE(1970,1,1)</f>
        <v>41963.759386574078</v>
      </c>
      <c r="M1114">
        <f>MONTH(Table1[[#This Row],[Date Created Conversion]])</f>
        <v>11</v>
      </c>
      <c r="N1114">
        <f>YEAR(Table1[[#This Row],[Date Created Conversion]])</f>
        <v>2014</v>
      </c>
      <c r="O1114" t="b">
        <v>0</v>
      </c>
      <c r="P1114">
        <v>312</v>
      </c>
      <c r="Q1114" t="b">
        <v>0</v>
      </c>
      <c r="R1114" t="s">
        <v>8282</v>
      </c>
      <c r="S1114" s="6">
        <f>Table1[[#This Row],[pledged]]/Table1[[#This Row],[goal]]</f>
        <v>0.35537409090909089</v>
      </c>
      <c r="T1114" s="8">
        <f>IF(Table1[[#This Row],[pledged]]=0,"no backers",Table1[[#This Row],[pledged]]/Table1[[#This Row],[backers_count]])</f>
        <v>100.23371794871794</v>
      </c>
      <c r="U1114" t="str">
        <f>LEFT(Table1[[#This Row],[Category and Sub-Category]],FIND("/",Table1[[#This Row],[Category and Sub-Category]])-1)</f>
        <v>games</v>
      </c>
      <c r="V1114" t="str">
        <f>RIGHT(Table1[[#This Row],[Category and Sub-Category]],LEN(Table1[[#This Row],[Category and Sub-Category]])-FIND("/",Table1[[#This Row],[Category and Sub-Category]]))</f>
        <v>video games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 s="12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>((Table1[[#This Row],[deadline]]/60)/60/24)+DATE(1970,1,1)</f>
        <v>41865.977083333331</v>
      </c>
      <c r="K1115">
        <v>1405466820</v>
      </c>
      <c r="L1115" s="11">
        <f>((Table1[[#This Row],[launched_at]]/60)/60/24)+DATE(1970,1,1)</f>
        <v>41835.977083333331</v>
      </c>
      <c r="M1115">
        <f>MONTH(Table1[[#This Row],[Date Created Conversion]])</f>
        <v>7</v>
      </c>
      <c r="N1115">
        <f>YEAR(Table1[[#This Row],[Date Created Conversion]])</f>
        <v>2014</v>
      </c>
      <c r="O1115" t="b">
        <v>0</v>
      </c>
      <c r="P1115">
        <v>1</v>
      </c>
      <c r="Q1115" t="b">
        <v>0</v>
      </c>
      <c r="R1115" t="s">
        <v>8282</v>
      </c>
      <c r="S1115" s="6">
        <f>Table1[[#This Row],[pledged]]/Table1[[#This Row],[goal]]</f>
        <v>5.0000000000000001E-3</v>
      </c>
      <c r="T1115" s="8">
        <f>IF(Table1[[#This Row],[pledged]]=0,"no backers",Table1[[#This Row],[pledged]]/Table1[[#This Row],[backers_count]])</f>
        <v>5</v>
      </c>
      <c r="U1115" t="str">
        <f>LEFT(Table1[[#This Row],[Category and Sub-Category]],FIND("/",Table1[[#This Row],[Category and Sub-Category]])-1)</f>
        <v>games</v>
      </c>
      <c r="V1115" t="str">
        <f>RIGHT(Table1[[#This Row],[Category and Sub-Category]],LEN(Table1[[#This Row],[Category and Sub-Category]])-FIND("/",Table1[[#This Row],[Category and Sub-Category]]))</f>
        <v>video games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 s="12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>((Table1[[#This Row],[deadline]]/60)/60/24)+DATE(1970,1,1)</f>
        <v>41556.345914351856</v>
      </c>
      <c r="K1116">
        <v>1378714687</v>
      </c>
      <c r="L1116" s="11">
        <f>((Table1[[#This Row],[launched_at]]/60)/60/24)+DATE(1970,1,1)</f>
        <v>41526.345914351856</v>
      </c>
      <c r="M1116">
        <f>MONTH(Table1[[#This Row],[Date Created Conversion]])</f>
        <v>9</v>
      </c>
      <c r="N1116">
        <f>YEAR(Table1[[#This Row],[Date Created Conversion]])</f>
        <v>2013</v>
      </c>
      <c r="O1116" t="b">
        <v>0</v>
      </c>
      <c r="P1116">
        <v>3</v>
      </c>
      <c r="Q1116" t="b">
        <v>0</v>
      </c>
      <c r="R1116" t="s">
        <v>8282</v>
      </c>
      <c r="S1116" s="6">
        <f>Table1[[#This Row],[pledged]]/Table1[[#This Row],[goal]]</f>
        <v>1.6666666666666668E-3</v>
      </c>
      <c r="T1116" s="8">
        <f>IF(Table1[[#This Row],[pledged]]=0,"no backers",Table1[[#This Row],[pledged]]/Table1[[#This Row],[backers_count]])</f>
        <v>3.3333333333333335</v>
      </c>
      <c r="U1116" t="str">
        <f>LEFT(Table1[[#This Row],[Category and Sub-Category]],FIND("/",Table1[[#This Row],[Category and Sub-Category]])-1)</f>
        <v>games</v>
      </c>
      <c r="V1116" t="str">
        <f>RIGHT(Table1[[#This Row],[Category and Sub-Category]],LEN(Table1[[#This Row],[Category and Sub-Category]])-FIND("/",Table1[[#This Row],[Category and Sub-Category]]))</f>
        <v>video games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 s="12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>((Table1[[#This Row],[deadline]]/60)/60/24)+DATE(1970,1,1)</f>
        <v>42459.653877314813</v>
      </c>
      <c r="K1117">
        <v>1456764095</v>
      </c>
      <c r="L1117" s="11">
        <f>((Table1[[#This Row],[launched_at]]/60)/60/24)+DATE(1970,1,1)</f>
        <v>42429.695543981477</v>
      </c>
      <c r="M1117">
        <f>MONTH(Table1[[#This Row],[Date Created Conversion]])</f>
        <v>2</v>
      </c>
      <c r="N1117">
        <f>YEAR(Table1[[#This Row],[Date Created Conversion]])</f>
        <v>2016</v>
      </c>
      <c r="O1117" t="b">
        <v>0</v>
      </c>
      <c r="P1117">
        <v>4</v>
      </c>
      <c r="Q1117" t="b">
        <v>0</v>
      </c>
      <c r="R1117" t="s">
        <v>8282</v>
      </c>
      <c r="S1117" s="6">
        <f>Table1[[#This Row],[pledged]]/Table1[[#This Row],[goal]]</f>
        <v>1.325E-3</v>
      </c>
      <c r="T1117" s="8">
        <f>IF(Table1[[#This Row],[pledged]]=0,"no backers",Table1[[#This Row],[pledged]]/Table1[[#This Row],[backers_count]])</f>
        <v>13.25</v>
      </c>
      <c r="U1117" t="str">
        <f>LEFT(Table1[[#This Row],[Category and Sub-Category]],FIND("/",Table1[[#This Row],[Category and Sub-Category]])-1)</f>
        <v>games</v>
      </c>
      <c r="V1117" t="str">
        <f>RIGHT(Table1[[#This Row],[Category and Sub-Category]],LEN(Table1[[#This Row],[Category and Sub-Category]])-FIND("/",Table1[[#This Row],[Category and Sub-Category]]))</f>
        <v>video games</v>
      </c>
    </row>
    <row r="1118" spans="1:22" ht="43.2" x14ac:dyDescent="0.3">
      <c r="A1118">
        <v>1116</v>
      </c>
      <c r="B1118" s="3" t="s">
        <v>1117</v>
      </c>
      <c r="C1118" s="3" t="s">
        <v>5226</v>
      </c>
      <c r="D1118" s="12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>((Table1[[#This Row],[deadline]]/60)/60/24)+DATE(1970,1,1)</f>
        <v>41069.847314814811</v>
      </c>
      <c r="K1118">
        <v>1334089208</v>
      </c>
      <c r="L1118" s="11">
        <f>((Table1[[#This Row],[launched_at]]/60)/60/24)+DATE(1970,1,1)</f>
        <v>41009.847314814811</v>
      </c>
      <c r="M1118">
        <f>MONTH(Table1[[#This Row],[Date Created Conversion]])</f>
        <v>4</v>
      </c>
      <c r="N1118">
        <f>YEAR(Table1[[#This Row],[Date Created Conversion]])</f>
        <v>2012</v>
      </c>
      <c r="O1118" t="b">
        <v>0</v>
      </c>
      <c r="P1118">
        <v>10</v>
      </c>
      <c r="Q1118" t="b">
        <v>0</v>
      </c>
      <c r="R1118" t="s">
        <v>8282</v>
      </c>
      <c r="S1118" s="6">
        <f>Table1[[#This Row],[pledged]]/Table1[[#This Row],[goal]]</f>
        <v>3.5704000000000004E-4</v>
      </c>
      <c r="T1118" s="8">
        <f>IF(Table1[[#This Row],[pledged]]=0,"no backers",Table1[[#This Row],[pledged]]/Table1[[#This Row],[backers_count]])</f>
        <v>17.852</v>
      </c>
      <c r="U1118" t="str">
        <f>LEFT(Table1[[#This Row],[Category and Sub-Category]],FIND("/",Table1[[#This Row],[Category and Sub-Category]])-1)</f>
        <v>games</v>
      </c>
      <c r="V1118" t="str">
        <f>RIGHT(Table1[[#This Row],[Category and Sub-Category]],LEN(Table1[[#This Row],[Category and Sub-Category]])-FIND("/",Table1[[#This Row],[Category and Sub-Category]]))</f>
        <v>video games</v>
      </c>
    </row>
    <row r="1119" spans="1:22" ht="43.2" x14ac:dyDescent="0.3">
      <c r="A1119">
        <v>1117</v>
      </c>
      <c r="B1119" s="3" t="s">
        <v>1118</v>
      </c>
      <c r="C1119" s="3" t="s">
        <v>5227</v>
      </c>
      <c r="D1119" s="12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>((Table1[[#This Row],[deadline]]/60)/60/24)+DATE(1970,1,1)</f>
        <v>42363.598530092597</v>
      </c>
      <c r="K1119">
        <v>1448461313</v>
      </c>
      <c r="L1119" s="11">
        <f>((Table1[[#This Row],[launched_at]]/60)/60/24)+DATE(1970,1,1)</f>
        <v>42333.598530092597</v>
      </c>
      <c r="M1119">
        <f>MONTH(Table1[[#This Row],[Date Created Conversion]])</f>
        <v>11</v>
      </c>
      <c r="N1119">
        <f>YEAR(Table1[[#This Row],[Date Created Conversion]])</f>
        <v>2015</v>
      </c>
      <c r="O1119" t="b">
        <v>0</v>
      </c>
      <c r="P1119">
        <v>8</v>
      </c>
      <c r="Q1119" t="b">
        <v>0</v>
      </c>
      <c r="R1119" t="s">
        <v>8282</v>
      </c>
      <c r="S1119" s="6">
        <f>Table1[[#This Row],[pledged]]/Table1[[#This Row],[goal]]</f>
        <v>8.3000000000000004E-2</v>
      </c>
      <c r="T1119" s="8">
        <f>IF(Table1[[#This Row],[pledged]]=0,"no backers",Table1[[#This Row],[pledged]]/Table1[[#This Row],[backers_count]])</f>
        <v>10.375</v>
      </c>
      <c r="U1119" t="str">
        <f>LEFT(Table1[[#This Row],[Category and Sub-Category]],FIND("/",Table1[[#This Row],[Category and Sub-Category]])-1)</f>
        <v>games</v>
      </c>
      <c r="V1119" t="str">
        <f>RIGHT(Table1[[#This Row],[Category and Sub-Category]],LEN(Table1[[#This Row],[Category and Sub-Category]])-FIND("/",Table1[[#This Row],[Category and Sub-Category]]))</f>
        <v>video games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 s="12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>((Table1[[#This Row],[deadline]]/60)/60/24)+DATE(1970,1,1)</f>
        <v>41734.124756944446</v>
      </c>
      <c r="K1120">
        <v>1394078379</v>
      </c>
      <c r="L1120" s="11">
        <f>((Table1[[#This Row],[launched_at]]/60)/60/24)+DATE(1970,1,1)</f>
        <v>41704.16642361111</v>
      </c>
      <c r="M1120">
        <f>MONTH(Table1[[#This Row],[Date Created Conversion]])</f>
        <v>3</v>
      </c>
      <c r="N1120">
        <f>YEAR(Table1[[#This Row],[Date Created Conversion]])</f>
        <v>2014</v>
      </c>
      <c r="O1120" t="b">
        <v>0</v>
      </c>
      <c r="P1120">
        <v>3</v>
      </c>
      <c r="Q1120" t="b">
        <v>0</v>
      </c>
      <c r="R1120" t="s">
        <v>8282</v>
      </c>
      <c r="S1120" s="6">
        <f>Table1[[#This Row],[pledged]]/Table1[[#This Row],[goal]]</f>
        <v>2.4222222222222221E-2</v>
      </c>
      <c r="T1120" s="8">
        <f>IF(Table1[[#This Row],[pledged]]=0,"no backers",Table1[[#This Row],[pledged]]/Table1[[#This Row],[backers_count]])</f>
        <v>36.333333333333336</v>
      </c>
      <c r="U1120" t="str">
        <f>LEFT(Table1[[#This Row],[Category and Sub-Category]],FIND("/",Table1[[#This Row],[Category and Sub-Category]])-1)</f>
        <v>games</v>
      </c>
      <c r="V1120" t="str">
        <f>RIGHT(Table1[[#This Row],[Category and Sub-Category]],LEN(Table1[[#This Row],[Category and Sub-Category]])-FIND("/",Table1[[#This Row],[Category and Sub-Category]]))</f>
        <v>video games</v>
      </c>
    </row>
    <row r="1121" spans="1:22" ht="57.6" x14ac:dyDescent="0.3">
      <c r="A1121">
        <v>1119</v>
      </c>
      <c r="B1121" s="3" t="s">
        <v>1120</v>
      </c>
      <c r="C1121" s="3" t="s">
        <v>5229</v>
      </c>
      <c r="D1121" s="12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>((Table1[[#This Row],[deadline]]/60)/60/24)+DATE(1970,1,1)</f>
        <v>41735.792407407411</v>
      </c>
      <c r="K1121">
        <v>1395687664</v>
      </c>
      <c r="L1121" s="11">
        <f>((Table1[[#This Row],[launched_at]]/60)/60/24)+DATE(1970,1,1)</f>
        <v>41722.792407407411</v>
      </c>
      <c r="M1121">
        <f>MONTH(Table1[[#This Row],[Date Created Conversion]])</f>
        <v>3</v>
      </c>
      <c r="N1121">
        <f>YEAR(Table1[[#This Row],[Date Created Conversion]])</f>
        <v>2014</v>
      </c>
      <c r="O1121" t="b">
        <v>0</v>
      </c>
      <c r="P1121">
        <v>1</v>
      </c>
      <c r="Q1121" t="b">
        <v>0</v>
      </c>
      <c r="R1121" t="s">
        <v>8282</v>
      </c>
      <c r="S1121" s="6">
        <f>Table1[[#This Row],[pledged]]/Table1[[#This Row],[goal]]</f>
        <v>2.3809523809523812E-3</v>
      </c>
      <c r="T1121" s="8">
        <f>IF(Table1[[#This Row],[pledged]]=0,"no backers",Table1[[#This Row],[pledged]]/Table1[[#This Row],[backers_count]])</f>
        <v>5</v>
      </c>
      <c r="U1121" t="str">
        <f>LEFT(Table1[[#This Row],[Category and Sub-Category]],FIND("/",Table1[[#This Row],[Category and Sub-Category]])-1)</f>
        <v>games</v>
      </c>
      <c r="V1121" t="str">
        <f>RIGHT(Table1[[#This Row],[Category and Sub-Category]],LEN(Table1[[#This Row],[Category and Sub-Category]])-FIND("/",Table1[[#This Row],[Category and Sub-Category]]))</f>
        <v>video games</v>
      </c>
    </row>
    <row r="1122" spans="1:22" ht="43.2" x14ac:dyDescent="0.3">
      <c r="A1122">
        <v>1120</v>
      </c>
      <c r="B1122" s="3" t="s">
        <v>1121</v>
      </c>
      <c r="C1122" s="3" t="s">
        <v>5230</v>
      </c>
      <c r="D1122" s="1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>((Table1[[#This Row],[deadline]]/60)/60/24)+DATE(1970,1,1)</f>
        <v>40844.872685185182</v>
      </c>
      <c r="K1122">
        <v>1315947400</v>
      </c>
      <c r="L1122" s="11">
        <f>((Table1[[#This Row],[launched_at]]/60)/60/24)+DATE(1970,1,1)</f>
        <v>40799.872685185182</v>
      </c>
      <c r="M1122">
        <f>MONTH(Table1[[#This Row],[Date Created Conversion]])</f>
        <v>9</v>
      </c>
      <c r="N1122">
        <f>YEAR(Table1[[#This Row],[Date Created Conversion]])</f>
        <v>2011</v>
      </c>
      <c r="O1122" t="b">
        <v>0</v>
      </c>
      <c r="P1122">
        <v>0</v>
      </c>
      <c r="Q1122" t="b">
        <v>0</v>
      </c>
      <c r="R1122" t="s">
        <v>8282</v>
      </c>
      <c r="S1122" s="6">
        <f>Table1[[#This Row],[pledged]]/Table1[[#This Row],[goal]]</f>
        <v>0</v>
      </c>
      <c r="T1122" s="8" t="str">
        <f>IF(Table1[[#This Row],[pledged]]=0,"no backers",Table1[[#This Row],[pledged]]/Table1[[#This Row],[backers_count]])</f>
        <v>no backers</v>
      </c>
      <c r="U1122" t="str">
        <f>LEFT(Table1[[#This Row],[Category and Sub-Category]],FIND("/",Table1[[#This Row],[Category and Sub-Category]])-1)</f>
        <v>games</v>
      </c>
      <c r="V1122" t="str">
        <f>RIGHT(Table1[[#This Row],[Category and Sub-Category]],LEN(Table1[[#This Row],[Category and Sub-Category]])-FIND("/",Table1[[#This Row],[Category and Sub-Category]]))</f>
        <v>video games</v>
      </c>
    </row>
    <row r="1123" spans="1:22" ht="43.2" x14ac:dyDescent="0.3">
      <c r="A1123">
        <v>1121</v>
      </c>
      <c r="B1123" s="3" t="s">
        <v>1122</v>
      </c>
      <c r="C1123" s="3" t="s">
        <v>5231</v>
      </c>
      <c r="D1123" s="12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>((Table1[[#This Row],[deadline]]/60)/60/24)+DATE(1970,1,1)</f>
        <v>42442.892546296294</v>
      </c>
      <c r="K1123">
        <v>1455315916</v>
      </c>
      <c r="L1123" s="11">
        <f>((Table1[[#This Row],[launched_at]]/60)/60/24)+DATE(1970,1,1)</f>
        <v>42412.934212962966</v>
      </c>
      <c r="M1123">
        <f>MONTH(Table1[[#This Row],[Date Created Conversion]])</f>
        <v>2</v>
      </c>
      <c r="N1123">
        <f>YEAR(Table1[[#This Row],[Date Created Conversion]])</f>
        <v>2016</v>
      </c>
      <c r="O1123" t="b">
        <v>0</v>
      </c>
      <c r="P1123">
        <v>5</v>
      </c>
      <c r="Q1123" t="b">
        <v>0</v>
      </c>
      <c r="R1123" t="s">
        <v>8282</v>
      </c>
      <c r="S1123" s="6">
        <f>Table1[[#This Row],[pledged]]/Table1[[#This Row],[goal]]</f>
        <v>1.16E-4</v>
      </c>
      <c r="T1123" s="8">
        <f>IF(Table1[[#This Row],[pledged]]=0,"no backers",Table1[[#This Row],[pledged]]/Table1[[#This Row],[backers_count]])</f>
        <v>5.8</v>
      </c>
      <c r="U1123" t="str">
        <f>LEFT(Table1[[#This Row],[Category and Sub-Category]],FIND("/",Table1[[#This Row],[Category and Sub-Category]])-1)</f>
        <v>games</v>
      </c>
      <c r="V1123" t="str">
        <f>RIGHT(Table1[[#This Row],[Category and Sub-Category]],LEN(Table1[[#This Row],[Category and Sub-Category]])-FIND("/",Table1[[#This Row],[Category and Sub-Category]]))</f>
        <v>video games</v>
      </c>
    </row>
    <row r="1124" spans="1:22" ht="57.6" x14ac:dyDescent="0.3">
      <c r="A1124">
        <v>1122</v>
      </c>
      <c r="B1124" s="3" t="s">
        <v>1123</v>
      </c>
      <c r="C1124" s="3" t="s">
        <v>5232</v>
      </c>
      <c r="D1124" s="12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>((Table1[[#This Row],[deadline]]/60)/60/24)+DATE(1970,1,1)</f>
        <v>41424.703993055555</v>
      </c>
      <c r="K1124">
        <v>1368723225</v>
      </c>
      <c r="L1124" s="11">
        <f>((Table1[[#This Row],[launched_at]]/60)/60/24)+DATE(1970,1,1)</f>
        <v>41410.703993055555</v>
      </c>
      <c r="M1124">
        <f>MONTH(Table1[[#This Row],[Date Created Conversion]])</f>
        <v>5</v>
      </c>
      <c r="N1124">
        <f>YEAR(Table1[[#This Row],[Date Created Conversion]])</f>
        <v>2013</v>
      </c>
      <c r="O1124" t="b">
        <v>0</v>
      </c>
      <c r="P1124">
        <v>0</v>
      </c>
      <c r="Q1124" t="b">
        <v>0</v>
      </c>
      <c r="R1124" t="s">
        <v>8282</v>
      </c>
      <c r="S1124" s="6">
        <f>Table1[[#This Row],[pledged]]/Table1[[#This Row],[goal]]</f>
        <v>0</v>
      </c>
      <c r="T1124" s="8" t="str">
        <f>IF(Table1[[#This Row],[pledged]]=0,"no backers",Table1[[#This Row],[pledged]]/Table1[[#This Row],[backers_count]])</f>
        <v>no backers</v>
      </c>
      <c r="U1124" t="str">
        <f>LEFT(Table1[[#This Row],[Category and Sub-Category]],FIND("/",Table1[[#This Row],[Category and Sub-Category]])-1)</f>
        <v>games</v>
      </c>
      <c r="V1124" t="str">
        <f>RIGHT(Table1[[#This Row],[Category and Sub-Category]],LEN(Table1[[#This Row],[Category and Sub-Category]])-FIND("/",Table1[[#This Row],[Category and Sub-Category]]))</f>
        <v>video games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 s="12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>((Table1[[#This Row],[deadline]]/60)/60/24)+DATE(1970,1,1)</f>
        <v>41748.5237037037</v>
      </c>
      <c r="K1125">
        <v>1395318848</v>
      </c>
      <c r="L1125" s="11">
        <f>((Table1[[#This Row],[launched_at]]/60)/60/24)+DATE(1970,1,1)</f>
        <v>41718.5237037037</v>
      </c>
      <c r="M1125">
        <f>MONTH(Table1[[#This Row],[Date Created Conversion]])</f>
        <v>3</v>
      </c>
      <c r="N1125">
        <f>YEAR(Table1[[#This Row],[Date Created Conversion]])</f>
        <v>2014</v>
      </c>
      <c r="O1125" t="b">
        <v>0</v>
      </c>
      <c r="P1125">
        <v>3</v>
      </c>
      <c r="Q1125" t="b">
        <v>0</v>
      </c>
      <c r="R1125" t="s">
        <v>8282</v>
      </c>
      <c r="S1125" s="6">
        <f>Table1[[#This Row],[pledged]]/Table1[[#This Row],[goal]]</f>
        <v>2.2000000000000001E-3</v>
      </c>
      <c r="T1125" s="8">
        <f>IF(Table1[[#This Row],[pledged]]=0,"no backers",Table1[[#This Row],[pledged]]/Table1[[#This Row],[backers_count]])</f>
        <v>3.6666666666666665</v>
      </c>
      <c r="U1125" t="str">
        <f>LEFT(Table1[[#This Row],[Category and Sub-Category]],FIND("/",Table1[[#This Row],[Category and Sub-Category]])-1)</f>
        <v>games</v>
      </c>
      <c r="V1125" t="str">
        <f>RIGHT(Table1[[#This Row],[Category and Sub-Category]],LEN(Table1[[#This Row],[Category and Sub-Category]])-FIND("/",Table1[[#This Row],[Category and Sub-Category]]))</f>
        <v>video games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 s="12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>((Table1[[#This Row],[deadline]]/60)/60/24)+DATE(1970,1,1)</f>
        <v>42124.667256944449</v>
      </c>
      <c r="K1126">
        <v>1427817651</v>
      </c>
      <c r="L1126" s="11">
        <f>((Table1[[#This Row],[launched_at]]/60)/60/24)+DATE(1970,1,1)</f>
        <v>42094.667256944449</v>
      </c>
      <c r="M1126">
        <f>MONTH(Table1[[#This Row],[Date Created Conversion]])</f>
        <v>3</v>
      </c>
      <c r="N1126">
        <f>YEAR(Table1[[#This Row],[Date Created Conversion]])</f>
        <v>2015</v>
      </c>
      <c r="O1126" t="b">
        <v>0</v>
      </c>
      <c r="P1126">
        <v>7</v>
      </c>
      <c r="Q1126" t="b">
        <v>0</v>
      </c>
      <c r="R1126" t="s">
        <v>8283</v>
      </c>
      <c r="S1126" s="6">
        <f>Table1[[#This Row],[pledged]]/Table1[[#This Row],[goal]]</f>
        <v>4.7222222222222223E-3</v>
      </c>
      <c r="T1126" s="8">
        <f>IF(Table1[[#This Row],[pledged]]=0,"no backers",Table1[[#This Row],[pledged]]/Table1[[#This Row],[backers_count]])</f>
        <v>60.714285714285715</v>
      </c>
      <c r="U1126" t="str">
        <f>LEFT(Table1[[#This Row],[Category and Sub-Category]],FIND("/",Table1[[#This Row],[Category and Sub-Category]])-1)</f>
        <v>games</v>
      </c>
      <c r="V1126" t="str">
        <f>RIGHT(Table1[[#This Row],[Category and Sub-Category]],LEN(Table1[[#This Row],[Category and Sub-Category]])-FIND("/",Table1[[#This Row],[Category and Sub-Category]]))</f>
        <v>mobile games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 s="12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>((Table1[[#This Row],[deadline]]/60)/60/24)+DATE(1970,1,1)</f>
        <v>42272.624189814815</v>
      </c>
      <c r="K1127">
        <v>1438009130</v>
      </c>
      <c r="L1127" s="11">
        <f>((Table1[[#This Row],[launched_at]]/60)/60/24)+DATE(1970,1,1)</f>
        <v>42212.624189814815</v>
      </c>
      <c r="M1127">
        <f>MONTH(Table1[[#This Row],[Date Created Conversion]])</f>
        <v>7</v>
      </c>
      <c r="N1127">
        <f>YEAR(Table1[[#This Row],[Date Created Conversion]])</f>
        <v>2015</v>
      </c>
      <c r="O1127" t="b">
        <v>0</v>
      </c>
      <c r="P1127">
        <v>0</v>
      </c>
      <c r="Q1127" t="b">
        <v>0</v>
      </c>
      <c r="R1127" t="s">
        <v>8283</v>
      </c>
      <c r="S1127" s="6">
        <f>Table1[[#This Row],[pledged]]/Table1[[#This Row],[goal]]</f>
        <v>0</v>
      </c>
      <c r="T1127" s="8" t="str">
        <f>IF(Table1[[#This Row],[pledged]]=0,"no backers",Table1[[#This Row],[pledged]]/Table1[[#This Row],[backers_count]])</f>
        <v>no backers</v>
      </c>
      <c r="U1127" t="str">
        <f>LEFT(Table1[[#This Row],[Category and Sub-Category]],FIND("/",Table1[[#This Row],[Category and Sub-Category]])-1)</f>
        <v>games</v>
      </c>
      <c r="V1127" t="str">
        <f>RIGHT(Table1[[#This Row],[Category and Sub-Category]],LEN(Table1[[#This Row],[Category and Sub-Category]])-FIND("/",Table1[[#This Row],[Category and Sub-Category]]))</f>
        <v>mobile games</v>
      </c>
    </row>
    <row r="1128" spans="1:22" ht="43.2" x14ac:dyDescent="0.3">
      <c r="A1128">
        <v>1126</v>
      </c>
      <c r="B1128" s="3" t="s">
        <v>1127</v>
      </c>
      <c r="C1128" s="3" t="s">
        <v>5236</v>
      </c>
      <c r="D1128" s="12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>((Table1[[#This Row],[deadline]]/60)/60/24)+DATE(1970,1,1)</f>
        <v>42565.327476851846</v>
      </c>
      <c r="K1128">
        <v>1465890694</v>
      </c>
      <c r="L1128" s="11">
        <f>((Table1[[#This Row],[launched_at]]/60)/60/24)+DATE(1970,1,1)</f>
        <v>42535.327476851846</v>
      </c>
      <c r="M1128">
        <f>MONTH(Table1[[#This Row],[Date Created Conversion]])</f>
        <v>6</v>
      </c>
      <c r="N1128">
        <f>YEAR(Table1[[#This Row],[Date Created Conversion]])</f>
        <v>2016</v>
      </c>
      <c r="O1128" t="b">
        <v>0</v>
      </c>
      <c r="P1128">
        <v>2</v>
      </c>
      <c r="Q1128" t="b">
        <v>0</v>
      </c>
      <c r="R1128" t="s">
        <v>8283</v>
      </c>
      <c r="S1128" s="6">
        <f>Table1[[#This Row],[pledged]]/Table1[[#This Row],[goal]]</f>
        <v>5.0000000000000001E-3</v>
      </c>
      <c r="T1128" s="8">
        <f>IF(Table1[[#This Row],[pledged]]=0,"no backers",Table1[[#This Row],[pledged]]/Table1[[#This Row],[backers_count]])</f>
        <v>5</v>
      </c>
      <c r="U1128" t="str">
        <f>LEFT(Table1[[#This Row],[Category and Sub-Category]],FIND("/",Table1[[#This Row],[Category and Sub-Category]])-1)</f>
        <v>games</v>
      </c>
      <c r="V1128" t="str">
        <f>RIGHT(Table1[[#This Row],[Category and Sub-Category]],LEN(Table1[[#This Row],[Category and Sub-Category]])-FIND("/",Table1[[#This Row],[Category and Sub-Category]]))</f>
        <v>mobile games</v>
      </c>
    </row>
    <row r="1129" spans="1:22" ht="57.6" x14ac:dyDescent="0.3">
      <c r="A1129">
        <v>1127</v>
      </c>
      <c r="B1129" s="3" t="s">
        <v>1128</v>
      </c>
      <c r="C1129" s="3" t="s">
        <v>5237</v>
      </c>
      <c r="D1129" s="12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>((Table1[[#This Row],[deadline]]/60)/60/24)+DATE(1970,1,1)</f>
        <v>41957.895833333328</v>
      </c>
      <c r="K1129">
        <v>1413318600</v>
      </c>
      <c r="L1129" s="11">
        <f>((Table1[[#This Row],[launched_at]]/60)/60/24)+DATE(1970,1,1)</f>
        <v>41926.854166666664</v>
      </c>
      <c r="M1129">
        <f>MONTH(Table1[[#This Row],[Date Created Conversion]])</f>
        <v>10</v>
      </c>
      <c r="N1129">
        <f>YEAR(Table1[[#This Row],[Date Created Conversion]])</f>
        <v>2014</v>
      </c>
      <c r="O1129" t="b">
        <v>0</v>
      </c>
      <c r="P1129">
        <v>23</v>
      </c>
      <c r="Q1129" t="b">
        <v>0</v>
      </c>
      <c r="R1129" t="s">
        <v>8283</v>
      </c>
      <c r="S1129" s="6">
        <f>Table1[[#This Row],[pledged]]/Table1[[#This Row],[goal]]</f>
        <v>1.6714285714285713E-2</v>
      </c>
      <c r="T1129" s="8">
        <f>IF(Table1[[#This Row],[pledged]]=0,"no backers",Table1[[#This Row],[pledged]]/Table1[[#This Row],[backers_count]])</f>
        <v>25.434782608695652</v>
      </c>
      <c r="U1129" t="str">
        <f>LEFT(Table1[[#This Row],[Category and Sub-Category]],FIND("/",Table1[[#This Row],[Category and Sub-Category]])-1)</f>
        <v>games</v>
      </c>
      <c r="V1129" t="str">
        <f>RIGHT(Table1[[#This Row],[Category and Sub-Category]],LEN(Table1[[#This Row],[Category and Sub-Category]])-FIND("/",Table1[[#This Row],[Category and Sub-Category]]))</f>
        <v>mobile games</v>
      </c>
    </row>
    <row r="1130" spans="1:22" x14ac:dyDescent="0.3">
      <c r="A1130">
        <v>1128</v>
      </c>
      <c r="B1130" s="3" t="s">
        <v>1129</v>
      </c>
      <c r="C1130" s="3" t="s">
        <v>5238</v>
      </c>
      <c r="D1130" s="12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>((Table1[[#This Row],[deadline]]/60)/60/24)+DATE(1970,1,1)</f>
        <v>41858.649502314816</v>
      </c>
      <c r="K1130">
        <v>1404833717</v>
      </c>
      <c r="L1130" s="11">
        <f>((Table1[[#This Row],[launched_at]]/60)/60/24)+DATE(1970,1,1)</f>
        <v>41828.649502314816</v>
      </c>
      <c r="M1130">
        <f>MONTH(Table1[[#This Row],[Date Created Conversion]])</f>
        <v>7</v>
      </c>
      <c r="N1130">
        <f>YEAR(Table1[[#This Row],[Date Created Conversion]])</f>
        <v>2014</v>
      </c>
      <c r="O1130" t="b">
        <v>0</v>
      </c>
      <c r="P1130">
        <v>1</v>
      </c>
      <c r="Q1130" t="b">
        <v>0</v>
      </c>
      <c r="R1130" t="s">
        <v>8283</v>
      </c>
      <c r="S1130" s="6">
        <f>Table1[[#This Row],[pledged]]/Table1[[#This Row],[goal]]</f>
        <v>1E-3</v>
      </c>
      <c r="T1130" s="8">
        <f>IF(Table1[[#This Row],[pledged]]=0,"no backers",Table1[[#This Row],[pledged]]/Table1[[#This Row],[backers_count]])</f>
        <v>1</v>
      </c>
      <c r="U1130" t="str">
        <f>LEFT(Table1[[#This Row],[Category and Sub-Category]],FIND("/",Table1[[#This Row],[Category and Sub-Category]])-1)</f>
        <v>games</v>
      </c>
      <c r="V1130" t="str">
        <f>RIGHT(Table1[[#This Row],[Category and Sub-Category]],LEN(Table1[[#This Row],[Category and Sub-Category]])-FIND("/",Table1[[#This Row],[Category and Sub-Category]]))</f>
        <v>mobile games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 s="12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>((Table1[[#This Row],[deadline]]/60)/60/24)+DATE(1970,1,1)</f>
        <v>42526.264965277776</v>
      </c>
      <c r="K1131">
        <v>1462515693</v>
      </c>
      <c r="L1131" s="11">
        <f>((Table1[[#This Row],[launched_at]]/60)/60/24)+DATE(1970,1,1)</f>
        <v>42496.264965277776</v>
      </c>
      <c r="M1131">
        <f>MONTH(Table1[[#This Row],[Date Created Conversion]])</f>
        <v>5</v>
      </c>
      <c r="N1131">
        <f>YEAR(Table1[[#This Row],[Date Created Conversion]])</f>
        <v>2016</v>
      </c>
      <c r="O1131" t="b">
        <v>0</v>
      </c>
      <c r="P1131">
        <v>2</v>
      </c>
      <c r="Q1131" t="b">
        <v>0</v>
      </c>
      <c r="R1131" t="s">
        <v>8283</v>
      </c>
      <c r="S1131" s="6">
        <f>Table1[[#This Row],[pledged]]/Table1[[#This Row],[goal]]</f>
        <v>1.0499999999999999E-3</v>
      </c>
      <c r="T1131" s="8">
        <f>IF(Table1[[#This Row],[pledged]]=0,"no backers",Table1[[#This Row],[pledged]]/Table1[[#This Row],[backers_count]])</f>
        <v>10.5</v>
      </c>
      <c r="U1131" t="str">
        <f>LEFT(Table1[[#This Row],[Category and Sub-Category]],FIND("/",Table1[[#This Row],[Category and Sub-Category]])-1)</f>
        <v>games</v>
      </c>
      <c r="V1131" t="str">
        <f>RIGHT(Table1[[#This Row],[Category and Sub-Category]],LEN(Table1[[#This Row],[Category and Sub-Category]])-FIND("/",Table1[[#This Row],[Category and Sub-Category]]))</f>
        <v>mobile games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 s="1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>((Table1[[#This Row],[deadline]]/60)/60/24)+DATE(1970,1,1)</f>
        <v>41969.038194444445</v>
      </c>
      <c r="K1132">
        <v>1411775700</v>
      </c>
      <c r="L1132" s="11">
        <f>((Table1[[#This Row],[launched_at]]/60)/60/24)+DATE(1970,1,1)</f>
        <v>41908.996527777781</v>
      </c>
      <c r="M1132">
        <f>MONTH(Table1[[#This Row],[Date Created Conversion]])</f>
        <v>9</v>
      </c>
      <c r="N1132">
        <f>YEAR(Table1[[#This Row],[Date Created Conversion]])</f>
        <v>2014</v>
      </c>
      <c r="O1132" t="b">
        <v>0</v>
      </c>
      <c r="P1132">
        <v>3</v>
      </c>
      <c r="Q1132" t="b">
        <v>0</v>
      </c>
      <c r="R1132" t="s">
        <v>8283</v>
      </c>
      <c r="S1132" s="6">
        <f>Table1[[#This Row],[pledged]]/Table1[[#This Row],[goal]]</f>
        <v>2.2000000000000001E-3</v>
      </c>
      <c r="T1132" s="8">
        <f>IF(Table1[[#This Row],[pledged]]=0,"no backers",Table1[[#This Row],[pledged]]/Table1[[#This Row],[backers_count]])</f>
        <v>3.6666666666666665</v>
      </c>
      <c r="U1132" t="str">
        <f>LEFT(Table1[[#This Row],[Category and Sub-Category]],FIND("/",Table1[[#This Row],[Category and Sub-Category]])-1)</f>
        <v>games</v>
      </c>
      <c r="V1132" t="str">
        <f>RIGHT(Table1[[#This Row],[Category and Sub-Category]],LEN(Table1[[#This Row],[Category and Sub-Category]])-FIND("/",Table1[[#This Row],[Category and Sub-Category]]))</f>
        <v>mobile games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 s="12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>((Table1[[#This Row],[deadline]]/60)/60/24)+DATE(1970,1,1)</f>
        <v>42362.908194444448</v>
      </c>
      <c r="K1133">
        <v>1448401668</v>
      </c>
      <c r="L1133" s="11">
        <f>((Table1[[#This Row],[launched_at]]/60)/60/24)+DATE(1970,1,1)</f>
        <v>42332.908194444448</v>
      </c>
      <c r="M1133">
        <f>MONTH(Table1[[#This Row],[Date Created Conversion]])</f>
        <v>11</v>
      </c>
      <c r="N1133">
        <f>YEAR(Table1[[#This Row],[Date Created Conversion]])</f>
        <v>2015</v>
      </c>
      <c r="O1133" t="b">
        <v>0</v>
      </c>
      <c r="P1133">
        <v>0</v>
      </c>
      <c r="Q1133" t="b">
        <v>0</v>
      </c>
      <c r="R1133" t="s">
        <v>8283</v>
      </c>
      <c r="S1133" s="6">
        <f>Table1[[#This Row],[pledged]]/Table1[[#This Row],[goal]]</f>
        <v>0</v>
      </c>
      <c r="T1133" s="8" t="str">
        <f>IF(Table1[[#This Row],[pledged]]=0,"no backers",Table1[[#This Row],[pledged]]/Table1[[#This Row],[backers_count]])</f>
        <v>no backers</v>
      </c>
      <c r="U1133" t="str">
        <f>LEFT(Table1[[#This Row],[Category and Sub-Category]],FIND("/",Table1[[#This Row],[Category and Sub-Category]])-1)</f>
        <v>games</v>
      </c>
      <c r="V1133" t="str">
        <f>RIGHT(Table1[[#This Row],[Category and Sub-Category]],LEN(Table1[[#This Row],[Category and Sub-Category]])-FIND("/",Table1[[#This Row],[Category and Sub-Category]]))</f>
        <v>mobile games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 s="12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>((Table1[[#This Row],[deadline]]/60)/60/24)+DATE(1970,1,1)</f>
        <v>42736.115405092598</v>
      </c>
      <c r="K1134">
        <v>1480646771</v>
      </c>
      <c r="L1134" s="11">
        <f>((Table1[[#This Row],[launched_at]]/60)/60/24)+DATE(1970,1,1)</f>
        <v>42706.115405092598</v>
      </c>
      <c r="M1134">
        <f>MONTH(Table1[[#This Row],[Date Created Conversion]])</f>
        <v>12</v>
      </c>
      <c r="N1134">
        <f>YEAR(Table1[[#This Row],[Date Created Conversion]])</f>
        <v>2016</v>
      </c>
      <c r="O1134" t="b">
        <v>0</v>
      </c>
      <c r="P1134">
        <v>13</v>
      </c>
      <c r="Q1134" t="b">
        <v>0</v>
      </c>
      <c r="R1134" t="s">
        <v>8283</v>
      </c>
      <c r="S1134" s="6">
        <f>Table1[[#This Row],[pledged]]/Table1[[#This Row],[goal]]</f>
        <v>0.14380000000000001</v>
      </c>
      <c r="T1134" s="8">
        <f>IF(Table1[[#This Row],[pledged]]=0,"no backers",Table1[[#This Row],[pledged]]/Table1[[#This Row],[backers_count]])</f>
        <v>110.61538461538461</v>
      </c>
      <c r="U1134" t="str">
        <f>LEFT(Table1[[#This Row],[Category and Sub-Category]],FIND("/",Table1[[#This Row],[Category and Sub-Category]])-1)</f>
        <v>games</v>
      </c>
      <c r="V1134" t="str">
        <f>RIGHT(Table1[[#This Row],[Category and Sub-Category]],LEN(Table1[[#This Row],[Category and Sub-Category]])-FIND("/",Table1[[#This Row],[Category and Sub-Category]]))</f>
        <v>mobile games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 s="12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>((Table1[[#This Row],[deadline]]/60)/60/24)+DATE(1970,1,1)</f>
        <v>41851.407187500001</v>
      </c>
      <c r="K1135">
        <v>1404207981</v>
      </c>
      <c r="L1135" s="11">
        <f>((Table1[[#This Row],[launched_at]]/60)/60/24)+DATE(1970,1,1)</f>
        <v>41821.407187500001</v>
      </c>
      <c r="M1135">
        <f>MONTH(Table1[[#This Row],[Date Created Conversion]])</f>
        <v>7</v>
      </c>
      <c r="N1135">
        <f>YEAR(Table1[[#This Row],[Date Created Conversion]])</f>
        <v>2014</v>
      </c>
      <c r="O1135" t="b">
        <v>0</v>
      </c>
      <c r="P1135">
        <v>1</v>
      </c>
      <c r="Q1135" t="b">
        <v>0</v>
      </c>
      <c r="R1135" t="s">
        <v>8283</v>
      </c>
      <c r="S1135" s="6">
        <f>Table1[[#This Row],[pledged]]/Table1[[#This Row],[goal]]</f>
        <v>6.6666666666666671E-3</v>
      </c>
      <c r="T1135" s="8">
        <f>IF(Table1[[#This Row],[pledged]]=0,"no backers",Table1[[#This Row],[pledged]]/Table1[[#This Row],[backers_count]])</f>
        <v>20</v>
      </c>
      <c r="U1135" t="str">
        <f>LEFT(Table1[[#This Row],[Category and Sub-Category]],FIND("/",Table1[[#This Row],[Category and Sub-Category]])-1)</f>
        <v>games</v>
      </c>
      <c r="V1135" t="str">
        <f>RIGHT(Table1[[#This Row],[Category and Sub-Category]],LEN(Table1[[#This Row],[Category and Sub-Category]])-FIND("/",Table1[[#This Row],[Category and Sub-Category]]))</f>
        <v>mobile games</v>
      </c>
    </row>
    <row r="1136" spans="1:22" ht="43.2" x14ac:dyDescent="0.3">
      <c r="A1136">
        <v>1134</v>
      </c>
      <c r="B1136" s="3" t="s">
        <v>1135</v>
      </c>
      <c r="C1136" s="3" t="s">
        <v>5244</v>
      </c>
      <c r="D1136" s="12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>((Table1[[#This Row],[deadline]]/60)/60/24)+DATE(1970,1,1)</f>
        <v>41972.189583333333</v>
      </c>
      <c r="K1136">
        <v>1416034228</v>
      </c>
      <c r="L1136" s="11">
        <f>((Table1[[#This Row],[launched_at]]/60)/60/24)+DATE(1970,1,1)</f>
        <v>41958.285046296296</v>
      </c>
      <c r="M1136">
        <f>MONTH(Table1[[#This Row],[Date Created Conversion]])</f>
        <v>11</v>
      </c>
      <c r="N1136">
        <f>YEAR(Table1[[#This Row],[Date Created Conversion]])</f>
        <v>2014</v>
      </c>
      <c r="O1136" t="b">
        <v>0</v>
      </c>
      <c r="P1136">
        <v>1</v>
      </c>
      <c r="Q1136" t="b">
        <v>0</v>
      </c>
      <c r="R1136" t="s">
        <v>8283</v>
      </c>
      <c r="S1136" s="6">
        <f>Table1[[#This Row],[pledged]]/Table1[[#This Row],[goal]]</f>
        <v>4.0000000000000003E-5</v>
      </c>
      <c r="T1136" s="8">
        <f>IF(Table1[[#This Row],[pledged]]=0,"no backers",Table1[[#This Row],[pledged]]/Table1[[#This Row],[backers_count]])</f>
        <v>1</v>
      </c>
      <c r="U1136" t="str">
        <f>LEFT(Table1[[#This Row],[Category and Sub-Category]],FIND("/",Table1[[#This Row],[Category and Sub-Category]])-1)</f>
        <v>games</v>
      </c>
      <c r="V1136" t="str">
        <f>RIGHT(Table1[[#This Row],[Category and Sub-Category]],LEN(Table1[[#This Row],[Category and Sub-Category]])-FIND("/",Table1[[#This Row],[Category and Sub-Category]]))</f>
        <v>mobile games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 s="12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>((Table1[[#This Row],[deadline]]/60)/60/24)+DATE(1970,1,1)</f>
        <v>42588.989513888882</v>
      </c>
      <c r="K1137">
        <v>1467935094</v>
      </c>
      <c r="L1137" s="11">
        <f>((Table1[[#This Row],[launched_at]]/60)/60/24)+DATE(1970,1,1)</f>
        <v>42558.989513888882</v>
      </c>
      <c r="M1137">
        <f>MONTH(Table1[[#This Row],[Date Created Conversion]])</f>
        <v>7</v>
      </c>
      <c r="N1137">
        <f>YEAR(Table1[[#This Row],[Date Created Conversion]])</f>
        <v>2016</v>
      </c>
      <c r="O1137" t="b">
        <v>0</v>
      </c>
      <c r="P1137">
        <v>1</v>
      </c>
      <c r="Q1137" t="b">
        <v>0</v>
      </c>
      <c r="R1137" t="s">
        <v>8283</v>
      </c>
      <c r="S1137" s="6">
        <f>Table1[[#This Row],[pledged]]/Table1[[#This Row],[goal]]</f>
        <v>0.05</v>
      </c>
      <c r="T1137" s="8">
        <f>IF(Table1[[#This Row],[pledged]]=0,"no backers",Table1[[#This Row],[pledged]]/Table1[[#This Row],[backers_count]])</f>
        <v>50</v>
      </c>
      <c r="U1137" t="str">
        <f>LEFT(Table1[[#This Row],[Category and Sub-Category]],FIND("/",Table1[[#This Row],[Category and Sub-Category]])-1)</f>
        <v>games</v>
      </c>
      <c r="V1137" t="str">
        <f>RIGHT(Table1[[#This Row],[Category and Sub-Category]],LEN(Table1[[#This Row],[Category and Sub-Category]])-FIND("/",Table1[[#This Row],[Category and Sub-Category]]))</f>
        <v>mobile games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 s="12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>((Table1[[#This Row],[deadline]]/60)/60/24)+DATE(1970,1,1)</f>
        <v>42357.671631944439</v>
      </c>
      <c r="K1138">
        <v>1447949229</v>
      </c>
      <c r="L1138" s="11">
        <f>((Table1[[#This Row],[launched_at]]/60)/60/24)+DATE(1970,1,1)</f>
        <v>42327.671631944439</v>
      </c>
      <c r="M1138">
        <f>MONTH(Table1[[#This Row],[Date Created Conversion]])</f>
        <v>11</v>
      </c>
      <c r="N1138">
        <f>YEAR(Table1[[#This Row],[Date Created Conversion]])</f>
        <v>2015</v>
      </c>
      <c r="O1138" t="b">
        <v>0</v>
      </c>
      <c r="P1138">
        <v>6</v>
      </c>
      <c r="Q1138" t="b">
        <v>0</v>
      </c>
      <c r="R1138" t="s">
        <v>8283</v>
      </c>
      <c r="S1138" s="6">
        <f>Table1[[#This Row],[pledged]]/Table1[[#This Row],[goal]]</f>
        <v>6.4439140811455853E-2</v>
      </c>
      <c r="T1138" s="8">
        <f>IF(Table1[[#This Row],[pledged]]=0,"no backers",Table1[[#This Row],[pledged]]/Table1[[#This Row],[backers_count]])</f>
        <v>45</v>
      </c>
      <c r="U1138" t="str">
        <f>LEFT(Table1[[#This Row],[Category and Sub-Category]],FIND("/",Table1[[#This Row],[Category and Sub-Category]])-1)</f>
        <v>games</v>
      </c>
      <c r="V1138" t="str">
        <f>RIGHT(Table1[[#This Row],[Category and Sub-Category]],LEN(Table1[[#This Row],[Category and Sub-Category]])-FIND("/",Table1[[#This Row],[Category and Sub-Category]]))</f>
        <v>mobile games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 s="12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>((Table1[[#This Row],[deadline]]/60)/60/24)+DATE(1970,1,1)</f>
        <v>42483.819687499999</v>
      </c>
      <c r="K1139">
        <v>1458848421</v>
      </c>
      <c r="L1139" s="11">
        <f>((Table1[[#This Row],[launched_at]]/60)/60/24)+DATE(1970,1,1)</f>
        <v>42453.819687499999</v>
      </c>
      <c r="M1139">
        <f>MONTH(Table1[[#This Row],[Date Created Conversion]])</f>
        <v>3</v>
      </c>
      <c r="N1139">
        <f>YEAR(Table1[[#This Row],[Date Created Conversion]])</f>
        <v>2016</v>
      </c>
      <c r="O1139" t="b">
        <v>0</v>
      </c>
      <c r="P1139">
        <v>39</v>
      </c>
      <c r="Q1139" t="b">
        <v>0</v>
      </c>
      <c r="R1139" t="s">
        <v>8283</v>
      </c>
      <c r="S1139" s="6">
        <f>Table1[[#This Row],[pledged]]/Table1[[#This Row],[goal]]</f>
        <v>0.39500000000000002</v>
      </c>
      <c r="T1139" s="8">
        <f>IF(Table1[[#This Row],[pledged]]=0,"no backers",Table1[[#This Row],[pledged]]/Table1[[#This Row],[backers_count]])</f>
        <v>253.2051282051282</v>
      </c>
      <c r="U1139" t="str">
        <f>LEFT(Table1[[#This Row],[Category and Sub-Category]],FIND("/",Table1[[#This Row],[Category and Sub-Category]])-1)</f>
        <v>games</v>
      </c>
      <c r="V1139" t="str">
        <f>RIGHT(Table1[[#This Row],[Category and Sub-Category]],LEN(Table1[[#This Row],[Category and Sub-Category]])-FIND("/",Table1[[#This Row],[Category and Sub-Category]]))</f>
        <v>mobile games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 s="12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>((Table1[[#This Row],[deadline]]/60)/60/24)+DATE(1970,1,1)</f>
        <v>42756.9066087963</v>
      </c>
      <c r="K1140">
        <v>1483307131</v>
      </c>
      <c r="L1140" s="11">
        <f>((Table1[[#This Row],[launched_at]]/60)/60/24)+DATE(1970,1,1)</f>
        <v>42736.9066087963</v>
      </c>
      <c r="M1140">
        <f>MONTH(Table1[[#This Row],[Date Created Conversion]])</f>
        <v>1</v>
      </c>
      <c r="N1140">
        <f>YEAR(Table1[[#This Row],[Date Created Conversion]])</f>
        <v>2017</v>
      </c>
      <c r="O1140" t="b">
        <v>0</v>
      </c>
      <c r="P1140">
        <v>4</v>
      </c>
      <c r="Q1140" t="b">
        <v>0</v>
      </c>
      <c r="R1140" t="s">
        <v>8283</v>
      </c>
      <c r="S1140" s="6">
        <f>Table1[[#This Row],[pledged]]/Table1[[#This Row],[goal]]</f>
        <v>3.5714285714285713E-3</v>
      </c>
      <c r="T1140" s="8">
        <f>IF(Table1[[#This Row],[pledged]]=0,"no backers",Table1[[#This Row],[pledged]]/Table1[[#This Row],[backers_count]])</f>
        <v>31.25</v>
      </c>
      <c r="U1140" t="str">
        <f>LEFT(Table1[[#This Row],[Category and Sub-Category]],FIND("/",Table1[[#This Row],[Category and Sub-Category]])-1)</f>
        <v>games</v>
      </c>
      <c r="V1140" t="str">
        <f>RIGHT(Table1[[#This Row],[Category and Sub-Category]],LEN(Table1[[#This Row],[Category and Sub-Category]])-FIND("/",Table1[[#This Row],[Category and Sub-Category]]))</f>
        <v>mobile games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 s="12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>((Table1[[#This Row],[deadline]]/60)/60/24)+DATE(1970,1,1)</f>
        <v>42005.347523148142</v>
      </c>
      <c r="K1141">
        <v>1417508426</v>
      </c>
      <c r="L1141" s="11">
        <f>((Table1[[#This Row],[launched_at]]/60)/60/24)+DATE(1970,1,1)</f>
        <v>41975.347523148142</v>
      </c>
      <c r="M1141">
        <f>MONTH(Table1[[#This Row],[Date Created Conversion]])</f>
        <v>12</v>
      </c>
      <c r="N1141">
        <f>YEAR(Table1[[#This Row],[Date Created Conversion]])</f>
        <v>2014</v>
      </c>
      <c r="O1141" t="b">
        <v>0</v>
      </c>
      <c r="P1141">
        <v>1</v>
      </c>
      <c r="Q1141" t="b">
        <v>0</v>
      </c>
      <c r="R1141" t="s">
        <v>8283</v>
      </c>
      <c r="S1141" s="6">
        <f>Table1[[#This Row],[pledged]]/Table1[[#This Row],[goal]]</f>
        <v>6.2500000000000001E-4</v>
      </c>
      <c r="T1141" s="8">
        <f>IF(Table1[[#This Row],[pledged]]=0,"no backers",Table1[[#This Row],[pledged]]/Table1[[#This Row],[backers_count]])</f>
        <v>5</v>
      </c>
      <c r="U1141" t="str">
        <f>LEFT(Table1[[#This Row],[Category and Sub-Category]],FIND("/",Table1[[#This Row],[Category and Sub-Category]])-1)</f>
        <v>games</v>
      </c>
      <c r="V1141" t="str">
        <f>RIGHT(Table1[[#This Row],[Category and Sub-Category]],LEN(Table1[[#This Row],[Category and Sub-Category]])-FIND("/",Table1[[#This Row],[Category and Sub-Category]]))</f>
        <v>mobile games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 s="1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>((Table1[[#This Row],[deadline]]/60)/60/24)+DATE(1970,1,1)</f>
        <v>42222.462048611109</v>
      </c>
      <c r="K1142">
        <v>1436267121</v>
      </c>
      <c r="L1142" s="11">
        <f>((Table1[[#This Row],[launched_at]]/60)/60/24)+DATE(1970,1,1)</f>
        <v>42192.462048611109</v>
      </c>
      <c r="M1142">
        <f>MONTH(Table1[[#This Row],[Date Created Conversion]])</f>
        <v>7</v>
      </c>
      <c r="N1142">
        <f>YEAR(Table1[[#This Row],[Date Created Conversion]])</f>
        <v>2015</v>
      </c>
      <c r="O1142" t="b">
        <v>0</v>
      </c>
      <c r="P1142">
        <v>0</v>
      </c>
      <c r="Q1142" t="b">
        <v>0</v>
      </c>
      <c r="R1142" t="s">
        <v>8283</v>
      </c>
      <c r="S1142" s="6">
        <f>Table1[[#This Row],[pledged]]/Table1[[#This Row],[goal]]</f>
        <v>0</v>
      </c>
      <c r="T1142" s="8" t="str">
        <f>IF(Table1[[#This Row],[pledged]]=0,"no backers",Table1[[#This Row],[pledged]]/Table1[[#This Row],[backers_count]])</f>
        <v>no backers</v>
      </c>
      <c r="U1142" t="str">
        <f>LEFT(Table1[[#This Row],[Category and Sub-Category]],FIND("/",Table1[[#This Row],[Category and Sub-Category]])-1)</f>
        <v>games</v>
      </c>
      <c r="V1142" t="str">
        <f>RIGHT(Table1[[#This Row],[Category and Sub-Category]],LEN(Table1[[#This Row],[Category and Sub-Category]])-FIND("/",Table1[[#This Row],[Category and Sub-Category]]))</f>
        <v>mobile games</v>
      </c>
    </row>
    <row r="1143" spans="1:22" x14ac:dyDescent="0.3">
      <c r="A1143">
        <v>1141</v>
      </c>
      <c r="B1143" s="3" t="s">
        <v>1142</v>
      </c>
      <c r="C1143" s="3" t="s">
        <v>5251</v>
      </c>
      <c r="D1143" s="12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>((Table1[[#This Row],[deadline]]/60)/60/24)+DATE(1970,1,1)</f>
        <v>42194.699652777781</v>
      </c>
      <c r="K1143">
        <v>1433868450</v>
      </c>
      <c r="L1143" s="11">
        <f>((Table1[[#This Row],[launched_at]]/60)/60/24)+DATE(1970,1,1)</f>
        <v>42164.699652777781</v>
      </c>
      <c r="M1143">
        <f>MONTH(Table1[[#This Row],[Date Created Conversion]])</f>
        <v>6</v>
      </c>
      <c r="N1143">
        <f>YEAR(Table1[[#This Row],[Date Created Conversion]])</f>
        <v>2015</v>
      </c>
      <c r="O1143" t="b">
        <v>0</v>
      </c>
      <c r="P1143">
        <v>0</v>
      </c>
      <c r="Q1143" t="b">
        <v>0</v>
      </c>
      <c r="R1143" t="s">
        <v>8283</v>
      </c>
      <c r="S1143" s="6">
        <f>Table1[[#This Row],[pledged]]/Table1[[#This Row],[goal]]</f>
        <v>0</v>
      </c>
      <c r="T1143" s="8" t="str">
        <f>IF(Table1[[#This Row],[pledged]]=0,"no backers",Table1[[#This Row],[pledged]]/Table1[[#This Row],[backers_count]])</f>
        <v>no backers</v>
      </c>
      <c r="U1143" t="str">
        <f>LEFT(Table1[[#This Row],[Category and Sub-Category]],FIND("/",Table1[[#This Row],[Category and Sub-Category]])-1)</f>
        <v>games</v>
      </c>
      <c r="V1143" t="str">
        <f>RIGHT(Table1[[#This Row],[Category and Sub-Category]],LEN(Table1[[#This Row],[Category and Sub-Category]])-FIND("/",Table1[[#This Row],[Category and Sub-Category]]))</f>
        <v>mobile games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 s="12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>((Table1[[#This Row],[deadline]]/60)/60/24)+DATE(1970,1,1)</f>
        <v>42052.006099537044</v>
      </c>
      <c r="K1144">
        <v>1421539727</v>
      </c>
      <c r="L1144" s="11">
        <f>((Table1[[#This Row],[launched_at]]/60)/60/24)+DATE(1970,1,1)</f>
        <v>42022.006099537044</v>
      </c>
      <c r="M1144">
        <f>MONTH(Table1[[#This Row],[Date Created Conversion]])</f>
        <v>1</v>
      </c>
      <c r="N1144">
        <f>YEAR(Table1[[#This Row],[Date Created Conversion]])</f>
        <v>2015</v>
      </c>
      <c r="O1144" t="b">
        <v>0</v>
      </c>
      <c r="P1144">
        <v>0</v>
      </c>
      <c r="Q1144" t="b">
        <v>0</v>
      </c>
      <c r="R1144" t="s">
        <v>8283</v>
      </c>
      <c r="S1144" s="6">
        <f>Table1[[#This Row],[pledged]]/Table1[[#This Row],[goal]]</f>
        <v>0</v>
      </c>
      <c r="T1144" s="8" t="str">
        <f>IF(Table1[[#This Row],[pledged]]=0,"no backers",Table1[[#This Row],[pledged]]/Table1[[#This Row],[backers_count]])</f>
        <v>no backers</v>
      </c>
      <c r="U1144" t="str">
        <f>LEFT(Table1[[#This Row],[Category and Sub-Category]],FIND("/",Table1[[#This Row],[Category and Sub-Category]])-1)</f>
        <v>games</v>
      </c>
      <c r="V1144" t="str">
        <f>RIGHT(Table1[[#This Row],[Category and Sub-Category]],LEN(Table1[[#This Row],[Category and Sub-Category]])-FIND("/",Table1[[#This Row],[Category and Sub-Category]]))</f>
        <v>mobile games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 s="12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>((Table1[[#This Row],[deadline]]/60)/60/24)+DATE(1970,1,1)</f>
        <v>42355.19358796296</v>
      </c>
      <c r="K1145">
        <v>1447735126</v>
      </c>
      <c r="L1145" s="11">
        <f>((Table1[[#This Row],[launched_at]]/60)/60/24)+DATE(1970,1,1)</f>
        <v>42325.19358796296</v>
      </c>
      <c r="M1145">
        <f>MONTH(Table1[[#This Row],[Date Created Conversion]])</f>
        <v>11</v>
      </c>
      <c r="N1145">
        <f>YEAR(Table1[[#This Row],[Date Created Conversion]])</f>
        <v>2015</v>
      </c>
      <c r="O1145" t="b">
        <v>0</v>
      </c>
      <c r="P1145">
        <v>8</v>
      </c>
      <c r="Q1145" t="b">
        <v>0</v>
      </c>
      <c r="R1145" t="s">
        <v>8283</v>
      </c>
      <c r="S1145" s="6">
        <f>Table1[[#This Row],[pledged]]/Table1[[#This Row],[goal]]</f>
        <v>4.1333333333333335E-3</v>
      </c>
      <c r="T1145" s="8">
        <f>IF(Table1[[#This Row],[pledged]]=0,"no backers",Table1[[#This Row],[pledged]]/Table1[[#This Row],[backers_count]])</f>
        <v>23.25</v>
      </c>
      <c r="U1145" t="str">
        <f>LEFT(Table1[[#This Row],[Category and Sub-Category]],FIND("/",Table1[[#This Row],[Category and Sub-Category]])-1)</f>
        <v>games</v>
      </c>
      <c r="V1145" t="str">
        <f>RIGHT(Table1[[#This Row],[Category and Sub-Category]],LEN(Table1[[#This Row],[Category and Sub-Category]])-FIND("/",Table1[[#This Row],[Category and Sub-Category]]))</f>
        <v>mobile games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 s="12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>((Table1[[#This Row],[deadline]]/60)/60/24)+DATE(1970,1,1)</f>
        <v>42123.181944444441</v>
      </c>
      <c r="K1146">
        <v>1427689320</v>
      </c>
      <c r="L1146" s="11">
        <f>((Table1[[#This Row],[launched_at]]/60)/60/24)+DATE(1970,1,1)</f>
        <v>42093.181944444441</v>
      </c>
      <c r="M1146">
        <f>MONTH(Table1[[#This Row],[Date Created Conversion]])</f>
        <v>3</v>
      </c>
      <c r="N1146">
        <f>YEAR(Table1[[#This Row],[Date Created Conversion]])</f>
        <v>2015</v>
      </c>
      <c r="O1146" t="b">
        <v>0</v>
      </c>
      <c r="P1146">
        <v>0</v>
      </c>
      <c r="Q1146" t="b">
        <v>0</v>
      </c>
      <c r="R1146" t="s">
        <v>8284</v>
      </c>
      <c r="S1146" s="6">
        <f>Table1[[#This Row],[pledged]]/Table1[[#This Row],[goal]]</f>
        <v>0</v>
      </c>
      <c r="T1146" s="8" t="str">
        <f>IF(Table1[[#This Row],[pledged]]=0,"no backers",Table1[[#This Row],[pledged]]/Table1[[#This Row],[backers_count]])</f>
        <v>no backers</v>
      </c>
      <c r="U1146" t="str">
        <f>LEFT(Table1[[#This Row],[Category and Sub-Category]],FIND("/",Table1[[#This Row],[Category and Sub-Category]])-1)</f>
        <v>food</v>
      </c>
      <c r="V1146" t="str">
        <f>RIGHT(Table1[[#This Row],[Category and Sub-Category]],LEN(Table1[[#This Row],[Category and Sub-Category]])-FIND("/",Table1[[#This Row],[Category and Sub-Category]]))</f>
        <v>food trucks</v>
      </c>
    </row>
    <row r="1147" spans="1:22" ht="43.2" x14ac:dyDescent="0.3">
      <c r="A1147">
        <v>1145</v>
      </c>
      <c r="B1147" s="3" t="s">
        <v>1146</v>
      </c>
      <c r="C1147" s="3" t="s">
        <v>5255</v>
      </c>
      <c r="D1147" s="12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>((Table1[[#This Row],[deadline]]/60)/60/24)+DATE(1970,1,1)</f>
        <v>41914.747592592597</v>
      </c>
      <c r="K1147">
        <v>1407088592</v>
      </c>
      <c r="L1147" s="11">
        <f>((Table1[[#This Row],[launched_at]]/60)/60/24)+DATE(1970,1,1)</f>
        <v>41854.747592592597</v>
      </c>
      <c r="M1147">
        <f>MONTH(Table1[[#This Row],[Date Created Conversion]])</f>
        <v>8</v>
      </c>
      <c r="N1147">
        <f>YEAR(Table1[[#This Row],[Date Created Conversion]])</f>
        <v>2014</v>
      </c>
      <c r="O1147" t="b">
        <v>0</v>
      </c>
      <c r="P1147">
        <v>1</v>
      </c>
      <c r="Q1147" t="b">
        <v>0</v>
      </c>
      <c r="R1147" t="s">
        <v>8284</v>
      </c>
      <c r="S1147" s="6">
        <f>Table1[[#This Row],[pledged]]/Table1[[#This Row],[goal]]</f>
        <v>1.25E-3</v>
      </c>
      <c r="T1147" s="8">
        <f>IF(Table1[[#This Row],[pledged]]=0,"no backers",Table1[[#This Row],[pledged]]/Table1[[#This Row],[backers_count]])</f>
        <v>100</v>
      </c>
      <c r="U1147" t="str">
        <f>LEFT(Table1[[#This Row],[Category and Sub-Category]],FIND("/",Table1[[#This Row],[Category and Sub-Category]])-1)</f>
        <v>food</v>
      </c>
      <c r="V1147" t="str">
        <f>RIGHT(Table1[[#This Row],[Category and Sub-Category]],LEN(Table1[[#This Row],[Category and Sub-Category]])-FIND("/",Table1[[#This Row],[Category and Sub-Category]]))</f>
        <v>food trucks</v>
      </c>
    </row>
    <row r="1148" spans="1:22" ht="43.2" x14ac:dyDescent="0.3">
      <c r="A1148">
        <v>1146</v>
      </c>
      <c r="B1148" s="3" t="s">
        <v>1147</v>
      </c>
      <c r="C1148" s="3" t="s">
        <v>5256</v>
      </c>
      <c r="D1148" s="12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>((Table1[[#This Row],[deadline]]/60)/60/24)+DATE(1970,1,1)</f>
        <v>41761.9533912037</v>
      </c>
      <c r="K1148">
        <v>1395787973</v>
      </c>
      <c r="L1148" s="11">
        <f>((Table1[[#This Row],[launched_at]]/60)/60/24)+DATE(1970,1,1)</f>
        <v>41723.9533912037</v>
      </c>
      <c r="M1148">
        <f>MONTH(Table1[[#This Row],[Date Created Conversion]])</f>
        <v>3</v>
      </c>
      <c r="N1148">
        <f>YEAR(Table1[[#This Row],[Date Created Conversion]])</f>
        <v>2014</v>
      </c>
      <c r="O1148" t="b">
        <v>0</v>
      </c>
      <c r="P1148">
        <v>12</v>
      </c>
      <c r="Q1148" t="b">
        <v>0</v>
      </c>
      <c r="R1148" t="s">
        <v>8284</v>
      </c>
      <c r="S1148" s="6">
        <f>Table1[[#This Row],[pledged]]/Table1[[#This Row],[goal]]</f>
        <v>8.8333333333333333E-2</v>
      </c>
      <c r="T1148" s="8">
        <f>IF(Table1[[#This Row],[pledged]]=0,"no backers",Table1[[#This Row],[pledged]]/Table1[[#This Row],[backers_count]])</f>
        <v>44.166666666666664</v>
      </c>
      <c r="U1148" t="str">
        <f>LEFT(Table1[[#This Row],[Category and Sub-Category]],FIND("/",Table1[[#This Row],[Category and Sub-Category]])-1)</f>
        <v>food</v>
      </c>
      <c r="V1148" t="str">
        <f>RIGHT(Table1[[#This Row],[Category and Sub-Category]],LEN(Table1[[#This Row],[Category and Sub-Category]])-FIND("/",Table1[[#This Row],[Category and Sub-Category]]))</f>
        <v>food trucks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 s="12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>((Table1[[#This Row],[deadline]]/60)/60/24)+DATE(1970,1,1)</f>
        <v>41931.972025462965</v>
      </c>
      <c r="K1149">
        <v>1408576783</v>
      </c>
      <c r="L1149" s="11">
        <f>((Table1[[#This Row],[launched_at]]/60)/60/24)+DATE(1970,1,1)</f>
        <v>41871.972025462965</v>
      </c>
      <c r="M1149">
        <f>MONTH(Table1[[#This Row],[Date Created Conversion]])</f>
        <v>8</v>
      </c>
      <c r="N1149">
        <f>YEAR(Table1[[#This Row],[Date Created Conversion]])</f>
        <v>2014</v>
      </c>
      <c r="O1149" t="b">
        <v>0</v>
      </c>
      <c r="P1149">
        <v>0</v>
      </c>
      <c r="Q1149" t="b">
        <v>0</v>
      </c>
      <c r="R1149" t="s">
        <v>8284</v>
      </c>
      <c r="S1149" s="6">
        <f>Table1[[#This Row],[pledged]]/Table1[[#This Row],[goal]]</f>
        <v>0</v>
      </c>
      <c r="T1149" s="8" t="str">
        <f>IF(Table1[[#This Row],[pledged]]=0,"no backers",Table1[[#This Row],[pledged]]/Table1[[#This Row],[backers_count]])</f>
        <v>no backers</v>
      </c>
      <c r="U1149" t="str">
        <f>LEFT(Table1[[#This Row],[Category and Sub-Category]],FIND("/",Table1[[#This Row],[Category and Sub-Category]])-1)</f>
        <v>food</v>
      </c>
      <c r="V1149" t="str">
        <f>RIGHT(Table1[[#This Row],[Category and Sub-Category]],LEN(Table1[[#This Row],[Category and Sub-Category]])-FIND("/",Table1[[#This Row],[Category and Sub-Category]]))</f>
        <v>food trucks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 s="12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>((Table1[[#This Row],[deadline]]/60)/60/24)+DATE(1970,1,1)</f>
        <v>42705.212743055556</v>
      </c>
      <c r="K1150">
        <v>1477973181</v>
      </c>
      <c r="L1150" s="11">
        <f>((Table1[[#This Row],[launched_at]]/60)/60/24)+DATE(1970,1,1)</f>
        <v>42675.171076388884</v>
      </c>
      <c r="M1150">
        <f>MONTH(Table1[[#This Row],[Date Created Conversion]])</f>
        <v>11</v>
      </c>
      <c r="N1150">
        <f>YEAR(Table1[[#This Row],[Date Created Conversion]])</f>
        <v>2016</v>
      </c>
      <c r="O1150" t="b">
        <v>0</v>
      </c>
      <c r="P1150">
        <v>3</v>
      </c>
      <c r="Q1150" t="b">
        <v>0</v>
      </c>
      <c r="R1150" t="s">
        <v>8284</v>
      </c>
      <c r="S1150" s="6">
        <f>Table1[[#This Row],[pledged]]/Table1[[#This Row],[goal]]</f>
        <v>4.8666666666666667E-3</v>
      </c>
      <c r="T1150" s="8">
        <f>IF(Table1[[#This Row],[pledged]]=0,"no backers",Table1[[#This Row],[pledged]]/Table1[[#This Row],[backers_count]])</f>
        <v>24.333333333333332</v>
      </c>
      <c r="U1150" t="str">
        <f>LEFT(Table1[[#This Row],[Category and Sub-Category]],FIND("/",Table1[[#This Row],[Category and Sub-Category]])-1)</f>
        <v>food</v>
      </c>
      <c r="V1150" t="str">
        <f>RIGHT(Table1[[#This Row],[Category and Sub-Category]],LEN(Table1[[#This Row],[Category and Sub-Category]])-FIND("/",Table1[[#This Row],[Category and Sub-Category]]))</f>
        <v>food trucks</v>
      </c>
    </row>
    <row r="1151" spans="1:22" ht="28.8" x14ac:dyDescent="0.3">
      <c r="A1151">
        <v>1149</v>
      </c>
      <c r="B1151" s="3" t="s">
        <v>1150</v>
      </c>
      <c r="C1151" s="3" t="s">
        <v>5259</v>
      </c>
      <c r="D1151" s="12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>((Table1[[#This Row],[deadline]]/60)/60/24)+DATE(1970,1,1)</f>
        <v>42537.71025462963</v>
      </c>
      <c r="K1151">
        <v>1463504566</v>
      </c>
      <c r="L1151" s="11">
        <f>((Table1[[#This Row],[launched_at]]/60)/60/24)+DATE(1970,1,1)</f>
        <v>42507.71025462963</v>
      </c>
      <c r="M1151">
        <f>MONTH(Table1[[#This Row],[Date Created Conversion]])</f>
        <v>5</v>
      </c>
      <c r="N1151">
        <f>YEAR(Table1[[#This Row],[Date Created Conversion]])</f>
        <v>2016</v>
      </c>
      <c r="O1151" t="b">
        <v>0</v>
      </c>
      <c r="P1151">
        <v>2</v>
      </c>
      <c r="Q1151" t="b">
        <v>0</v>
      </c>
      <c r="R1151" t="s">
        <v>8284</v>
      </c>
      <c r="S1151" s="6">
        <f>Table1[[#This Row],[pledged]]/Table1[[#This Row],[goal]]</f>
        <v>1.5E-3</v>
      </c>
      <c r="T1151" s="8">
        <f>IF(Table1[[#This Row],[pledged]]=0,"no backers",Table1[[#This Row],[pledged]]/Table1[[#This Row],[backers_count]])</f>
        <v>37.5</v>
      </c>
      <c r="U1151" t="str">
        <f>LEFT(Table1[[#This Row],[Category and Sub-Category]],FIND("/",Table1[[#This Row],[Category and Sub-Category]])-1)</f>
        <v>food</v>
      </c>
      <c r="V1151" t="str">
        <f>RIGHT(Table1[[#This Row],[Category and Sub-Category]],LEN(Table1[[#This Row],[Category and Sub-Category]])-FIND("/",Table1[[#This Row],[Category and Sub-Category]]))</f>
        <v>food trucks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 s="1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>((Table1[[#This Row],[deadline]]/60)/60/24)+DATE(1970,1,1)</f>
        <v>42377.954571759255</v>
      </c>
      <c r="K1152">
        <v>1447109675</v>
      </c>
      <c r="L1152" s="11">
        <f>((Table1[[#This Row],[launched_at]]/60)/60/24)+DATE(1970,1,1)</f>
        <v>42317.954571759255</v>
      </c>
      <c r="M1152">
        <f>MONTH(Table1[[#This Row],[Date Created Conversion]])</f>
        <v>11</v>
      </c>
      <c r="N1152">
        <f>YEAR(Table1[[#This Row],[Date Created Conversion]])</f>
        <v>2015</v>
      </c>
      <c r="O1152" t="b">
        <v>0</v>
      </c>
      <c r="P1152">
        <v>6</v>
      </c>
      <c r="Q1152" t="b">
        <v>0</v>
      </c>
      <c r="R1152" t="s">
        <v>8284</v>
      </c>
      <c r="S1152" s="6">
        <f>Table1[[#This Row],[pledged]]/Table1[[#This Row],[goal]]</f>
        <v>0.1008</v>
      </c>
      <c r="T1152" s="8">
        <f>IF(Table1[[#This Row],[pledged]]=0,"no backers",Table1[[#This Row],[pledged]]/Table1[[#This Row],[backers_count]])</f>
        <v>42</v>
      </c>
      <c r="U1152" t="str">
        <f>LEFT(Table1[[#This Row],[Category and Sub-Category]],FIND("/",Table1[[#This Row],[Category and Sub-Category]])-1)</f>
        <v>food</v>
      </c>
      <c r="V1152" t="str">
        <f>RIGHT(Table1[[#This Row],[Category and Sub-Category]],LEN(Table1[[#This Row],[Category and Sub-Category]])-FIND("/",Table1[[#This Row],[Category and Sub-Category]]))</f>
        <v>food trucks</v>
      </c>
    </row>
    <row r="1153" spans="1:22" ht="57.6" x14ac:dyDescent="0.3">
      <c r="A1153">
        <v>1151</v>
      </c>
      <c r="B1153" s="3" t="s">
        <v>1152</v>
      </c>
      <c r="C1153" s="3" t="s">
        <v>5261</v>
      </c>
      <c r="D1153" s="12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>((Table1[[#This Row],[deadline]]/60)/60/24)+DATE(1970,1,1)</f>
        <v>42254.102581018517</v>
      </c>
      <c r="K1153">
        <v>1439000863</v>
      </c>
      <c r="L1153" s="11">
        <f>((Table1[[#This Row],[launched_at]]/60)/60/24)+DATE(1970,1,1)</f>
        <v>42224.102581018517</v>
      </c>
      <c r="M1153">
        <f>MONTH(Table1[[#This Row],[Date Created Conversion]])</f>
        <v>8</v>
      </c>
      <c r="N1153">
        <f>YEAR(Table1[[#This Row],[Date Created Conversion]])</f>
        <v>2015</v>
      </c>
      <c r="O1153" t="b">
        <v>0</v>
      </c>
      <c r="P1153">
        <v>0</v>
      </c>
      <c r="Q1153" t="b">
        <v>0</v>
      </c>
      <c r="R1153" t="s">
        <v>8284</v>
      </c>
      <c r="S1153" s="6">
        <f>Table1[[#This Row],[pledged]]/Table1[[#This Row],[goal]]</f>
        <v>0</v>
      </c>
      <c r="T1153" s="8" t="str">
        <f>IF(Table1[[#This Row],[pledged]]=0,"no backers",Table1[[#This Row],[pledged]]/Table1[[#This Row],[backers_count]])</f>
        <v>no backers</v>
      </c>
      <c r="U1153" t="str">
        <f>LEFT(Table1[[#This Row],[Category and Sub-Category]],FIND("/",Table1[[#This Row],[Category and Sub-Category]])-1)</f>
        <v>food</v>
      </c>
      <c r="V1153" t="str">
        <f>RIGHT(Table1[[#This Row],[Category and Sub-Category]],LEN(Table1[[#This Row],[Category and Sub-Category]])-FIND("/",Table1[[#This Row],[Category and Sub-Category]]))</f>
        <v>food trucks</v>
      </c>
    </row>
    <row r="1154" spans="1:22" x14ac:dyDescent="0.3">
      <c r="A1154">
        <v>1152</v>
      </c>
      <c r="B1154" s="3" t="s">
        <v>1153</v>
      </c>
      <c r="C1154" s="3" t="s">
        <v>5262</v>
      </c>
      <c r="D1154" s="12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>((Table1[[#This Row],[deadline]]/60)/60/24)+DATE(1970,1,1)</f>
        <v>42139.709629629629</v>
      </c>
      <c r="K1154">
        <v>1429117312</v>
      </c>
      <c r="L1154" s="11">
        <f>((Table1[[#This Row],[launched_at]]/60)/60/24)+DATE(1970,1,1)</f>
        <v>42109.709629629629</v>
      </c>
      <c r="M1154">
        <f>MONTH(Table1[[#This Row],[Date Created Conversion]])</f>
        <v>4</v>
      </c>
      <c r="N1154">
        <f>YEAR(Table1[[#This Row],[Date Created Conversion]])</f>
        <v>2015</v>
      </c>
      <c r="O1154" t="b">
        <v>0</v>
      </c>
      <c r="P1154">
        <v>15</v>
      </c>
      <c r="Q1154" t="b">
        <v>0</v>
      </c>
      <c r="R1154" t="s">
        <v>8284</v>
      </c>
      <c r="S1154" s="6">
        <f>Table1[[#This Row],[pledged]]/Table1[[#This Row],[goal]]</f>
        <v>5.6937500000000002E-2</v>
      </c>
      <c r="T1154" s="8">
        <f>IF(Table1[[#This Row],[pledged]]=0,"no backers",Table1[[#This Row],[pledged]]/Table1[[#This Row],[backers_count]])</f>
        <v>60.733333333333334</v>
      </c>
      <c r="U1154" t="str">
        <f>LEFT(Table1[[#This Row],[Category and Sub-Category]],FIND("/",Table1[[#This Row],[Category and Sub-Category]])-1)</f>
        <v>food</v>
      </c>
      <c r="V1154" t="str">
        <f>RIGHT(Table1[[#This Row],[Category and Sub-Category]],LEN(Table1[[#This Row],[Category and Sub-Category]])-FIND("/",Table1[[#This Row],[Category and Sub-Category]]))</f>
        <v>food trucks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 s="12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>((Table1[[#This Row],[deadline]]/60)/60/24)+DATE(1970,1,1)</f>
        <v>42173.714178240742</v>
      </c>
      <c r="K1155">
        <v>1432055305</v>
      </c>
      <c r="L1155" s="11">
        <f>((Table1[[#This Row],[launched_at]]/60)/60/24)+DATE(1970,1,1)</f>
        <v>42143.714178240742</v>
      </c>
      <c r="M1155">
        <f>MONTH(Table1[[#This Row],[Date Created Conversion]])</f>
        <v>5</v>
      </c>
      <c r="N1155">
        <f>YEAR(Table1[[#This Row],[Date Created Conversion]])</f>
        <v>2015</v>
      </c>
      <c r="O1155" t="b">
        <v>0</v>
      </c>
      <c r="P1155">
        <v>1</v>
      </c>
      <c r="Q1155" t="b">
        <v>0</v>
      </c>
      <c r="R1155" t="s">
        <v>8284</v>
      </c>
      <c r="S1155" s="6">
        <f>Table1[[#This Row],[pledged]]/Table1[[#This Row],[goal]]</f>
        <v>6.2500000000000003E-3</v>
      </c>
      <c r="T1155" s="8">
        <f>IF(Table1[[#This Row],[pledged]]=0,"no backers",Table1[[#This Row],[pledged]]/Table1[[#This Row],[backers_count]])</f>
        <v>50</v>
      </c>
      <c r="U1155" t="str">
        <f>LEFT(Table1[[#This Row],[Category and Sub-Category]],FIND("/",Table1[[#This Row],[Category and Sub-Category]])-1)</f>
        <v>food</v>
      </c>
      <c r="V1155" t="str">
        <f>RIGHT(Table1[[#This Row],[Category and Sub-Category]],LEN(Table1[[#This Row],[Category and Sub-Category]])-FIND("/",Table1[[#This Row],[Category and Sub-Category]]))</f>
        <v>food trucks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 s="12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>((Table1[[#This Row],[deadline]]/60)/60/24)+DATE(1970,1,1)</f>
        <v>42253.108865740738</v>
      </c>
      <c r="K1156">
        <v>1438915006</v>
      </c>
      <c r="L1156" s="11">
        <f>((Table1[[#This Row],[launched_at]]/60)/60/24)+DATE(1970,1,1)</f>
        <v>42223.108865740738</v>
      </c>
      <c r="M1156">
        <f>MONTH(Table1[[#This Row],[Date Created Conversion]])</f>
        <v>8</v>
      </c>
      <c r="N1156">
        <f>YEAR(Table1[[#This Row],[Date Created Conversion]])</f>
        <v>2015</v>
      </c>
      <c r="O1156" t="b">
        <v>0</v>
      </c>
      <c r="P1156">
        <v>3</v>
      </c>
      <c r="Q1156" t="b">
        <v>0</v>
      </c>
      <c r="R1156" t="s">
        <v>8284</v>
      </c>
      <c r="S1156" s="6">
        <f>Table1[[#This Row],[pledged]]/Table1[[#This Row],[goal]]</f>
        <v>6.5000000000000002E-2</v>
      </c>
      <c r="T1156" s="8">
        <f>IF(Table1[[#This Row],[pledged]]=0,"no backers",Table1[[#This Row],[pledged]]/Table1[[#This Row],[backers_count]])</f>
        <v>108.33333333333333</v>
      </c>
      <c r="U1156" t="str">
        <f>LEFT(Table1[[#This Row],[Category and Sub-Category]],FIND("/",Table1[[#This Row],[Category and Sub-Category]])-1)</f>
        <v>food</v>
      </c>
      <c r="V1156" t="str">
        <f>RIGHT(Table1[[#This Row],[Category and Sub-Category]],LEN(Table1[[#This Row],[Category and Sub-Category]])-FIND("/",Table1[[#This Row],[Category and Sub-Category]]))</f>
        <v>food trucks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 s="12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>((Table1[[#This Row],[deadline]]/60)/60/24)+DATE(1970,1,1)</f>
        <v>41865.763981481483</v>
      </c>
      <c r="K1157">
        <v>1405448408</v>
      </c>
      <c r="L1157" s="11">
        <f>((Table1[[#This Row],[launched_at]]/60)/60/24)+DATE(1970,1,1)</f>
        <v>41835.763981481483</v>
      </c>
      <c r="M1157">
        <f>MONTH(Table1[[#This Row],[Date Created Conversion]])</f>
        <v>7</v>
      </c>
      <c r="N1157">
        <f>YEAR(Table1[[#This Row],[Date Created Conversion]])</f>
        <v>2014</v>
      </c>
      <c r="O1157" t="b">
        <v>0</v>
      </c>
      <c r="P1157">
        <v>8</v>
      </c>
      <c r="Q1157" t="b">
        <v>0</v>
      </c>
      <c r="R1157" t="s">
        <v>8284</v>
      </c>
      <c r="S1157" s="6">
        <f>Table1[[#This Row],[pledged]]/Table1[[#This Row],[goal]]</f>
        <v>7.5199999999999998E-3</v>
      </c>
      <c r="T1157" s="8">
        <f>IF(Table1[[#This Row],[pledged]]=0,"no backers",Table1[[#This Row],[pledged]]/Table1[[#This Row],[backers_count]])</f>
        <v>23.5</v>
      </c>
      <c r="U1157" t="str">
        <f>LEFT(Table1[[#This Row],[Category and Sub-Category]],FIND("/",Table1[[#This Row],[Category and Sub-Category]])-1)</f>
        <v>food</v>
      </c>
      <c r="V1157" t="str">
        <f>RIGHT(Table1[[#This Row],[Category and Sub-Category]],LEN(Table1[[#This Row],[Category and Sub-Category]])-FIND("/",Table1[[#This Row],[Category and Sub-Category]]))</f>
        <v>food trucks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 s="12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>((Table1[[#This Row],[deadline]]/60)/60/24)+DATE(1970,1,1)</f>
        <v>42059.07131944444</v>
      </c>
      <c r="K1158">
        <v>1422150162</v>
      </c>
      <c r="L1158" s="11">
        <f>((Table1[[#This Row],[launched_at]]/60)/60/24)+DATE(1970,1,1)</f>
        <v>42029.07131944444</v>
      </c>
      <c r="M1158">
        <f>MONTH(Table1[[#This Row],[Date Created Conversion]])</f>
        <v>1</v>
      </c>
      <c r="N1158">
        <f>YEAR(Table1[[#This Row],[Date Created Conversion]])</f>
        <v>2015</v>
      </c>
      <c r="O1158" t="b">
        <v>0</v>
      </c>
      <c r="P1158">
        <v>0</v>
      </c>
      <c r="Q1158" t="b">
        <v>0</v>
      </c>
      <c r="R1158" t="s">
        <v>8284</v>
      </c>
      <c r="S1158" s="6">
        <f>Table1[[#This Row],[pledged]]/Table1[[#This Row],[goal]]</f>
        <v>0</v>
      </c>
      <c r="T1158" s="8" t="str">
        <f>IF(Table1[[#This Row],[pledged]]=0,"no backers",Table1[[#This Row],[pledged]]/Table1[[#This Row],[backers_count]])</f>
        <v>no backers</v>
      </c>
      <c r="U1158" t="str">
        <f>LEFT(Table1[[#This Row],[Category and Sub-Category]],FIND("/",Table1[[#This Row],[Category and Sub-Category]])-1)</f>
        <v>food</v>
      </c>
      <c r="V1158" t="str">
        <f>RIGHT(Table1[[#This Row],[Category and Sub-Category]],LEN(Table1[[#This Row],[Category and Sub-Category]])-FIND("/",Table1[[#This Row],[Category and Sub-Category]]))</f>
        <v>food trucks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 s="12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>((Table1[[#This Row],[deadline]]/60)/60/24)+DATE(1970,1,1)</f>
        <v>41978.669907407413</v>
      </c>
      <c r="K1159">
        <v>1412607880</v>
      </c>
      <c r="L1159" s="11">
        <f>((Table1[[#This Row],[launched_at]]/60)/60/24)+DATE(1970,1,1)</f>
        <v>41918.628240740742</v>
      </c>
      <c r="M1159">
        <f>MONTH(Table1[[#This Row],[Date Created Conversion]])</f>
        <v>10</v>
      </c>
      <c r="N1159">
        <f>YEAR(Table1[[#This Row],[Date Created Conversion]])</f>
        <v>2014</v>
      </c>
      <c r="O1159" t="b">
        <v>0</v>
      </c>
      <c r="P1159">
        <v>3</v>
      </c>
      <c r="Q1159" t="b">
        <v>0</v>
      </c>
      <c r="R1159" t="s">
        <v>8284</v>
      </c>
      <c r="S1159" s="6">
        <f>Table1[[#This Row],[pledged]]/Table1[[#This Row],[goal]]</f>
        <v>1.5100000000000001E-2</v>
      </c>
      <c r="T1159" s="8">
        <f>IF(Table1[[#This Row],[pledged]]=0,"no backers",Table1[[#This Row],[pledged]]/Table1[[#This Row],[backers_count]])</f>
        <v>50.333333333333336</v>
      </c>
      <c r="U1159" t="str">
        <f>LEFT(Table1[[#This Row],[Category and Sub-Category]],FIND("/",Table1[[#This Row],[Category and Sub-Category]])-1)</f>
        <v>food</v>
      </c>
      <c r="V1159" t="str">
        <f>RIGHT(Table1[[#This Row],[Category and Sub-Category]],LEN(Table1[[#This Row],[Category and Sub-Category]])-FIND("/",Table1[[#This Row],[Category and Sub-Category]]))</f>
        <v>food trucks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 s="12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>((Table1[[#This Row],[deadline]]/60)/60/24)+DATE(1970,1,1)</f>
        <v>41982.09175925926</v>
      </c>
      <c r="K1160">
        <v>1415499128</v>
      </c>
      <c r="L1160" s="11">
        <f>((Table1[[#This Row],[launched_at]]/60)/60/24)+DATE(1970,1,1)</f>
        <v>41952.09175925926</v>
      </c>
      <c r="M1160">
        <f>MONTH(Table1[[#This Row],[Date Created Conversion]])</f>
        <v>11</v>
      </c>
      <c r="N1160">
        <f>YEAR(Table1[[#This Row],[Date Created Conversion]])</f>
        <v>2014</v>
      </c>
      <c r="O1160" t="b">
        <v>0</v>
      </c>
      <c r="P1160">
        <v>3</v>
      </c>
      <c r="Q1160" t="b">
        <v>0</v>
      </c>
      <c r="R1160" t="s">
        <v>8284</v>
      </c>
      <c r="S1160" s="6">
        <f>Table1[[#This Row],[pledged]]/Table1[[#This Row],[goal]]</f>
        <v>4.6666666666666671E-3</v>
      </c>
      <c r="T1160" s="8">
        <f>IF(Table1[[#This Row],[pledged]]=0,"no backers",Table1[[#This Row],[pledged]]/Table1[[#This Row],[backers_count]])</f>
        <v>11.666666666666666</v>
      </c>
      <c r="U1160" t="str">
        <f>LEFT(Table1[[#This Row],[Category and Sub-Category]],FIND("/",Table1[[#This Row],[Category and Sub-Category]])-1)</f>
        <v>food</v>
      </c>
      <c r="V1160" t="str">
        <f>RIGHT(Table1[[#This Row],[Category and Sub-Category]],LEN(Table1[[#This Row],[Category and Sub-Category]])-FIND("/",Table1[[#This Row],[Category and Sub-Category]]))</f>
        <v>food trucks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 s="12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>((Table1[[#This Row],[deadline]]/60)/60/24)+DATE(1970,1,1)</f>
        <v>42185.65625</v>
      </c>
      <c r="K1161">
        <v>1433006765</v>
      </c>
      <c r="L1161" s="11">
        <f>((Table1[[#This Row],[launched_at]]/60)/60/24)+DATE(1970,1,1)</f>
        <v>42154.726446759261</v>
      </c>
      <c r="M1161">
        <f>MONTH(Table1[[#This Row],[Date Created Conversion]])</f>
        <v>5</v>
      </c>
      <c r="N1161">
        <f>YEAR(Table1[[#This Row],[Date Created Conversion]])</f>
        <v>2015</v>
      </c>
      <c r="O1161" t="b">
        <v>0</v>
      </c>
      <c r="P1161">
        <v>0</v>
      </c>
      <c r="Q1161" t="b">
        <v>0</v>
      </c>
      <c r="R1161" t="s">
        <v>8284</v>
      </c>
      <c r="S1161" s="6">
        <f>Table1[[#This Row],[pledged]]/Table1[[#This Row],[goal]]</f>
        <v>0</v>
      </c>
      <c r="T1161" s="8" t="str">
        <f>IF(Table1[[#This Row],[pledged]]=0,"no backers",Table1[[#This Row],[pledged]]/Table1[[#This Row],[backers_count]])</f>
        <v>no backers</v>
      </c>
      <c r="U1161" t="str">
        <f>LEFT(Table1[[#This Row],[Category and Sub-Category]],FIND("/",Table1[[#This Row],[Category and Sub-Category]])-1)</f>
        <v>food</v>
      </c>
      <c r="V1161" t="str">
        <f>RIGHT(Table1[[#This Row],[Category and Sub-Category]],LEN(Table1[[#This Row],[Category and Sub-Category]])-FIND("/",Table1[[#This Row],[Category and Sub-Category]]))</f>
        <v>food trucks</v>
      </c>
    </row>
    <row r="1162" spans="1:22" ht="43.2" x14ac:dyDescent="0.3">
      <c r="A1162">
        <v>1160</v>
      </c>
      <c r="B1162" s="3" t="s">
        <v>1161</v>
      </c>
      <c r="C1162" s="3" t="s">
        <v>5270</v>
      </c>
      <c r="D1162" s="1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>((Table1[[#This Row],[deadline]]/60)/60/24)+DATE(1970,1,1)</f>
        <v>42091.113263888896</v>
      </c>
      <c r="K1162">
        <v>1424922186</v>
      </c>
      <c r="L1162" s="11">
        <f>((Table1[[#This Row],[launched_at]]/60)/60/24)+DATE(1970,1,1)</f>
        <v>42061.154930555553</v>
      </c>
      <c r="M1162">
        <f>MONTH(Table1[[#This Row],[Date Created Conversion]])</f>
        <v>2</v>
      </c>
      <c r="N1162">
        <f>YEAR(Table1[[#This Row],[Date Created Conversion]])</f>
        <v>2015</v>
      </c>
      <c r="O1162" t="b">
        <v>0</v>
      </c>
      <c r="P1162">
        <v>19</v>
      </c>
      <c r="Q1162" t="b">
        <v>0</v>
      </c>
      <c r="R1162" t="s">
        <v>8284</v>
      </c>
      <c r="S1162" s="6">
        <f>Table1[[#This Row],[pledged]]/Table1[[#This Row],[goal]]</f>
        <v>3.85E-2</v>
      </c>
      <c r="T1162" s="8">
        <f>IF(Table1[[#This Row],[pledged]]=0,"no backers",Table1[[#This Row],[pledged]]/Table1[[#This Row],[backers_count]])</f>
        <v>60.789473684210527</v>
      </c>
      <c r="U1162" t="str">
        <f>LEFT(Table1[[#This Row],[Category and Sub-Category]],FIND("/",Table1[[#This Row],[Category and Sub-Category]])-1)</f>
        <v>food</v>
      </c>
      <c r="V1162" t="str">
        <f>RIGHT(Table1[[#This Row],[Category and Sub-Category]],LEN(Table1[[#This Row],[Category and Sub-Category]])-FIND("/",Table1[[#This Row],[Category and Sub-Category]]))</f>
        <v>food trucks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 s="12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>((Table1[[#This Row],[deadline]]/60)/60/24)+DATE(1970,1,1)</f>
        <v>42143.629502314812</v>
      </c>
      <c r="K1163">
        <v>1430233589</v>
      </c>
      <c r="L1163" s="11">
        <f>((Table1[[#This Row],[launched_at]]/60)/60/24)+DATE(1970,1,1)</f>
        <v>42122.629502314812</v>
      </c>
      <c r="M1163">
        <f>MONTH(Table1[[#This Row],[Date Created Conversion]])</f>
        <v>4</v>
      </c>
      <c r="N1163">
        <f>YEAR(Table1[[#This Row],[Date Created Conversion]])</f>
        <v>2015</v>
      </c>
      <c r="O1163" t="b">
        <v>0</v>
      </c>
      <c r="P1163">
        <v>0</v>
      </c>
      <c r="Q1163" t="b">
        <v>0</v>
      </c>
      <c r="R1163" t="s">
        <v>8284</v>
      </c>
      <c r="S1163" s="6">
        <f>Table1[[#This Row],[pledged]]/Table1[[#This Row],[goal]]</f>
        <v>0</v>
      </c>
      <c r="T1163" s="8" t="str">
        <f>IF(Table1[[#This Row],[pledged]]=0,"no backers",Table1[[#This Row],[pledged]]/Table1[[#This Row],[backers_count]])</f>
        <v>no backers</v>
      </c>
      <c r="U1163" t="str">
        <f>LEFT(Table1[[#This Row],[Category and Sub-Category]],FIND("/",Table1[[#This Row],[Category and Sub-Category]])-1)</f>
        <v>food</v>
      </c>
      <c r="V1163" t="str">
        <f>RIGHT(Table1[[#This Row],[Category and Sub-Category]],LEN(Table1[[#This Row],[Category and Sub-Category]])-FIND("/",Table1[[#This Row],[Category and Sub-Category]]))</f>
        <v>food trucks</v>
      </c>
    </row>
    <row r="1164" spans="1:22" ht="57.6" x14ac:dyDescent="0.3">
      <c r="A1164">
        <v>1162</v>
      </c>
      <c r="B1164" s="3" t="s">
        <v>1163</v>
      </c>
      <c r="C1164" s="3" t="s">
        <v>5272</v>
      </c>
      <c r="D1164" s="12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>((Table1[[#This Row],[deadline]]/60)/60/24)+DATE(1970,1,1)</f>
        <v>41907.683611111112</v>
      </c>
      <c r="K1164">
        <v>1408983864</v>
      </c>
      <c r="L1164" s="11">
        <f>((Table1[[#This Row],[launched_at]]/60)/60/24)+DATE(1970,1,1)</f>
        <v>41876.683611111112</v>
      </c>
      <c r="M1164">
        <f>MONTH(Table1[[#This Row],[Date Created Conversion]])</f>
        <v>8</v>
      </c>
      <c r="N1164">
        <f>YEAR(Table1[[#This Row],[Date Created Conversion]])</f>
        <v>2014</v>
      </c>
      <c r="O1164" t="b">
        <v>0</v>
      </c>
      <c r="P1164">
        <v>2</v>
      </c>
      <c r="Q1164" t="b">
        <v>0</v>
      </c>
      <c r="R1164" t="s">
        <v>8284</v>
      </c>
      <c r="S1164" s="6">
        <f>Table1[[#This Row],[pledged]]/Table1[[#This Row],[goal]]</f>
        <v>5.8333333333333338E-4</v>
      </c>
      <c r="T1164" s="8">
        <f>IF(Table1[[#This Row],[pledged]]=0,"no backers",Table1[[#This Row],[pledged]]/Table1[[#This Row],[backers_count]])</f>
        <v>17.5</v>
      </c>
      <c r="U1164" t="str">
        <f>LEFT(Table1[[#This Row],[Category and Sub-Category]],FIND("/",Table1[[#This Row],[Category and Sub-Category]])-1)</f>
        <v>food</v>
      </c>
      <c r="V1164" t="str">
        <f>RIGHT(Table1[[#This Row],[Category and Sub-Category]],LEN(Table1[[#This Row],[Category and Sub-Category]])-FIND("/",Table1[[#This Row],[Category and Sub-Category]]))</f>
        <v>food trucks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 s="12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>((Table1[[#This Row],[deadline]]/60)/60/24)+DATE(1970,1,1)</f>
        <v>41860.723611111112</v>
      </c>
      <c r="K1165">
        <v>1405012920</v>
      </c>
      <c r="L1165" s="11">
        <f>((Table1[[#This Row],[launched_at]]/60)/60/24)+DATE(1970,1,1)</f>
        <v>41830.723611111112</v>
      </c>
      <c r="M1165">
        <f>MONTH(Table1[[#This Row],[Date Created Conversion]])</f>
        <v>7</v>
      </c>
      <c r="N1165">
        <f>YEAR(Table1[[#This Row],[Date Created Conversion]])</f>
        <v>2014</v>
      </c>
      <c r="O1165" t="b">
        <v>0</v>
      </c>
      <c r="P1165">
        <v>0</v>
      </c>
      <c r="Q1165" t="b">
        <v>0</v>
      </c>
      <c r="R1165" t="s">
        <v>8284</v>
      </c>
      <c r="S1165" s="6">
        <f>Table1[[#This Row],[pledged]]/Table1[[#This Row],[goal]]</f>
        <v>0</v>
      </c>
      <c r="T1165" s="8" t="str">
        <f>IF(Table1[[#This Row],[pledged]]=0,"no backers",Table1[[#This Row],[pledged]]/Table1[[#This Row],[backers_count]])</f>
        <v>no backers</v>
      </c>
      <c r="U1165" t="str">
        <f>LEFT(Table1[[#This Row],[Category and Sub-Category]],FIND("/",Table1[[#This Row],[Category and Sub-Category]])-1)</f>
        <v>food</v>
      </c>
      <c r="V1165" t="str">
        <f>RIGHT(Table1[[#This Row],[Category and Sub-Category]],LEN(Table1[[#This Row],[Category and Sub-Category]])-FIND("/",Table1[[#This Row],[Category and Sub-Category]]))</f>
        <v>food trucks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 s="12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>((Table1[[#This Row],[deadline]]/60)/60/24)+DATE(1970,1,1)</f>
        <v>42539.724328703705</v>
      </c>
      <c r="K1166">
        <v>1463678582</v>
      </c>
      <c r="L1166" s="11">
        <f>((Table1[[#This Row],[launched_at]]/60)/60/24)+DATE(1970,1,1)</f>
        <v>42509.724328703705</v>
      </c>
      <c r="M1166">
        <f>MONTH(Table1[[#This Row],[Date Created Conversion]])</f>
        <v>5</v>
      </c>
      <c r="N1166">
        <f>YEAR(Table1[[#This Row],[Date Created Conversion]])</f>
        <v>2016</v>
      </c>
      <c r="O1166" t="b">
        <v>0</v>
      </c>
      <c r="P1166">
        <v>0</v>
      </c>
      <c r="Q1166" t="b">
        <v>0</v>
      </c>
      <c r="R1166" t="s">
        <v>8284</v>
      </c>
      <c r="S1166" s="6">
        <f>Table1[[#This Row],[pledged]]/Table1[[#This Row],[goal]]</f>
        <v>0</v>
      </c>
      <c r="T1166" s="8" t="str">
        <f>IF(Table1[[#This Row],[pledged]]=0,"no backers",Table1[[#This Row],[pledged]]/Table1[[#This Row],[backers_count]])</f>
        <v>no backers</v>
      </c>
      <c r="U1166" t="str">
        <f>LEFT(Table1[[#This Row],[Category and Sub-Category]],FIND("/",Table1[[#This Row],[Category and Sub-Category]])-1)</f>
        <v>food</v>
      </c>
      <c r="V1166" t="str">
        <f>RIGHT(Table1[[#This Row],[Category and Sub-Category]],LEN(Table1[[#This Row],[Category and Sub-Category]])-FIND("/",Table1[[#This Row],[Category and Sub-Category]]))</f>
        <v>food trucks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 s="12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>((Table1[[#This Row],[deadline]]/60)/60/24)+DATE(1970,1,1)</f>
        <v>41826.214467592588</v>
      </c>
      <c r="K1167">
        <v>1401685730</v>
      </c>
      <c r="L1167" s="11">
        <f>((Table1[[#This Row],[launched_at]]/60)/60/24)+DATE(1970,1,1)</f>
        <v>41792.214467592588</v>
      </c>
      <c r="M1167">
        <f>MONTH(Table1[[#This Row],[Date Created Conversion]])</f>
        <v>6</v>
      </c>
      <c r="N1167">
        <f>YEAR(Table1[[#This Row],[Date Created Conversion]])</f>
        <v>2014</v>
      </c>
      <c r="O1167" t="b">
        <v>0</v>
      </c>
      <c r="P1167">
        <v>25</v>
      </c>
      <c r="Q1167" t="b">
        <v>0</v>
      </c>
      <c r="R1167" t="s">
        <v>8284</v>
      </c>
      <c r="S1167" s="6">
        <f>Table1[[#This Row],[pledged]]/Table1[[#This Row],[goal]]</f>
        <v>0.20705000000000001</v>
      </c>
      <c r="T1167" s="8">
        <f>IF(Table1[[#This Row],[pledged]]=0,"no backers",Table1[[#This Row],[pledged]]/Table1[[#This Row],[backers_count]])</f>
        <v>82.82</v>
      </c>
      <c r="U1167" t="str">
        <f>LEFT(Table1[[#This Row],[Category and Sub-Category]],FIND("/",Table1[[#This Row],[Category and Sub-Category]])-1)</f>
        <v>food</v>
      </c>
      <c r="V1167" t="str">
        <f>RIGHT(Table1[[#This Row],[Category and Sub-Category]],LEN(Table1[[#This Row],[Category and Sub-Category]])-FIND("/",Table1[[#This Row],[Category and Sub-Category]]))</f>
        <v>food trucks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 s="12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>((Table1[[#This Row],[deadline]]/60)/60/24)+DATE(1970,1,1)</f>
        <v>42181.166666666672</v>
      </c>
      <c r="K1168">
        <v>1432640342</v>
      </c>
      <c r="L1168" s="11">
        <f>((Table1[[#This Row],[launched_at]]/60)/60/24)+DATE(1970,1,1)</f>
        <v>42150.485439814816</v>
      </c>
      <c r="M1168">
        <f>MONTH(Table1[[#This Row],[Date Created Conversion]])</f>
        <v>5</v>
      </c>
      <c r="N1168">
        <f>YEAR(Table1[[#This Row],[Date Created Conversion]])</f>
        <v>2015</v>
      </c>
      <c r="O1168" t="b">
        <v>0</v>
      </c>
      <c r="P1168">
        <v>8</v>
      </c>
      <c r="Q1168" t="b">
        <v>0</v>
      </c>
      <c r="R1168" t="s">
        <v>8284</v>
      </c>
      <c r="S1168" s="6">
        <f>Table1[[#This Row],[pledged]]/Table1[[#This Row],[goal]]</f>
        <v>0.19139999999999999</v>
      </c>
      <c r="T1168" s="8">
        <f>IF(Table1[[#This Row],[pledged]]=0,"no backers",Table1[[#This Row],[pledged]]/Table1[[#This Row],[backers_count]])</f>
        <v>358.875</v>
      </c>
      <c r="U1168" t="str">
        <f>LEFT(Table1[[#This Row],[Category and Sub-Category]],FIND("/",Table1[[#This Row],[Category and Sub-Category]])-1)</f>
        <v>food</v>
      </c>
      <c r="V1168" t="str">
        <f>RIGHT(Table1[[#This Row],[Category and Sub-Category]],LEN(Table1[[#This Row],[Category and Sub-Category]])-FIND("/",Table1[[#This Row],[Category and Sub-Category]]))</f>
        <v>food trucks</v>
      </c>
    </row>
    <row r="1169" spans="1:22" ht="43.2" x14ac:dyDescent="0.3">
      <c r="A1169">
        <v>1167</v>
      </c>
      <c r="B1169" s="3" t="s">
        <v>1168</v>
      </c>
      <c r="C1169" s="3" t="s">
        <v>5277</v>
      </c>
      <c r="D1169" s="12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>((Table1[[#This Row],[deadline]]/60)/60/24)+DATE(1970,1,1)</f>
        <v>41894.734895833331</v>
      </c>
      <c r="K1169">
        <v>1407865095</v>
      </c>
      <c r="L1169" s="11">
        <f>((Table1[[#This Row],[launched_at]]/60)/60/24)+DATE(1970,1,1)</f>
        <v>41863.734895833331</v>
      </c>
      <c r="M1169">
        <f>MONTH(Table1[[#This Row],[Date Created Conversion]])</f>
        <v>8</v>
      </c>
      <c r="N1169">
        <f>YEAR(Table1[[#This Row],[Date Created Conversion]])</f>
        <v>2014</v>
      </c>
      <c r="O1169" t="b">
        <v>0</v>
      </c>
      <c r="P1169">
        <v>16</v>
      </c>
      <c r="Q1169" t="b">
        <v>0</v>
      </c>
      <c r="R1169" t="s">
        <v>8284</v>
      </c>
      <c r="S1169" s="6">
        <f>Table1[[#This Row],[pledged]]/Table1[[#This Row],[goal]]</f>
        <v>1.6316666666666667E-2</v>
      </c>
      <c r="T1169" s="8">
        <f>IF(Table1[[#This Row],[pledged]]=0,"no backers",Table1[[#This Row],[pledged]]/Table1[[#This Row],[backers_count]])</f>
        <v>61.1875</v>
      </c>
      <c r="U1169" t="str">
        <f>LEFT(Table1[[#This Row],[Category and Sub-Category]],FIND("/",Table1[[#This Row],[Category and Sub-Category]])-1)</f>
        <v>food</v>
      </c>
      <c r="V1169" t="str">
        <f>RIGHT(Table1[[#This Row],[Category and Sub-Category]],LEN(Table1[[#This Row],[Category and Sub-Category]])-FIND("/",Table1[[#This Row],[Category and Sub-Category]]))</f>
        <v>food trucks</v>
      </c>
    </row>
    <row r="1170" spans="1:22" ht="43.2" x14ac:dyDescent="0.3">
      <c r="A1170">
        <v>1168</v>
      </c>
      <c r="B1170" s="3" t="s">
        <v>1169</v>
      </c>
      <c r="C1170" s="3" t="s">
        <v>5278</v>
      </c>
      <c r="D1170" s="12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>((Table1[[#This Row],[deadline]]/60)/60/24)+DATE(1970,1,1)</f>
        <v>42635.053993055553</v>
      </c>
      <c r="K1170">
        <v>1471915065</v>
      </c>
      <c r="L1170" s="11">
        <f>((Table1[[#This Row],[launched_at]]/60)/60/24)+DATE(1970,1,1)</f>
        <v>42605.053993055553</v>
      </c>
      <c r="M1170">
        <f>MONTH(Table1[[#This Row],[Date Created Conversion]])</f>
        <v>8</v>
      </c>
      <c r="N1170">
        <f>YEAR(Table1[[#This Row],[Date Created Conversion]])</f>
        <v>2016</v>
      </c>
      <c r="O1170" t="b">
        <v>0</v>
      </c>
      <c r="P1170">
        <v>3</v>
      </c>
      <c r="Q1170" t="b">
        <v>0</v>
      </c>
      <c r="R1170" t="s">
        <v>8284</v>
      </c>
      <c r="S1170" s="6">
        <f>Table1[[#This Row],[pledged]]/Table1[[#This Row],[goal]]</f>
        <v>5.6666666666666664E-2</v>
      </c>
      <c r="T1170" s="8">
        <f>IF(Table1[[#This Row],[pledged]]=0,"no backers",Table1[[#This Row],[pledged]]/Table1[[#This Row],[backers_count]])</f>
        <v>340</v>
      </c>
      <c r="U1170" t="str">
        <f>LEFT(Table1[[#This Row],[Category and Sub-Category]],FIND("/",Table1[[#This Row],[Category and Sub-Category]])-1)</f>
        <v>food</v>
      </c>
      <c r="V1170" t="str">
        <f>RIGHT(Table1[[#This Row],[Category and Sub-Category]],LEN(Table1[[#This Row],[Category and Sub-Category]])-FIND("/",Table1[[#This Row],[Category and Sub-Category]]))</f>
        <v>food trucks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 s="12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>((Table1[[#This Row],[deadline]]/60)/60/24)+DATE(1970,1,1)</f>
        <v>42057.353738425925</v>
      </c>
      <c r="K1171">
        <v>1422001763</v>
      </c>
      <c r="L1171" s="11">
        <f>((Table1[[#This Row],[launched_at]]/60)/60/24)+DATE(1970,1,1)</f>
        <v>42027.353738425925</v>
      </c>
      <c r="M1171">
        <f>MONTH(Table1[[#This Row],[Date Created Conversion]])</f>
        <v>1</v>
      </c>
      <c r="N1171">
        <f>YEAR(Table1[[#This Row],[Date Created Conversion]])</f>
        <v>2015</v>
      </c>
      <c r="O1171" t="b">
        <v>0</v>
      </c>
      <c r="P1171">
        <v>3</v>
      </c>
      <c r="Q1171" t="b">
        <v>0</v>
      </c>
      <c r="R1171" t="s">
        <v>8284</v>
      </c>
      <c r="S1171" s="6">
        <f>Table1[[#This Row],[pledged]]/Table1[[#This Row],[goal]]</f>
        <v>1.6999999999999999E-3</v>
      </c>
      <c r="T1171" s="8">
        <f>IF(Table1[[#This Row],[pledged]]=0,"no backers",Table1[[#This Row],[pledged]]/Table1[[#This Row],[backers_count]])</f>
        <v>5.666666666666667</v>
      </c>
      <c r="U1171" t="str">
        <f>LEFT(Table1[[#This Row],[Category and Sub-Category]],FIND("/",Table1[[#This Row],[Category and Sub-Category]])-1)</f>
        <v>food</v>
      </c>
      <c r="V1171" t="str">
        <f>RIGHT(Table1[[#This Row],[Category and Sub-Category]],LEN(Table1[[#This Row],[Category and Sub-Category]])-FIND("/",Table1[[#This Row],[Category and Sub-Category]]))</f>
        <v>food trucks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 s="1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>((Table1[[#This Row],[deadline]]/60)/60/24)+DATE(1970,1,1)</f>
        <v>42154.893182870372</v>
      </c>
      <c r="K1172">
        <v>1430429171</v>
      </c>
      <c r="L1172" s="11">
        <f>((Table1[[#This Row],[launched_at]]/60)/60/24)+DATE(1970,1,1)</f>
        <v>42124.893182870372</v>
      </c>
      <c r="M1172">
        <f>MONTH(Table1[[#This Row],[Date Created Conversion]])</f>
        <v>4</v>
      </c>
      <c r="N1172">
        <f>YEAR(Table1[[#This Row],[Date Created Conversion]])</f>
        <v>2015</v>
      </c>
      <c r="O1172" t="b">
        <v>0</v>
      </c>
      <c r="P1172">
        <v>2</v>
      </c>
      <c r="Q1172" t="b">
        <v>0</v>
      </c>
      <c r="R1172" t="s">
        <v>8284</v>
      </c>
      <c r="S1172" s="6">
        <f>Table1[[#This Row],[pledged]]/Table1[[#This Row],[goal]]</f>
        <v>4.0000000000000001E-3</v>
      </c>
      <c r="T1172" s="8">
        <f>IF(Table1[[#This Row],[pledged]]=0,"no backers",Table1[[#This Row],[pledged]]/Table1[[#This Row],[backers_count]])</f>
        <v>50</v>
      </c>
      <c r="U1172" t="str">
        <f>LEFT(Table1[[#This Row],[Category and Sub-Category]],FIND("/",Table1[[#This Row],[Category and Sub-Category]])-1)</f>
        <v>food</v>
      </c>
      <c r="V1172" t="str">
        <f>RIGHT(Table1[[#This Row],[Category and Sub-Category]],LEN(Table1[[#This Row],[Category and Sub-Category]])-FIND("/",Table1[[#This Row],[Category and Sub-Category]]))</f>
        <v>food trucks</v>
      </c>
    </row>
    <row r="1173" spans="1:22" ht="43.2" x14ac:dyDescent="0.3">
      <c r="A1173">
        <v>1171</v>
      </c>
      <c r="B1173" s="3" t="s">
        <v>1172</v>
      </c>
      <c r="C1173" s="3" t="s">
        <v>5281</v>
      </c>
      <c r="D1173" s="12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>((Table1[[#This Row],[deadline]]/60)/60/24)+DATE(1970,1,1)</f>
        <v>41956.846377314811</v>
      </c>
      <c r="K1173">
        <v>1414351127</v>
      </c>
      <c r="L1173" s="11">
        <f>((Table1[[#This Row],[launched_at]]/60)/60/24)+DATE(1970,1,1)</f>
        <v>41938.804710648146</v>
      </c>
      <c r="M1173">
        <f>MONTH(Table1[[#This Row],[Date Created Conversion]])</f>
        <v>10</v>
      </c>
      <c r="N1173">
        <f>YEAR(Table1[[#This Row],[Date Created Conversion]])</f>
        <v>2014</v>
      </c>
      <c r="O1173" t="b">
        <v>0</v>
      </c>
      <c r="P1173">
        <v>1</v>
      </c>
      <c r="Q1173" t="b">
        <v>0</v>
      </c>
      <c r="R1173" t="s">
        <v>8284</v>
      </c>
      <c r="S1173" s="6">
        <f>Table1[[#This Row],[pledged]]/Table1[[#This Row],[goal]]</f>
        <v>1E-3</v>
      </c>
      <c r="T1173" s="8">
        <f>IF(Table1[[#This Row],[pledged]]=0,"no backers",Table1[[#This Row],[pledged]]/Table1[[#This Row],[backers_count]])</f>
        <v>25</v>
      </c>
      <c r="U1173" t="str">
        <f>LEFT(Table1[[#This Row],[Category and Sub-Category]],FIND("/",Table1[[#This Row],[Category and Sub-Category]])-1)</f>
        <v>food</v>
      </c>
      <c r="V1173" t="str">
        <f>RIGHT(Table1[[#This Row],[Category and Sub-Category]],LEN(Table1[[#This Row],[Category and Sub-Category]])-FIND("/",Table1[[#This Row],[Category and Sub-Category]]))</f>
        <v>food trucks</v>
      </c>
    </row>
    <row r="1174" spans="1:22" ht="28.8" x14ac:dyDescent="0.3">
      <c r="A1174">
        <v>1172</v>
      </c>
      <c r="B1174" s="3" t="s">
        <v>1173</v>
      </c>
      <c r="C1174" s="3" t="s">
        <v>5282</v>
      </c>
      <c r="D1174" s="12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>((Table1[[#This Row],[deadline]]/60)/60/24)+DATE(1970,1,1)</f>
        <v>41871.682314814818</v>
      </c>
      <c r="K1174">
        <v>1405959752</v>
      </c>
      <c r="L1174" s="11">
        <f>((Table1[[#This Row],[launched_at]]/60)/60/24)+DATE(1970,1,1)</f>
        <v>41841.682314814818</v>
      </c>
      <c r="M1174">
        <f>MONTH(Table1[[#This Row],[Date Created Conversion]])</f>
        <v>7</v>
      </c>
      <c r="N1174">
        <f>YEAR(Table1[[#This Row],[Date Created Conversion]])</f>
        <v>2014</v>
      </c>
      <c r="O1174" t="b">
        <v>0</v>
      </c>
      <c r="P1174">
        <v>0</v>
      </c>
      <c r="Q1174" t="b">
        <v>0</v>
      </c>
      <c r="R1174" t="s">
        <v>8284</v>
      </c>
      <c r="S1174" s="6">
        <f>Table1[[#This Row],[pledged]]/Table1[[#This Row],[goal]]</f>
        <v>0</v>
      </c>
      <c r="T1174" s="8" t="str">
        <f>IF(Table1[[#This Row],[pledged]]=0,"no backers",Table1[[#This Row],[pledged]]/Table1[[#This Row],[backers_count]])</f>
        <v>no backers</v>
      </c>
      <c r="U1174" t="str">
        <f>LEFT(Table1[[#This Row],[Category and Sub-Category]],FIND("/",Table1[[#This Row],[Category and Sub-Category]])-1)</f>
        <v>food</v>
      </c>
      <c r="V1174" t="str">
        <f>RIGHT(Table1[[#This Row],[Category and Sub-Category]],LEN(Table1[[#This Row],[Category and Sub-Category]])-FIND("/",Table1[[#This Row],[Category and Sub-Category]]))</f>
        <v>food trucks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 s="12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>((Table1[[#This Row],[deadline]]/60)/60/24)+DATE(1970,1,1)</f>
        <v>42219.185844907406</v>
      </c>
      <c r="K1175">
        <v>1435552057</v>
      </c>
      <c r="L1175" s="11">
        <f>((Table1[[#This Row],[launched_at]]/60)/60/24)+DATE(1970,1,1)</f>
        <v>42184.185844907406</v>
      </c>
      <c r="M1175">
        <f>MONTH(Table1[[#This Row],[Date Created Conversion]])</f>
        <v>6</v>
      </c>
      <c r="N1175">
        <f>YEAR(Table1[[#This Row],[Date Created Conversion]])</f>
        <v>2015</v>
      </c>
      <c r="O1175" t="b">
        <v>0</v>
      </c>
      <c r="P1175">
        <v>1</v>
      </c>
      <c r="Q1175" t="b">
        <v>0</v>
      </c>
      <c r="R1175" t="s">
        <v>8284</v>
      </c>
      <c r="S1175" s="6">
        <f>Table1[[#This Row],[pledged]]/Table1[[#This Row],[goal]]</f>
        <v>2.4000000000000001E-4</v>
      </c>
      <c r="T1175" s="8">
        <f>IF(Table1[[#This Row],[pledged]]=0,"no backers",Table1[[#This Row],[pledged]]/Table1[[#This Row],[backers_count]])</f>
        <v>30</v>
      </c>
      <c r="U1175" t="str">
        <f>LEFT(Table1[[#This Row],[Category and Sub-Category]],FIND("/",Table1[[#This Row],[Category and Sub-Category]])-1)</f>
        <v>food</v>
      </c>
      <c r="V1175" t="str">
        <f>RIGHT(Table1[[#This Row],[Category and Sub-Category]],LEN(Table1[[#This Row],[Category and Sub-Category]])-FIND("/",Table1[[#This Row],[Category and Sub-Category]]))</f>
        <v>food trucks</v>
      </c>
    </row>
    <row r="1176" spans="1:22" ht="43.2" x14ac:dyDescent="0.3">
      <c r="A1176">
        <v>1174</v>
      </c>
      <c r="B1176" s="3" t="s">
        <v>1175</v>
      </c>
      <c r="C1176" s="3" t="s">
        <v>5284</v>
      </c>
      <c r="D1176" s="12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>((Table1[[#This Row],[deadline]]/60)/60/24)+DATE(1970,1,1)</f>
        <v>42498.84174768519</v>
      </c>
      <c r="K1176">
        <v>1460146327</v>
      </c>
      <c r="L1176" s="11">
        <f>((Table1[[#This Row],[launched_at]]/60)/60/24)+DATE(1970,1,1)</f>
        <v>42468.84174768519</v>
      </c>
      <c r="M1176">
        <f>MONTH(Table1[[#This Row],[Date Created Conversion]])</f>
        <v>4</v>
      </c>
      <c r="N1176">
        <f>YEAR(Table1[[#This Row],[Date Created Conversion]])</f>
        <v>2016</v>
      </c>
      <c r="O1176" t="b">
        <v>0</v>
      </c>
      <c r="P1176">
        <v>19</v>
      </c>
      <c r="Q1176" t="b">
        <v>0</v>
      </c>
      <c r="R1176" t="s">
        <v>8284</v>
      </c>
      <c r="S1176" s="6">
        <f>Table1[[#This Row],[pledged]]/Table1[[#This Row],[goal]]</f>
        <v>5.906666666666667E-2</v>
      </c>
      <c r="T1176" s="8">
        <f>IF(Table1[[#This Row],[pledged]]=0,"no backers",Table1[[#This Row],[pledged]]/Table1[[#This Row],[backers_count]])</f>
        <v>46.631578947368418</v>
      </c>
      <c r="U1176" t="str">
        <f>LEFT(Table1[[#This Row],[Category and Sub-Category]],FIND("/",Table1[[#This Row],[Category and Sub-Category]])-1)</f>
        <v>food</v>
      </c>
      <c r="V1176" t="str">
        <f>RIGHT(Table1[[#This Row],[Category and Sub-Category]],LEN(Table1[[#This Row],[Category and Sub-Category]])-FIND("/",Table1[[#This Row],[Category and Sub-Category]]))</f>
        <v>food trucks</v>
      </c>
    </row>
    <row r="1177" spans="1:22" ht="43.2" x14ac:dyDescent="0.3">
      <c r="A1177">
        <v>1175</v>
      </c>
      <c r="B1177" s="3" t="s">
        <v>1176</v>
      </c>
      <c r="C1177" s="3" t="s">
        <v>5285</v>
      </c>
      <c r="D1177" s="12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>((Table1[[#This Row],[deadline]]/60)/60/24)+DATE(1970,1,1)</f>
        <v>42200.728460648148</v>
      </c>
      <c r="K1177">
        <v>1434389339</v>
      </c>
      <c r="L1177" s="11">
        <f>((Table1[[#This Row],[launched_at]]/60)/60/24)+DATE(1970,1,1)</f>
        <v>42170.728460648148</v>
      </c>
      <c r="M1177">
        <f>MONTH(Table1[[#This Row],[Date Created Conversion]])</f>
        <v>6</v>
      </c>
      <c r="N1177">
        <f>YEAR(Table1[[#This Row],[Date Created Conversion]])</f>
        <v>2015</v>
      </c>
      <c r="O1177" t="b">
        <v>0</v>
      </c>
      <c r="P1177">
        <v>9</v>
      </c>
      <c r="Q1177" t="b">
        <v>0</v>
      </c>
      <c r="R1177" t="s">
        <v>8284</v>
      </c>
      <c r="S1177" s="6">
        <f>Table1[[#This Row],[pledged]]/Table1[[#This Row],[goal]]</f>
        <v>2.9250000000000002E-2</v>
      </c>
      <c r="T1177" s="8">
        <f>IF(Table1[[#This Row],[pledged]]=0,"no backers",Table1[[#This Row],[pledged]]/Table1[[#This Row],[backers_count]])</f>
        <v>65</v>
      </c>
      <c r="U1177" t="str">
        <f>LEFT(Table1[[#This Row],[Category and Sub-Category]],FIND("/",Table1[[#This Row],[Category and Sub-Category]])-1)</f>
        <v>food</v>
      </c>
      <c r="V1177" t="str">
        <f>RIGHT(Table1[[#This Row],[Category and Sub-Category]],LEN(Table1[[#This Row],[Category and Sub-Category]])-FIND("/",Table1[[#This Row],[Category and Sub-Category]]))</f>
        <v>food trucks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 s="12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>((Table1[[#This Row],[deadline]]/60)/60/24)+DATE(1970,1,1)</f>
        <v>42800.541666666672</v>
      </c>
      <c r="K1178">
        <v>1484094498</v>
      </c>
      <c r="L1178" s="11">
        <f>((Table1[[#This Row],[launched_at]]/60)/60/24)+DATE(1970,1,1)</f>
        <v>42746.019652777773</v>
      </c>
      <c r="M1178">
        <f>MONTH(Table1[[#This Row],[Date Created Conversion]])</f>
        <v>1</v>
      </c>
      <c r="N1178">
        <f>YEAR(Table1[[#This Row],[Date Created Conversion]])</f>
        <v>2017</v>
      </c>
      <c r="O1178" t="b">
        <v>0</v>
      </c>
      <c r="P1178">
        <v>1</v>
      </c>
      <c r="Q1178" t="b">
        <v>0</v>
      </c>
      <c r="R1178" t="s">
        <v>8284</v>
      </c>
      <c r="S1178" s="6">
        <f>Table1[[#This Row],[pledged]]/Table1[[#This Row],[goal]]</f>
        <v>5.7142857142857142E-5</v>
      </c>
      <c r="T1178" s="8">
        <f>IF(Table1[[#This Row],[pledged]]=0,"no backers",Table1[[#This Row],[pledged]]/Table1[[#This Row],[backers_count]])</f>
        <v>10</v>
      </c>
      <c r="U1178" t="str">
        <f>LEFT(Table1[[#This Row],[Category and Sub-Category]],FIND("/",Table1[[#This Row],[Category and Sub-Category]])-1)</f>
        <v>food</v>
      </c>
      <c r="V1178" t="str">
        <f>RIGHT(Table1[[#This Row],[Category and Sub-Category]],LEN(Table1[[#This Row],[Category and Sub-Category]])-FIND("/",Table1[[#This Row],[Category and Sub-Category]]))</f>
        <v>food trucks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 s="12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>((Table1[[#This Row],[deadline]]/60)/60/24)+DATE(1970,1,1)</f>
        <v>41927.660833333335</v>
      </c>
      <c r="K1179">
        <v>1410796296</v>
      </c>
      <c r="L1179" s="11">
        <f>((Table1[[#This Row],[launched_at]]/60)/60/24)+DATE(1970,1,1)</f>
        <v>41897.660833333335</v>
      </c>
      <c r="M1179">
        <f>MONTH(Table1[[#This Row],[Date Created Conversion]])</f>
        <v>9</v>
      </c>
      <c r="N1179">
        <f>YEAR(Table1[[#This Row],[Date Created Conversion]])</f>
        <v>2014</v>
      </c>
      <c r="O1179" t="b">
        <v>0</v>
      </c>
      <c r="P1179">
        <v>0</v>
      </c>
      <c r="Q1179" t="b">
        <v>0</v>
      </c>
      <c r="R1179" t="s">
        <v>8284</v>
      </c>
      <c r="S1179" s="6">
        <f>Table1[[#This Row],[pledged]]/Table1[[#This Row],[goal]]</f>
        <v>0</v>
      </c>
      <c r="T1179" s="8" t="str">
        <f>IF(Table1[[#This Row],[pledged]]=0,"no backers",Table1[[#This Row],[pledged]]/Table1[[#This Row],[backers_count]])</f>
        <v>no backers</v>
      </c>
      <c r="U1179" t="str">
        <f>LEFT(Table1[[#This Row],[Category and Sub-Category]],FIND("/",Table1[[#This Row],[Category and Sub-Category]])-1)</f>
        <v>food</v>
      </c>
      <c r="V1179" t="str">
        <f>RIGHT(Table1[[#This Row],[Category and Sub-Category]],LEN(Table1[[#This Row],[Category and Sub-Category]])-FIND("/",Table1[[#This Row],[Category and Sub-Category]]))</f>
        <v>food trucks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 s="12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>((Table1[[#This Row],[deadline]]/60)/60/24)+DATE(1970,1,1)</f>
        <v>41867.905694444446</v>
      </c>
      <c r="K1180">
        <v>1405633452</v>
      </c>
      <c r="L1180" s="11">
        <f>((Table1[[#This Row],[launched_at]]/60)/60/24)+DATE(1970,1,1)</f>
        <v>41837.905694444446</v>
      </c>
      <c r="M1180">
        <f>MONTH(Table1[[#This Row],[Date Created Conversion]])</f>
        <v>7</v>
      </c>
      <c r="N1180">
        <f>YEAR(Table1[[#This Row],[Date Created Conversion]])</f>
        <v>2014</v>
      </c>
      <c r="O1180" t="b">
        <v>0</v>
      </c>
      <c r="P1180">
        <v>1</v>
      </c>
      <c r="Q1180" t="b">
        <v>0</v>
      </c>
      <c r="R1180" t="s">
        <v>8284</v>
      </c>
      <c r="S1180" s="6">
        <f>Table1[[#This Row],[pledged]]/Table1[[#This Row],[goal]]</f>
        <v>6.666666666666667E-5</v>
      </c>
      <c r="T1180" s="8">
        <f>IF(Table1[[#This Row],[pledged]]=0,"no backers",Table1[[#This Row],[pledged]]/Table1[[#This Row],[backers_count]])</f>
        <v>5</v>
      </c>
      <c r="U1180" t="str">
        <f>LEFT(Table1[[#This Row],[Category and Sub-Category]],FIND("/",Table1[[#This Row],[Category and Sub-Category]])-1)</f>
        <v>food</v>
      </c>
      <c r="V1180" t="str">
        <f>RIGHT(Table1[[#This Row],[Category and Sub-Category]],LEN(Table1[[#This Row],[Category and Sub-Category]])-FIND("/",Table1[[#This Row],[Category and Sub-Category]]))</f>
        <v>food trucks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 s="12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>((Table1[[#This Row],[deadline]]/60)/60/24)+DATE(1970,1,1)</f>
        <v>42305.720219907409</v>
      </c>
      <c r="K1181">
        <v>1443460627</v>
      </c>
      <c r="L1181" s="11">
        <f>((Table1[[#This Row],[launched_at]]/60)/60/24)+DATE(1970,1,1)</f>
        <v>42275.720219907409</v>
      </c>
      <c r="M1181">
        <f>MONTH(Table1[[#This Row],[Date Created Conversion]])</f>
        <v>9</v>
      </c>
      <c r="N1181">
        <f>YEAR(Table1[[#This Row],[Date Created Conversion]])</f>
        <v>2015</v>
      </c>
      <c r="O1181" t="b">
        <v>0</v>
      </c>
      <c r="P1181">
        <v>5</v>
      </c>
      <c r="Q1181" t="b">
        <v>0</v>
      </c>
      <c r="R1181" t="s">
        <v>8284</v>
      </c>
      <c r="S1181" s="6">
        <f>Table1[[#This Row],[pledged]]/Table1[[#This Row],[goal]]</f>
        <v>5.3333333333333337E-2</v>
      </c>
      <c r="T1181" s="8">
        <f>IF(Table1[[#This Row],[pledged]]=0,"no backers",Table1[[#This Row],[pledged]]/Table1[[#This Row],[backers_count]])</f>
        <v>640</v>
      </c>
      <c r="U1181" t="str">
        <f>LEFT(Table1[[#This Row],[Category and Sub-Category]],FIND("/",Table1[[#This Row],[Category and Sub-Category]])-1)</f>
        <v>food</v>
      </c>
      <c r="V1181" t="str">
        <f>RIGHT(Table1[[#This Row],[Category and Sub-Category]],LEN(Table1[[#This Row],[Category and Sub-Category]])-FIND("/",Table1[[#This Row],[Category and Sub-Category]]))</f>
        <v>food trucks</v>
      </c>
    </row>
    <row r="1182" spans="1:22" ht="43.2" x14ac:dyDescent="0.3">
      <c r="A1182">
        <v>1180</v>
      </c>
      <c r="B1182" s="3" t="s">
        <v>1181</v>
      </c>
      <c r="C1182" s="3" t="s">
        <v>5290</v>
      </c>
      <c r="D1182" s="1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>((Table1[[#This Row],[deadline]]/60)/60/24)+DATE(1970,1,1)</f>
        <v>41818.806875000002</v>
      </c>
      <c r="K1182">
        <v>1400786514</v>
      </c>
      <c r="L1182" s="11">
        <f>((Table1[[#This Row],[launched_at]]/60)/60/24)+DATE(1970,1,1)</f>
        <v>41781.806875000002</v>
      </c>
      <c r="M1182">
        <f>MONTH(Table1[[#This Row],[Date Created Conversion]])</f>
        <v>5</v>
      </c>
      <c r="N1182">
        <f>YEAR(Table1[[#This Row],[Date Created Conversion]])</f>
        <v>2014</v>
      </c>
      <c r="O1182" t="b">
        <v>0</v>
      </c>
      <c r="P1182">
        <v>85</v>
      </c>
      <c r="Q1182" t="b">
        <v>0</v>
      </c>
      <c r="R1182" t="s">
        <v>8284</v>
      </c>
      <c r="S1182" s="6">
        <f>Table1[[#This Row],[pledged]]/Table1[[#This Row],[goal]]</f>
        <v>0.11749999999999999</v>
      </c>
      <c r="T1182" s="8">
        <f>IF(Table1[[#This Row],[pledged]]=0,"no backers",Table1[[#This Row],[pledged]]/Table1[[#This Row],[backers_count]])</f>
        <v>69.117647058823536</v>
      </c>
      <c r="U1182" t="str">
        <f>LEFT(Table1[[#This Row],[Category and Sub-Category]],FIND("/",Table1[[#This Row],[Category and Sub-Category]])-1)</f>
        <v>food</v>
      </c>
      <c r="V1182" t="str">
        <f>RIGHT(Table1[[#This Row],[Category and Sub-Category]],LEN(Table1[[#This Row],[Category and Sub-Category]])-FIND("/",Table1[[#This Row],[Category and Sub-Category]]))</f>
        <v>food trucks</v>
      </c>
    </row>
    <row r="1183" spans="1:22" ht="28.8" x14ac:dyDescent="0.3">
      <c r="A1183">
        <v>1181</v>
      </c>
      <c r="B1183" s="3" t="s">
        <v>1182</v>
      </c>
      <c r="C1183" s="3" t="s">
        <v>5291</v>
      </c>
      <c r="D1183" s="12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>((Table1[[#This Row],[deadline]]/60)/60/24)+DATE(1970,1,1)</f>
        <v>42064.339363425926</v>
      </c>
      <c r="K1183">
        <v>1422605321</v>
      </c>
      <c r="L1183" s="11">
        <f>((Table1[[#This Row],[launched_at]]/60)/60/24)+DATE(1970,1,1)</f>
        <v>42034.339363425926</v>
      </c>
      <c r="M1183">
        <f>MONTH(Table1[[#This Row],[Date Created Conversion]])</f>
        <v>1</v>
      </c>
      <c r="N1183">
        <f>YEAR(Table1[[#This Row],[Date Created Conversion]])</f>
        <v>2015</v>
      </c>
      <c r="O1183" t="b">
        <v>0</v>
      </c>
      <c r="P1183">
        <v>3</v>
      </c>
      <c r="Q1183" t="b">
        <v>0</v>
      </c>
      <c r="R1183" t="s">
        <v>8284</v>
      </c>
      <c r="S1183" s="6">
        <f>Table1[[#This Row],[pledged]]/Table1[[#This Row],[goal]]</f>
        <v>8.0000000000000007E-5</v>
      </c>
      <c r="T1183" s="8">
        <f>IF(Table1[[#This Row],[pledged]]=0,"no backers",Table1[[#This Row],[pledged]]/Table1[[#This Row],[backers_count]])</f>
        <v>1.3333333333333333</v>
      </c>
      <c r="U1183" t="str">
        <f>LEFT(Table1[[#This Row],[Category and Sub-Category]],FIND("/",Table1[[#This Row],[Category and Sub-Category]])-1)</f>
        <v>food</v>
      </c>
      <c r="V1183" t="str">
        <f>RIGHT(Table1[[#This Row],[Category and Sub-Category]],LEN(Table1[[#This Row],[Category and Sub-Category]])-FIND("/",Table1[[#This Row],[Category and Sub-Category]]))</f>
        <v>food trucks</v>
      </c>
    </row>
    <row r="1184" spans="1:22" ht="57.6" x14ac:dyDescent="0.3">
      <c r="A1184">
        <v>1182</v>
      </c>
      <c r="B1184" s="3" t="s">
        <v>1183</v>
      </c>
      <c r="C1184" s="3" t="s">
        <v>5292</v>
      </c>
      <c r="D1184" s="12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>((Table1[[#This Row],[deadline]]/60)/60/24)+DATE(1970,1,1)</f>
        <v>42747.695833333331</v>
      </c>
      <c r="K1184">
        <v>1482609088</v>
      </c>
      <c r="L1184" s="11">
        <f>((Table1[[#This Row],[launched_at]]/60)/60/24)+DATE(1970,1,1)</f>
        <v>42728.827407407407</v>
      </c>
      <c r="M1184">
        <f>MONTH(Table1[[#This Row],[Date Created Conversion]])</f>
        <v>12</v>
      </c>
      <c r="N1184">
        <f>YEAR(Table1[[#This Row],[Date Created Conversion]])</f>
        <v>2016</v>
      </c>
      <c r="O1184" t="b">
        <v>0</v>
      </c>
      <c r="P1184">
        <v>4</v>
      </c>
      <c r="Q1184" t="b">
        <v>0</v>
      </c>
      <c r="R1184" t="s">
        <v>8284</v>
      </c>
      <c r="S1184" s="6">
        <f>Table1[[#This Row],[pledged]]/Table1[[#This Row],[goal]]</f>
        <v>4.2000000000000003E-2</v>
      </c>
      <c r="T1184" s="8">
        <f>IF(Table1[[#This Row],[pledged]]=0,"no backers",Table1[[#This Row],[pledged]]/Table1[[#This Row],[backers_count]])</f>
        <v>10.5</v>
      </c>
      <c r="U1184" t="str">
        <f>LEFT(Table1[[#This Row],[Category and Sub-Category]],FIND("/",Table1[[#This Row],[Category and Sub-Category]])-1)</f>
        <v>food</v>
      </c>
      <c r="V1184" t="str">
        <f>RIGHT(Table1[[#This Row],[Category and Sub-Category]],LEN(Table1[[#This Row],[Category and Sub-Category]])-FIND("/",Table1[[#This Row],[Category and Sub-Category]]))</f>
        <v>food trucks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 s="12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>((Table1[[#This Row],[deadline]]/60)/60/24)+DATE(1970,1,1)</f>
        <v>42676.165972222225</v>
      </c>
      <c r="K1185">
        <v>1476391223</v>
      </c>
      <c r="L1185" s="11">
        <f>((Table1[[#This Row],[launched_at]]/60)/60/24)+DATE(1970,1,1)</f>
        <v>42656.86137731481</v>
      </c>
      <c r="M1185">
        <f>MONTH(Table1[[#This Row],[Date Created Conversion]])</f>
        <v>10</v>
      </c>
      <c r="N1185">
        <f>YEAR(Table1[[#This Row],[Date Created Conversion]])</f>
        <v>2016</v>
      </c>
      <c r="O1185" t="b">
        <v>0</v>
      </c>
      <c r="P1185">
        <v>3</v>
      </c>
      <c r="Q1185" t="b">
        <v>0</v>
      </c>
      <c r="R1185" t="s">
        <v>8284</v>
      </c>
      <c r="S1185" s="6">
        <f>Table1[[#This Row],[pledged]]/Table1[[#This Row],[goal]]</f>
        <v>0.04</v>
      </c>
      <c r="T1185" s="8">
        <f>IF(Table1[[#This Row],[pledged]]=0,"no backers",Table1[[#This Row],[pledged]]/Table1[[#This Row],[backers_count]])</f>
        <v>33.333333333333336</v>
      </c>
      <c r="U1185" t="str">
        <f>LEFT(Table1[[#This Row],[Category and Sub-Category]],FIND("/",Table1[[#This Row],[Category and Sub-Category]])-1)</f>
        <v>food</v>
      </c>
      <c r="V1185" t="str">
        <f>RIGHT(Table1[[#This Row],[Category and Sub-Category]],LEN(Table1[[#This Row],[Category and Sub-Category]])-FIND("/",Table1[[#This Row],[Category and Sub-Category]]))</f>
        <v>food trucks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 s="12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>((Table1[[#This Row],[deadline]]/60)/60/24)+DATE(1970,1,1)</f>
        <v>42772.599664351852</v>
      </c>
      <c r="K1186">
        <v>1483712611</v>
      </c>
      <c r="L1186" s="11">
        <f>((Table1[[#This Row],[launched_at]]/60)/60/24)+DATE(1970,1,1)</f>
        <v>42741.599664351852</v>
      </c>
      <c r="M1186">
        <f>MONTH(Table1[[#This Row],[Date Created Conversion]])</f>
        <v>1</v>
      </c>
      <c r="N1186">
        <f>YEAR(Table1[[#This Row],[Date Created Conversion]])</f>
        <v>2017</v>
      </c>
      <c r="O1186" t="b">
        <v>0</v>
      </c>
      <c r="P1186">
        <v>375</v>
      </c>
      <c r="Q1186" t="b">
        <v>1</v>
      </c>
      <c r="R1186" t="s">
        <v>8285</v>
      </c>
      <c r="S1186" s="6">
        <f>Table1[[#This Row],[pledged]]/Table1[[#This Row],[goal]]</f>
        <v>1.0493636363636363</v>
      </c>
      <c r="T1186" s="8">
        <f>IF(Table1[[#This Row],[pledged]]=0,"no backers",Table1[[#This Row],[pledged]]/Table1[[#This Row],[backers_count]])</f>
        <v>61.562666666666665</v>
      </c>
      <c r="U1186" t="str">
        <f>LEFT(Table1[[#This Row],[Category and Sub-Category]],FIND("/",Table1[[#This Row],[Category and Sub-Category]])-1)</f>
        <v>photography</v>
      </c>
      <c r="V1186" t="str">
        <f>RIGHT(Table1[[#This Row],[Category and Sub-Category]],LEN(Table1[[#This Row],[Category and Sub-Category]])-FIND("/",Table1[[#This Row],[Category and Sub-Category]]))</f>
        <v>photobooks</v>
      </c>
    </row>
    <row r="1187" spans="1:22" ht="57.6" x14ac:dyDescent="0.3">
      <c r="A1187">
        <v>1185</v>
      </c>
      <c r="B1187" s="3" t="s">
        <v>1186</v>
      </c>
      <c r="C1187" s="3" t="s">
        <v>5295</v>
      </c>
      <c r="D1187" s="12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>((Table1[[#This Row],[deadline]]/60)/60/24)+DATE(1970,1,1)</f>
        <v>42163.166666666672</v>
      </c>
      <c r="K1187">
        <v>1430945149</v>
      </c>
      <c r="L1187" s="11">
        <f>((Table1[[#This Row],[launched_at]]/60)/60/24)+DATE(1970,1,1)</f>
        <v>42130.865150462967</v>
      </c>
      <c r="M1187">
        <f>MONTH(Table1[[#This Row],[Date Created Conversion]])</f>
        <v>5</v>
      </c>
      <c r="N1187">
        <f>YEAR(Table1[[#This Row],[Date Created Conversion]])</f>
        <v>2015</v>
      </c>
      <c r="O1187" t="b">
        <v>0</v>
      </c>
      <c r="P1187">
        <v>111</v>
      </c>
      <c r="Q1187" t="b">
        <v>1</v>
      </c>
      <c r="R1187" t="s">
        <v>8285</v>
      </c>
      <c r="S1187" s="6">
        <f>Table1[[#This Row],[pledged]]/Table1[[#This Row],[goal]]</f>
        <v>1.0544</v>
      </c>
      <c r="T1187" s="8">
        <f>IF(Table1[[#This Row],[pledged]]=0,"no backers",Table1[[#This Row],[pledged]]/Table1[[#This Row],[backers_count]])</f>
        <v>118.73873873873873</v>
      </c>
      <c r="U1187" t="str">
        <f>LEFT(Table1[[#This Row],[Category and Sub-Category]],FIND("/",Table1[[#This Row],[Category and Sub-Category]])-1)</f>
        <v>photography</v>
      </c>
      <c r="V1187" t="str">
        <f>RIGHT(Table1[[#This Row],[Category and Sub-Category]],LEN(Table1[[#This Row],[Category and Sub-Category]])-FIND("/",Table1[[#This Row],[Category and Sub-Category]]))</f>
        <v>photobooks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 s="12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>((Table1[[#This Row],[deadline]]/60)/60/24)+DATE(1970,1,1)</f>
        <v>42156.945833333331</v>
      </c>
      <c r="K1188">
        <v>1430340195</v>
      </c>
      <c r="L1188" s="11">
        <f>((Table1[[#This Row],[launched_at]]/60)/60/24)+DATE(1970,1,1)</f>
        <v>42123.86336805555</v>
      </c>
      <c r="M1188">
        <f>MONTH(Table1[[#This Row],[Date Created Conversion]])</f>
        <v>4</v>
      </c>
      <c r="N1188">
        <f>YEAR(Table1[[#This Row],[Date Created Conversion]])</f>
        <v>2015</v>
      </c>
      <c r="O1188" t="b">
        <v>0</v>
      </c>
      <c r="P1188">
        <v>123</v>
      </c>
      <c r="Q1188" t="b">
        <v>1</v>
      </c>
      <c r="R1188" t="s">
        <v>8285</v>
      </c>
      <c r="S1188" s="6">
        <f>Table1[[#This Row],[pledged]]/Table1[[#This Row],[goal]]</f>
        <v>1.0673333333333332</v>
      </c>
      <c r="T1188" s="8">
        <f>IF(Table1[[#This Row],[pledged]]=0,"no backers",Table1[[#This Row],[pledged]]/Table1[[#This Row],[backers_count]])</f>
        <v>65.081300813008127</v>
      </c>
      <c r="U1188" t="str">
        <f>LEFT(Table1[[#This Row],[Category and Sub-Category]],FIND("/",Table1[[#This Row],[Category and Sub-Category]])-1)</f>
        <v>photography</v>
      </c>
      <c r="V1188" t="str">
        <f>RIGHT(Table1[[#This Row],[Category and Sub-Category]],LEN(Table1[[#This Row],[Category and Sub-Category]])-FIND("/",Table1[[#This Row],[Category and Sub-Category]]))</f>
        <v>photobooks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 s="12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>((Table1[[#This Row],[deadline]]/60)/60/24)+DATE(1970,1,1)</f>
        <v>42141.75</v>
      </c>
      <c r="K1189">
        <v>1429133323</v>
      </c>
      <c r="L1189" s="11">
        <f>((Table1[[#This Row],[launched_at]]/60)/60/24)+DATE(1970,1,1)</f>
        <v>42109.894942129627</v>
      </c>
      <c r="M1189">
        <f>MONTH(Table1[[#This Row],[Date Created Conversion]])</f>
        <v>4</v>
      </c>
      <c r="N1189">
        <f>YEAR(Table1[[#This Row],[Date Created Conversion]])</f>
        <v>2015</v>
      </c>
      <c r="O1189" t="b">
        <v>0</v>
      </c>
      <c r="P1189">
        <v>70</v>
      </c>
      <c r="Q1189" t="b">
        <v>1</v>
      </c>
      <c r="R1189" t="s">
        <v>8285</v>
      </c>
      <c r="S1189" s="6">
        <f>Table1[[#This Row],[pledged]]/Table1[[#This Row],[goal]]</f>
        <v>1.0412571428571429</v>
      </c>
      <c r="T1189" s="8">
        <f>IF(Table1[[#This Row],[pledged]]=0,"no backers",Table1[[#This Row],[pledged]]/Table1[[#This Row],[backers_count]])</f>
        <v>130.15714285714284</v>
      </c>
      <c r="U1189" t="str">
        <f>LEFT(Table1[[#This Row],[Category and Sub-Category]],FIND("/",Table1[[#This Row],[Category and Sub-Category]])-1)</f>
        <v>photography</v>
      </c>
      <c r="V1189" t="str">
        <f>RIGHT(Table1[[#This Row],[Category and Sub-Category]],LEN(Table1[[#This Row],[Category and Sub-Category]])-FIND("/",Table1[[#This Row],[Category and Sub-Category]]))</f>
        <v>photobooks</v>
      </c>
    </row>
    <row r="1190" spans="1:22" ht="43.2" x14ac:dyDescent="0.3">
      <c r="A1190">
        <v>1188</v>
      </c>
      <c r="B1190" s="3" t="s">
        <v>1189</v>
      </c>
      <c r="C1190" s="3" t="s">
        <v>5298</v>
      </c>
      <c r="D1190" s="12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>((Table1[[#This Row],[deadline]]/60)/60/24)+DATE(1970,1,1)</f>
        <v>42732.700694444444</v>
      </c>
      <c r="K1190">
        <v>1481129340</v>
      </c>
      <c r="L1190" s="11">
        <f>((Table1[[#This Row],[launched_at]]/60)/60/24)+DATE(1970,1,1)</f>
        <v>42711.700694444444</v>
      </c>
      <c r="M1190">
        <f>MONTH(Table1[[#This Row],[Date Created Conversion]])</f>
        <v>12</v>
      </c>
      <c r="N1190">
        <f>YEAR(Table1[[#This Row],[Date Created Conversion]])</f>
        <v>2016</v>
      </c>
      <c r="O1190" t="b">
        <v>0</v>
      </c>
      <c r="P1190">
        <v>85</v>
      </c>
      <c r="Q1190" t="b">
        <v>1</v>
      </c>
      <c r="R1190" t="s">
        <v>8285</v>
      </c>
      <c r="S1190" s="6">
        <f>Table1[[#This Row],[pledged]]/Table1[[#This Row],[goal]]</f>
        <v>1.6054999999999999</v>
      </c>
      <c r="T1190" s="8">
        <f>IF(Table1[[#This Row],[pledged]]=0,"no backers",Table1[[#This Row],[pledged]]/Table1[[#This Row],[backers_count]])</f>
        <v>37.776470588235291</v>
      </c>
      <c r="U1190" t="str">
        <f>LEFT(Table1[[#This Row],[Category and Sub-Category]],FIND("/",Table1[[#This Row],[Category and Sub-Category]])-1)</f>
        <v>photography</v>
      </c>
      <c r="V1190" t="str">
        <f>RIGHT(Table1[[#This Row],[Category and Sub-Category]],LEN(Table1[[#This Row],[Category and Sub-Category]])-FIND("/",Table1[[#This Row],[Category and Sub-Category]]))</f>
        <v>photobooks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 s="12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>((Table1[[#This Row],[deadline]]/60)/60/24)+DATE(1970,1,1)</f>
        <v>42550.979108796295</v>
      </c>
      <c r="K1191">
        <v>1465428595</v>
      </c>
      <c r="L1191" s="11">
        <f>((Table1[[#This Row],[launched_at]]/60)/60/24)+DATE(1970,1,1)</f>
        <v>42529.979108796295</v>
      </c>
      <c r="M1191">
        <f>MONTH(Table1[[#This Row],[Date Created Conversion]])</f>
        <v>6</v>
      </c>
      <c r="N1191">
        <f>YEAR(Table1[[#This Row],[Date Created Conversion]])</f>
        <v>2016</v>
      </c>
      <c r="O1191" t="b">
        <v>0</v>
      </c>
      <c r="P1191">
        <v>86</v>
      </c>
      <c r="Q1191" t="b">
        <v>1</v>
      </c>
      <c r="R1191" t="s">
        <v>8285</v>
      </c>
      <c r="S1191" s="6">
        <f>Table1[[#This Row],[pledged]]/Table1[[#This Row],[goal]]</f>
        <v>1.0777777777777777</v>
      </c>
      <c r="T1191" s="8">
        <f>IF(Table1[[#This Row],[pledged]]=0,"no backers",Table1[[#This Row],[pledged]]/Table1[[#This Row],[backers_count]])</f>
        <v>112.79069767441861</v>
      </c>
      <c r="U1191" t="str">
        <f>LEFT(Table1[[#This Row],[Category and Sub-Category]],FIND("/",Table1[[#This Row],[Category and Sub-Category]])-1)</f>
        <v>photography</v>
      </c>
      <c r="V1191" t="str">
        <f>RIGHT(Table1[[#This Row],[Category and Sub-Category]],LEN(Table1[[#This Row],[Category and Sub-Category]])-FIND("/",Table1[[#This Row],[Category and Sub-Category]]))</f>
        <v>photobooks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 s="1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>((Table1[[#This Row],[deadline]]/60)/60/24)+DATE(1970,1,1)</f>
        <v>41882.665798611109</v>
      </c>
      <c r="K1192">
        <v>1406908725</v>
      </c>
      <c r="L1192" s="11">
        <f>((Table1[[#This Row],[launched_at]]/60)/60/24)+DATE(1970,1,1)</f>
        <v>41852.665798611109</v>
      </c>
      <c r="M1192">
        <f>MONTH(Table1[[#This Row],[Date Created Conversion]])</f>
        <v>8</v>
      </c>
      <c r="N1192">
        <f>YEAR(Table1[[#This Row],[Date Created Conversion]])</f>
        <v>2014</v>
      </c>
      <c r="O1192" t="b">
        <v>0</v>
      </c>
      <c r="P1192">
        <v>13</v>
      </c>
      <c r="Q1192" t="b">
        <v>1</v>
      </c>
      <c r="R1192" t="s">
        <v>8285</v>
      </c>
      <c r="S1192" s="6">
        <f>Table1[[#This Row],[pledged]]/Table1[[#This Row],[goal]]</f>
        <v>1.35</v>
      </c>
      <c r="T1192" s="8">
        <f>IF(Table1[[#This Row],[pledged]]=0,"no backers",Table1[[#This Row],[pledged]]/Table1[[#This Row],[backers_count]])</f>
        <v>51.92307692307692</v>
      </c>
      <c r="U1192" t="str">
        <f>LEFT(Table1[[#This Row],[Category and Sub-Category]],FIND("/",Table1[[#This Row],[Category and Sub-Category]])-1)</f>
        <v>photography</v>
      </c>
      <c r="V1192" t="str">
        <f>RIGHT(Table1[[#This Row],[Category and Sub-Category]],LEN(Table1[[#This Row],[Category and Sub-Category]])-FIND("/",Table1[[#This Row],[Category and Sub-Category]]))</f>
        <v>photobooks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 s="12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>((Table1[[#This Row],[deadline]]/60)/60/24)+DATE(1970,1,1)</f>
        <v>42449.562037037031</v>
      </c>
      <c r="K1193">
        <v>1455892160</v>
      </c>
      <c r="L1193" s="11">
        <f>((Table1[[#This Row],[launched_at]]/60)/60/24)+DATE(1970,1,1)</f>
        <v>42419.603703703702</v>
      </c>
      <c r="M1193">
        <f>MONTH(Table1[[#This Row],[Date Created Conversion]])</f>
        <v>2</v>
      </c>
      <c r="N1193">
        <f>YEAR(Table1[[#This Row],[Date Created Conversion]])</f>
        <v>2016</v>
      </c>
      <c r="O1193" t="b">
        <v>0</v>
      </c>
      <c r="P1193">
        <v>33</v>
      </c>
      <c r="Q1193" t="b">
        <v>1</v>
      </c>
      <c r="R1193" t="s">
        <v>8285</v>
      </c>
      <c r="S1193" s="6">
        <f>Table1[[#This Row],[pledged]]/Table1[[#This Row],[goal]]</f>
        <v>1.0907407407407408</v>
      </c>
      <c r="T1193" s="8">
        <f>IF(Table1[[#This Row],[pledged]]=0,"no backers",Table1[[#This Row],[pledged]]/Table1[[#This Row],[backers_count]])</f>
        <v>89.242424242424249</v>
      </c>
      <c r="U1193" t="str">
        <f>LEFT(Table1[[#This Row],[Category and Sub-Category]],FIND("/",Table1[[#This Row],[Category and Sub-Category]])-1)</f>
        <v>photography</v>
      </c>
      <c r="V1193" t="str">
        <f>RIGHT(Table1[[#This Row],[Category and Sub-Category]],LEN(Table1[[#This Row],[Category and Sub-Category]])-FIND("/",Table1[[#This Row],[Category and Sub-Category]]))</f>
        <v>photobooks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 s="12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>((Table1[[#This Row],[deadline]]/60)/60/24)+DATE(1970,1,1)</f>
        <v>42777.506689814814</v>
      </c>
      <c r="K1194">
        <v>1484222978</v>
      </c>
      <c r="L1194" s="11">
        <f>((Table1[[#This Row],[launched_at]]/60)/60/24)+DATE(1970,1,1)</f>
        <v>42747.506689814814</v>
      </c>
      <c r="M1194">
        <f>MONTH(Table1[[#This Row],[Date Created Conversion]])</f>
        <v>1</v>
      </c>
      <c r="N1194">
        <f>YEAR(Table1[[#This Row],[Date Created Conversion]])</f>
        <v>2017</v>
      </c>
      <c r="O1194" t="b">
        <v>0</v>
      </c>
      <c r="P1194">
        <v>15</v>
      </c>
      <c r="Q1194" t="b">
        <v>1</v>
      </c>
      <c r="R1194" t="s">
        <v>8285</v>
      </c>
      <c r="S1194" s="6">
        <f>Table1[[#This Row],[pledged]]/Table1[[#This Row],[goal]]</f>
        <v>2.9</v>
      </c>
      <c r="T1194" s="8">
        <f>IF(Table1[[#This Row],[pledged]]=0,"no backers",Table1[[#This Row],[pledged]]/Table1[[#This Row],[backers_count]])</f>
        <v>19.333333333333332</v>
      </c>
      <c r="U1194" t="str">
        <f>LEFT(Table1[[#This Row],[Category and Sub-Category]],FIND("/",Table1[[#This Row],[Category and Sub-Category]])-1)</f>
        <v>photography</v>
      </c>
      <c r="V1194" t="str">
        <f>RIGHT(Table1[[#This Row],[Category and Sub-Category]],LEN(Table1[[#This Row],[Category and Sub-Category]])-FIND("/",Table1[[#This Row],[Category and Sub-Category]]))</f>
        <v>photobooks</v>
      </c>
    </row>
    <row r="1195" spans="1:22" ht="57.6" x14ac:dyDescent="0.3">
      <c r="A1195">
        <v>1193</v>
      </c>
      <c r="B1195" s="3" t="s">
        <v>1194</v>
      </c>
      <c r="C1195" s="3" t="s">
        <v>5303</v>
      </c>
      <c r="D1195" s="12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>((Table1[[#This Row],[deadline]]/60)/60/24)+DATE(1970,1,1)</f>
        <v>42469.734409722223</v>
      </c>
      <c r="K1195">
        <v>1455043053</v>
      </c>
      <c r="L1195" s="11">
        <f>((Table1[[#This Row],[launched_at]]/60)/60/24)+DATE(1970,1,1)</f>
        <v>42409.776076388895</v>
      </c>
      <c r="M1195">
        <f>MONTH(Table1[[#This Row],[Date Created Conversion]])</f>
        <v>2</v>
      </c>
      <c r="N1195">
        <f>YEAR(Table1[[#This Row],[Date Created Conversion]])</f>
        <v>2016</v>
      </c>
      <c r="O1195" t="b">
        <v>0</v>
      </c>
      <c r="P1195">
        <v>273</v>
      </c>
      <c r="Q1195" t="b">
        <v>1</v>
      </c>
      <c r="R1195" t="s">
        <v>8285</v>
      </c>
      <c r="S1195" s="6">
        <f>Table1[[#This Row],[pledged]]/Table1[[#This Row],[goal]]</f>
        <v>1.0395714285714286</v>
      </c>
      <c r="T1195" s="8">
        <f>IF(Table1[[#This Row],[pledged]]=0,"no backers",Table1[[#This Row],[pledged]]/Table1[[#This Row],[backers_count]])</f>
        <v>79.967032967032964</v>
      </c>
      <c r="U1195" t="str">
        <f>LEFT(Table1[[#This Row],[Category and Sub-Category]],FIND("/",Table1[[#This Row],[Category and Sub-Category]])-1)</f>
        <v>photography</v>
      </c>
      <c r="V1195" t="str">
        <f>RIGHT(Table1[[#This Row],[Category and Sub-Category]],LEN(Table1[[#This Row],[Category and Sub-Category]])-FIND("/",Table1[[#This Row],[Category and Sub-Category]]))</f>
        <v>photobooks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 s="12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>((Table1[[#This Row],[deadline]]/60)/60/24)+DATE(1970,1,1)</f>
        <v>42102.488182870366</v>
      </c>
      <c r="K1196">
        <v>1425901379</v>
      </c>
      <c r="L1196" s="11">
        <f>((Table1[[#This Row],[launched_at]]/60)/60/24)+DATE(1970,1,1)</f>
        <v>42072.488182870366</v>
      </c>
      <c r="M1196">
        <f>MONTH(Table1[[#This Row],[Date Created Conversion]])</f>
        <v>3</v>
      </c>
      <c r="N1196">
        <f>YEAR(Table1[[#This Row],[Date Created Conversion]])</f>
        <v>2015</v>
      </c>
      <c r="O1196" t="b">
        <v>0</v>
      </c>
      <c r="P1196">
        <v>714</v>
      </c>
      <c r="Q1196" t="b">
        <v>1</v>
      </c>
      <c r="R1196" t="s">
        <v>8285</v>
      </c>
      <c r="S1196" s="6">
        <f>Table1[[#This Row],[pledged]]/Table1[[#This Row],[goal]]</f>
        <v>3.2223999999999999</v>
      </c>
      <c r="T1196" s="8">
        <f>IF(Table1[[#This Row],[pledged]]=0,"no backers",Table1[[#This Row],[pledged]]/Table1[[#This Row],[backers_count]])</f>
        <v>56.414565826330531</v>
      </c>
      <c r="U1196" t="str">
        <f>LEFT(Table1[[#This Row],[Category and Sub-Category]],FIND("/",Table1[[#This Row],[Category and Sub-Category]])-1)</f>
        <v>photography</v>
      </c>
      <c r="V1196" t="str">
        <f>RIGHT(Table1[[#This Row],[Category and Sub-Category]],LEN(Table1[[#This Row],[Category and Sub-Category]])-FIND("/",Table1[[#This Row],[Category and Sub-Category]]))</f>
        <v>photobooks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 s="12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>((Table1[[#This Row],[deadline]]/60)/60/24)+DATE(1970,1,1)</f>
        <v>42358.375</v>
      </c>
      <c r="K1197">
        <v>1445415653</v>
      </c>
      <c r="L1197" s="11">
        <f>((Table1[[#This Row],[launched_at]]/60)/60/24)+DATE(1970,1,1)</f>
        <v>42298.34783564815</v>
      </c>
      <c r="M1197">
        <f>MONTH(Table1[[#This Row],[Date Created Conversion]])</f>
        <v>10</v>
      </c>
      <c r="N1197">
        <f>YEAR(Table1[[#This Row],[Date Created Conversion]])</f>
        <v>2015</v>
      </c>
      <c r="O1197" t="b">
        <v>0</v>
      </c>
      <c r="P1197">
        <v>170</v>
      </c>
      <c r="Q1197" t="b">
        <v>1</v>
      </c>
      <c r="R1197" t="s">
        <v>8285</v>
      </c>
      <c r="S1197" s="6">
        <f>Table1[[#This Row],[pledged]]/Table1[[#This Row],[goal]]</f>
        <v>1.35</v>
      </c>
      <c r="T1197" s="8">
        <f>IF(Table1[[#This Row],[pledged]]=0,"no backers",Table1[[#This Row],[pledged]]/Table1[[#This Row],[backers_count]])</f>
        <v>79.411764705882348</v>
      </c>
      <c r="U1197" t="str">
        <f>LEFT(Table1[[#This Row],[Category and Sub-Category]],FIND("/",Table1[[#This Row],[Category and Sub-Category]])-1)</f>
        <v>photography</v>
      </c>
      <c r="V1197" t="str">
        <f>RIGHT(Table1[[#This Row],[Category and Sub-Category]],LEN(Table1[[#This Row],[Category and Sub-Category]])-FIND("/",Table1[[#This Row],[Category and Sub-Category]]))</f>
        <v>photobooks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 s="12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>((Table1[[#This Row],[deadline]]/60)/60/24)+DATE(1970,1,1)</f>
        <v>42356.818738425922</v>
      </c>
      <c r="K1198">
        <v>1447875539</v>
      </c>
      <c r="L1198" s="11">
        <f>((Table1[[#This Row],[launched_at]]/60)/60/24)+DATE(1970,1,1)</f>
        <v>42326.818738425922</v>
      </c>
      <c r="M1198">
        <f>MONTH(Table1[[#This Row],[Date Created Conversion]])</f>
        <v>11</v>
      </c>
      <c r="N1198">
        <f>YEAR(Table1[[#This Row],[Date Created Conversion]])</f>
        <v>2015</v>
      </c>
      <c r="O1198" t="b">
        <v>0</v>
      </c>
      <c r="P1198">
        <v>512</v>
      </c>
      <c r="Q1198" t="b">
        <v>1</v>
      </c>
      <c r="R1198" t="s">
        <v>8285</v>
      </c>
      <c r="S1198" s="6">
        <f>Table1[[#This Row],[pledged]]/Table1[[#This Row],[goal]]</f>
        <v>2.6991034482758622</v>
      </c>
      <c r="T1198" s="8">
        <f>IF(Table1[[#This Row],[pledged]]=0,"no backers",Table1[[#This Row],[pledged]]/Table1[[#This Row],[backers_count]])</f>
        <v>76.439453125</v>
      </c>
      <c r="U1198" t="str">
        <f>LEFT(Table1[[#This Row],[Category and Sub-Category]],FIND("/",Table1[[#This Row],[Category and Sub-Category]])-1)</f>
        <v>photography</v>
      </c>
      <c r="V1198" t="str">
        <f>RIGHT(Table1[[#This Row],[Category and Sub-Category]],LEN(Table1[[#This Row],[Category and Sub-Category]])-FIND("/",Table1[[#This Row],[Category and Sub-Category]]))</f>
        <v>photobooks</v>
      </c>
    </row>
    <row r="1199" spans="1:22" ht="57.6" x14ac:dyDescent="0.3">
      <c r="A1199">
        <v>1197</v>
      </c>
      <c r="B1199" s="3" t="s">
        <v>1198</v>
      </c>
      <c r="C1199" s="3" t="s">
        <v>5307</v>
      </c>
      <c r="D1199" s="12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>((Table1[[#This Row],[deadline]]/60)/60/24)+DATE(1970,1,1)</f>
        <v>42534.249305555553</v>
      </c>
      <c r="K1199">
        <v>1463155034</v>
      </c>
      <c r="L1199" s="11">
        <f>((Table1[[#This Row],[launched_at]]/60)/60/24)+DATE(1970,1,1)</f>
        <v>42503.66474537037</v>
      </c>
      <c r="M1199">
        <f>MONTH(Table1[[#This Row],[Date Created Conversion]])</f>
        <v>5</v>
      </c>
      <c r="N1199">
        <f>YEAR(Table1[[#This Row],[Date Created Conversion]])</f>
        <v>2016</v>
      </c>
      <c r="O1199" t="b">
        <v>0</v>
      </c>
      <c r="P1199">
        <v>314</v>
      </c>
      <c r="Q1199" t="b">
        <v>1</v>
      </c>
      <c r="R1199" t="s">
        <v>8285</v>
      </c>
      <c r="S1199" s="6">
        <f>Table1[[#This Row],[pledged]]/Table1[[#This Row],[goal]]</f>
        <v>2.5329333333333333</v>
      </c>
      <c r="T1199" s="8">
        <f>IF(Table1[[#This Row],[pledged]]=0,"no backers",Table1[[#This Row],[pledged]]/Table1[[#This Row],[backers_count]])</f>
        <v>121</v>
      </c>
      <c r="U1199" t="str">
        <f>LEFT(Table1[[#This Row],[Category and Sub-Category]],FIND("/",Table1[[#This Row],[Category and Sub-Category]])-1)</f>
        <v>photography</v>
      </c>
      <c r="V1199" t="str">
        <f>RIGHT(Table1[[#This Row],[Category and Sub-Category]],LEN(Table1[[#This Row],[Category and Sub-Category]])-FIND("/",Table1[[#This Row],[Category and Sub-Category]]))</f>
        <v>photobooks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 s="12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>((Table1[[#This Row],[deadline]]/60)/60/24)+DATE(1970,1,1)</f>
        <v>42369.125</v>
      </c>
      <c r="K1200">
        <v>1448463086</v>
      </c>
      <c r="L1200" s="11">
        <f>((Table1[[#This Row],[launched_at]]/60)/60/24)+DATE(1970,1,1)</f>
        <v>42333.619050925925</v>
      </c>
      <c r="M1200">
        <f>MONTH(Table1[[#This Row],[Date Created Conversion]])</f>
        <v>11</v>
      </c>
      <c r="N1200">
        <f>YEAR(Table1[[#This Row],[Date Created Conversion]])</f>
        <v>2015</v>
      </c>
      <c r="O1200" t="b">
        <v>0</v>
      </c>
      <c r="P1200">
        <v>167</v>
      </c>
      <c r="Q1200" t="b">
        <v>1</v>
      </c>
      <c r="R1200" t="s">
        <v>8285</v>
      </c>
      <c r="S1200" s="6">
        <f>Table1[[#This Row],[pledged]]/Table1[[#This Row],[goal]]</f>
        <v>2.6059999999999999</v>
      </c>
      <c r="T1200" s="8">
        <f>IF(Table1[[#This Row],[pledged]]=0,"no backers",Table1[[#This Row],[pledged]]/Table1[[#This Row],[backers_count]])</f>
        <v>54.616766467065865</v>
      </c>
      <c r="U1200" t="str">
        <f>LEFT(Table1[[#This Row],[Category and Sub-Category]],FIND("/",Table1[[#This Row],[Category and Sub-Category]])-1)</f>
        <v>photography</v>
      </c>
      <c r="V1200" t="str">
        <f>RIGHT(Table1[[#This Row],[Category and Sub-Category]],LEN(Table1[[#This Row],[Category and Sub-Category]])-FIND("/",Table1[[#This Row],[Category and Sub-Category]]))</f>
        <v>photobooks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 s="12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>((Table1[[#This Row],[deadline]]/60)/60/24)+DATE(1970,1,1)</f>
        <v>42193.770833333328</v>
      </c>
      <c r="K1201">
        <v>1433615400</v>
      </c>
      <c r="L1201" s="11">
        <f>((Table1[[#This Row],[launched_at]]/60)/60/24)+DATE(1970,1,1)</f>
        <v>42161.770833333328</v>
      </c>
      <c r="M1201">
        <f>MONTH(Table1[[#This Row],[Date Created Conversion]])</f>
        <v>6</v>
      </c>
      <c r="N1201">
        <f>YEAR(Table1[[#This Row],[Date Created Conversion]])</f>
        <v>2015</v>
      </c>
      <c r="O1201" t="b">
        <v>0</v>
      </c>
      <c r="P1201">
        <v>9</v>
      </c>
      <c r="Q1201" t="b">
        <v>1</v>
      </c>
      <c r="R1201" t="s">
        <v>8285</v>
      </c>
      <c r="S1201" s="6">
        <f>Table1[[#This Row],[pledged]]/Table1[[#This Row],[goal]]</f>
        <v>1.0131677953348381</v>
      </c>
      <c r="T1201" s="8">
        <f>IF(Table1[[#This Row],[pledged]]=0,"no backers",Table1[[#This Row],[pledged]]/Table1[[#This Row],[backers_count]])</f>
        <v>299.22222222222223</v>
      </c>
      <c r="U1201" t="str">
        <f>LEFT(Table1[[#This Row],[Category and Sub-Category]],FIND("/",Table1[[#This Row],[Category and Sub-Category]])-1)</f>
        <v>photography</v>
      </c>
      <c r="V1201" t="str">
        <f>RIGHT(Table1[[#This Row],[Category and Sub-Category]],LEN(Table1[[#This Row],[Category and Sub-Category]])-FIND("/",Table1[[#This Row],[Category and Sub-Category]]))</f>
        <v>photobooks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 s="1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>((Table1[[#This Row],[deadline]]/60)/60/24)+DATE(1970,1,1)</f>
        <v>42110.477500000001</v>
      </c>
      <c r="K1202">
        <v>1427369256</v>
      </c>
      <c r="L1202" s="11">
        <f>((Table1[[#This Row],[launched_at]]/60)/60/24)+DATE(1970,1,1)</f>
        <v>42089.477500000001</v>
      </c>
      <c r="M1202">
        <f>MONTH(Table1[[#This Row],[Date Created Conversion]])</f>
        <v>3</v>
      </c>
      <c r="N1202">
        <f>YEAR(Table1[[#This Row],[Date Created Conversion]])</f>
        <v>2015</v>
      </c>
      <c r="O1202" t="b">
        <v>0</v>
      </c>
      <c r="P1202">
        <v>103</v>
      </c>
      <c r="Q1202" t="b">
        <v>1</v>
      </c>
      <c r="R1202" t="s">
        <v>8285</v>
      </c>
      <c r="S1202" s="6">
        <f>Table1[[#This Row],[pledged]]/Table1[[#This Row],[goal]]</f>
        <v>1.2560416666666667</v>
      </c>
      <c r="T1202" s="8">
        <f>IF(Table1[[#This Row],[pledged]]=0,"no backers",Table1[[#This Row],[pledged]]/Table1[[#This Row],[backers_count]])</f>
        <v>58.533980582524272</v>
      </c>
      <c r="U1202" t="str">
        <f>LEFT(Table1[[#This Row],[Category and Sub-Category]],FIND("/",Table1[[#This Row],[Category and Sub-Category]])-1)</f>
        <v>photography</v>
      </c>
      <c r="V1202" t="str">
        <f>RIGHT(Table1[[#This Row],[Category and Sub-Category]],LEN(Table1[[#This Row],[Category and Sub-Category]])-FIND("/",Table1[[#This Row],[Category and Sub-Category]]))</f>
        <v>photobooks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 s="12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>((Table1[[#This Row],[deadline]]/60)/60/24)+DATE(1970,1,1)</f>
        <v>42566.60701388889</v>
      </c>
      <c r="K1203">
        <v>1466001246</v>
      </c>
      <c r="L1203" s="11">
        <f>((Table1[[#This Row],[launched_at]]/60)/60/24)+DATE(1970,1,1)</f>
        <v>42536.60701388889</v>
      </c>
      <c r="M1203">
        <f>MONTH(Table1[[#This Row],[Date Created Conversion]])</f>
        <v>6</v>
      </c>
      <c r="N1203">
        <f>YEAR(Table1[[#This Row],[Date Created Conversion]])</f>
        <v>2016</v>
      </c>
      <c r="O1203" t="b">
        <v>0</v>
      </c>
      <c r="P1203">
        <v>111</v>
      </c>
      <c r="Q1203" t="b">
        <v>1</v>
      </c>
      <c r="R1203" t="s">
        <v>8285</v>
      </c>
      <c r="S1203" s="6">
        <f>Table1[[#This Row],[pledged]]/Table1[[#This Row],[goal]]</f>
        <v>1.0243783333333334</v>
      </c>
      <c r="T1203" s="8">
        <f>IF(Table1[[#This Row],[pledged]]=0,"no backers",Table1[[#This Row],[pledged]]/Table1[[#This Row],[backers_count]])</f>
        <v>55.371801801801809</v>
      </c>
      <c r="U1203" t="str">
        <f>LEFT(Table1[[#This Row],[Category and Sub-Category]],FIND("/",Table1[[#This Row],[Category and Sub-Category]])-1)</f>
        <v>photography</v>
      </c>
      <c r="V1203" t="str">
        <f>RIGHT(Table1[[#This Row],[Category and Sub-Category]],LEN(Table1[[#This Row],[Category and Sub-Category]])-FIND("/",Table1[[#This Row],[Category and Sub-Category]]))</f>
        <v>photobooks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 s="12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>((Table1[[#This Row],[deadline]]/60)/60/24)+DATE(1970,1,1)</f>
        <v>42182.288819444439</v>
      </c>
      <c r="K1204">
        <v>1432796154</v>
      </c>
      <c r="L1204" s="11">
        <f>((Table1[[#This Row],[launched_at]]/60)/60/24)+DATE(1970,1,1)</f>
        <v>42152.288819444439</v>
      </c>
      <c r="M1204">
        <f>MONTH(Table1[[#This Row],[Date Created Conversion]])</f>
        <v>5</v>
      </c>
      <c r="N1204">
        <f>YEAR(Table1[[#This Row],[Date Created Conversion]])</f>
        <v>2015</v>
      </c>
      <c r="O1204" t="b">
        <v>0</v>
      </c>
      <c r="P1204">
        <v>271</v>
      </c>
      <c r="Q1204" t="b">
        <v>1</v>
      </c>
      <c r="R1204" t="s">
        <v>8285</v>
      </c>
      <c r="S1204" s="6">
        <f>Table1[[#This Row],[pledged]]/Table1[[#This Row],[goal]]</f>
        <v>1.99244</v>
      </c>
      <c r="T1204" s="8">
        <f>IF(Table1[[#This Row],[pledged]]=0,"no backers",Table1[[#This Row],[pledged]]/Table1[[#This Row],[backers_count]])</f>
        <v>183.80442804428046</v>
      </c>
      <c r="U1204" t="str">
        <f>LEFT(Table1[[#This Row],[Category and Sub-Category]],FIND("/",Table1[[#This Row],[Category and Sub-Category]])-1)</f>
        <v>photography</v>
      </c>
      <c r="V1204" t="str">
        <f>RIGHT(Table1[[#This Row],[Category and Sub-Category]],LEN(Table1[[#This Row],[Category and Sub-Category]])-FIND("/",Table1[[#This Row],[Category and Sub-Category]]))</f>
        <v>photobooks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 s="12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>((Table1[[#This Row],[deadline]]/60)/60/24)+DATE(1970,1,1)</f>
        <v>42155.614895833336</v>
      </c>
      <c r="K1205">
        <v>1430491527</v>
      </c>
      <c r="L1205" s="11">
        <f>((Table1[[#This Row],[launched_at]]/60)/60/24)+DATE(1970,1,1)</f>
        <v>42125.614895833336</v>
      </c>
      <c r="M1205">
        <f>MONTH(Table1[[#This Row],[Date Created Conversion]])</f>
        <v>5</v>
      </c>
      <c r="N1205">
        <f>YEAR(Table1[[#This Row],[Date Created Conversion]])</f>
        <v>2015</v>
      </c>
      <c r="O1205" t="b">
        <v>0</v>
      </c>
      <c r="P1205">
        <v>101</v>
      </c>
      <c r="Q1205" t="b">
        <v>1</v>
      </c>
      <c r="R1205" t="s">
        <v>8285</v>
      </c>
      <c r="S1205" s="6">
        <f>Table1[[#This Row],[pledged]]/Table1[[#This Row],[goal]]</f>
        <v>1.0245398773006136</v>
      </c>
      <c r="T1205" s="8">
        <f>IF(Table1[[#This Row],[pledged]]=0,"no backers",Table1[[#This Row],[pledged]]/Table1[[#This Row],[backers_count]])</f>
        <v>165.34653465346534</v>
      </c>
      <c r="U1205" t="str">
        <f>LEFT(Table1[[#This Row],[Category and Sub-Category]],FIND("/",Table1[[#This Row],[Category and Sub-Category]])-1)</f>
        <v>photography</v>
      </c>
      <c r="V1205" t="str">
        <f>RIGHT(Table1[[#This Row],[Category and Sub-Category]],LEN(Table1[[#This Row],[Category and Sub-Category]])-FIND("/",Table1[[#This Row],[Category and Sub-Category]]))</f>
        <v>photobooks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 s="12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>((Table1[[#This Row],[deadline]]/60)/60/24)+DATE(1970,1,1)</f>
        <v>42342.208333333328</v>
      </c>
      <c r="K1206">
        <v>1445363833</v>
      </c>
      <c r="L1206" s="11">
        <f>((Table1[[#This Row],[launched_at]]/60)/60/24)+DATE(1970,1,1)</f>
        <v>42297.748067129629</v>
      </c>
      <c r="M1206">
        <f>MONTH(Table1[[#This Row],[Date Created Conversion]])</f>
        <v>10</v>
      </c>
      <c r="N1206">
        <f>YEAR(Table1[[#This Row],[Date Created Conversion]])</f>
        <v>2015</v>
      </c>
      <c r="O1206" t="b">
        <v>0</v>
      </c>
      <c r="P1206">
        <v>57</v>
      </c>
      <c r="Q1206" t="b">
        <v>1</v>
      </c>
      <c r="R1206" t="s">
        <v>8285</v>
      </c>
      <c r="S1206" s="6">
        <f>Table1[[#This Row],[pledged]]/Table1[[#This Row],[goal]]</f>
        <v>1.0294615384615384</v>
      </c>
      <c r="T1206" s="8">
        <f>IF(Table1[[#This Row],[pledged]]=0,"no backers",Table1[[#This Row],[pledged]]/Table1[[#This Row],[backers_count]])</f>
        <v>234.78947368421052</v>
      </c>
      <c r="U1206" t="str">
        <f>LEFT(Table1[[#This Row],[Category and Sub-Category]],FIND("/",Table1[[#This Row],[Category and Sub-Category]])-1)</f>
        <v>photography</v>
      </c>
      <c r="V1206" t="str">
        <f>RIGHT(Table1[[#This Row],[Category and Sub-Category]],LEN(Table1[[#This Row],[Category and Sub-Category]])-FIND("/",Table1[[#This Row],[Category and Sub-Category]]))</f>
        <v>photobooks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 s="12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>((Table1[[#This Row],[deadline]]/60)/60/24)+DATE(1970,1,1)</f>
        <v>42168.506377314814</v>
      </c>
      <c r="K1207">
        <v>1431605351</v>
      </c>
      <c r="L1207" s="11">
        <f>((Table1[[#This Row],[launched_at]]/60)/60/24)+DATE(1970,1,1)</f>
        <v>42138.506377314814</v>
      </c>
      <c r="M1207">
        <f>MONTH(Table1[[#This Row],[Date Created Conversion]])</f>
        <v>5</v>
      </c>
      <c r="N1207">
        <f>YEAR(Table1[[#This Row],[Date Created Conversion]])</f>
        <v>2015</v>
      </c>
      <c r="O1207" t="b">
        <v>0</v>
      </c>
      <c r="P1207">
        <v>62</v>
      </c>
      <c r="Q1207" t="b">
        <v>1</v>
      </c>
      <c r="R1207" t="s">
        <v>8285</v>
      </c>
      <c r="S1207" s="6">
        <f>Table1[[#This Row],[pledged]]/Table1[[#This Row],[goal]]</f>
        <v>1.0086153846153847</v>
      </c>
      <c r="T1207" s="8">
        <f>IF(Table1[[#This Row],[pledged]]=0,"no backers",Table1[[#This Row],[pledged]]/Table1[[#This Row],[backers_count]])</f>
        <v>211.48387096774192</v>
      </c>
      <c r="U1207" t="str">
        <f>LEFT(Table1[[#This Row],[Category and Sub-Category]],FIND("/",Table1[[#This Row],[Category and Sub-Category]])-1)</f>
        <v>photography</v>
      </c>
      <c r="V1207" t="str">
        <f>RIGHT(Table1[[#This Row],[Category and Sub-Category]],LEN(Table1[[#This Row],[Category and Sub-Category]])-FIND("/",Table1[[#This Row],[Category and Sub-Category]]))</f>
        <v>photobooks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 s="12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>((Table1[[#This Row],[deadline]]/60)/60/24)+DATE(1970,1,1)</f>
        <v>42805.561805555553</v>
      </c>
      <c r="K1208">
        <v>1486406253</v>
      </c>
      <c r="L1208" s="11">
        <f>((Table1[[#This Row],[launched_at]]/60)/60/24)+DATE(1970,1,1)</f>
        <v>42772.776076388895</v>
      </c>
      <c r="M1208">
        <f>MONTH(Table1[[#This Row],[Date Created Conversion]])</f>
        <v>2</v>
      </c>
      <c r="N1208">
        <f>YEAR(Table1[[#This Row],[Date Created Conversion]])</f>
        <v>2017</v>
      </c>
      <c r="O1208" t="b">
        <v>0</v>
      </c>
      <c r="P1208">
        <v>32</v>
      </c>
      <c r="Q1208" t="b">
        <v>1</v>
      </c>
      <c r="R1208" t="s">
        <v>8285</v>
      </c>
      <c r="S1208" s="6">
        <f>Table1[[#This Row],[pledged]]/Table1[[#This Row],[goal]]</f>
        <v>1.1499999999999999</v>
      </c>
      <c r="T1208" s="8">
        <f>IF(Table1[[#This Row],[pledged]]=0,"no backers",Table1[[#This Row],[pledged]]/Table1[[#This Row],[backers_count]])</f>
        <v>32.34375</v>
      </c>
      <c r="U1208" t="str">
        <f>LEFT(Table1[[#This Row],[Category and Sub-Category]],FIND("/",Table1[[#This Row],[Category and Sub-Category]])-1)</f>
        <v>photography</v>
      </c>
      <c r="V1208" t="str">
        <f>RIGHT(Table1[[#This Row],[Category and Sub-Category]],LEN(Table1[[#This Row],[Category and Sub-Category]])-FIND("/",Table1[[#This Row],[Category and Sub-Category]]))</f>
        <v>photobooks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 s="12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>((Table1[[#This Row],[deadline]]/60)/60/24)+DATE(1970,1,1)</f>
        <v>42460.416666666672</v>
      </c>
      <c r="K1209">
        <v>1456827573</v>
      </c>
      <c r="L1209" s="11">
        <f>((Table1[[#This Row],[launched_at]]/60)/60/24)+DATE(1970,1,1)</f>
        <v>42430.430243055554</v>
      </c>
      <c r="M1209">
        <f>MONTH(Table1[[#This Row],[Date Created Conversion]])</f>
        <v>3</v>
      </c>
      <c r="N1209">
        <f>YEAR(Table1[[#This Row],[Date Created Conversion]])</f>
        <v>2016</v>
      </c>
      <c r="O1209" t="b">
        <v>0</v>
      </c>
      <c r="P1209">
        <v>141</v>
      </c>
      <c r="Q1209" t="b">
        <v>1</v>
      </c>
      <c r="R1209" t="s">
        <v>8285</v>
      </c>
      <c r="S1209" s="6">
        <f>Table1[[#This Row],[pledged]]/Table1[[#This Row],[goal]]</f>
        <v>1.0416766467065868</v>
      </c>
      <c r="T1209" s="8">
        <f>IF(Table1[[#This Row],[pledged]]=0,"no backers",Table1[[#This Row],[pledged]]/Table1[[#This Row],[backers_count]])</f>
        <v>123.37588652482269</v>
      </c>
      <c r="U1209" t="str">
        <f>LEFT(Table1[[#This Row],[Category and Sub-Category]],FIND("/",Table1[[#This Row],[Category and Sub-Category]])-1)</f>
        <v>photography</v>
      </c>
      <c r="V1209" t="str">
        <f>RIGHT(Table1[[#This Row],[Category and Sub-Category]],LEN(Table1[[#This Row],[Category and Sub-Category]])-FIND("/",Table1[[#This Row],[Category and Sub-Category]]))</f>
        <v>photobooks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 s="12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>((Table1[[#This Row],[deadline]]/60)/60/24)+DATE(1970,1,1)</f>
        <v>42453.667407407411</v>
      </c>
      <c r="K1210">
        <v>1456246864</v>
      </c>
      <c r="L1210" s="11">
        <f>((Table1[[#This Row],[launched_at]]/60)/60/24)+DATE(1970,1,1)</f>
        <v>42423.709074074075</v>
      </c>
      <c r="M1210">
        <f>MONTH(Table1[[#This Row],[Date Created Conversion]])</f>
        <v>2</v>
      </c>
      <c r="N1210">
        <f>YEAR(Table1[[#This Row],[Date Created Conversion]])</f>
        <v>2016</v>
      </c>
      <c r="O1210" t="b">
        <v>0</v>
      </c>
      <c r="P1210">
        <v>75</v>
      </c>
      <c r="Q1210" t="b">
        <v>1</v>
      </c>
      <c r="R1210" t="s">
        <v>8285</v>
      </c>
      <c r="S1210" s="6">
        <f>Table1[[#This Row],[pledged]]/Table1[[#This Row],[goal]]</f>
        <v>1.5529999999999999</v>
      </c>
      <c r="T1210" s="8">
        <f>IF(Table1[[#This Row],[pledged]]=0,"no backers",Table1[[#This Row],[pledged]]/Table1[[#This Row],[backers_count]])</f>
        <v>207.06666666666666</v>
      </c>
      <c r="U1210" t="str">
        <f>LEFT(Table1[[#This Row],[Category and Sub-Category]],FIND("/",Table1[[#This Row],[Category and Sub-Category]])-1)</f>
        <v>photography</v>
      </c>
      <c r="V1210" t="str">
        <f>RIGHT(Table1[[#This Row],[Category and Sub-Category]],LEN(Table1[[#This Row],[Category and Sub-Category]])-FIND("/",Table1[[#This Row],[Category and Sub-Category]]))</f>
        <v>photobooks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 s="12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>((Table1[[#This Row],[deadline]]/60)/60/24)+DATE(1970,1,1)</f>
        <v>42791.846122685187</v>
      </c>
      <c r="K1211">
        <v>1485461905</v>
      </c>
      <c r="L1211" s="11">
        <f>((Table1[[#This Row],[launched_at]]/60)/60/24)+DATE(1970,1,1)</f>
        <v>42761.846122685187</v>
      </c>
      <c r="M1211">
        <f>MONTH(Table1[[#This Row],[Date Created Conversion]])</f>
        <v>1</v>
      </c>
      <c r="N1211">
        <f>YEAR(Table1[[#This Row],[Date Created Conversion]])</f>
        <v>2017</v>
      </c>
      <c r="O1211" t="b">
        <v>0</v>
      </c>
      <c r="P1211">
        <v>46</v>
      </c>
      <c r="Q1211" t="b">
        <v>1</v>
      </c>
      <c r="R1211" t="s">
        <v>8285</v>
      </c>
      <c r="S1211" s="6">
        <f>Table1[[#This Row],[pledged]]/Table1[[#This Row],[goal]]</f>
        <v>1.06</v>
      </c>
      <c r="T1211" s="8">
        <f>IF(Table1[[#This Row],[pledged]]=0,"no backers",Table1[[#This Row],[pledged]]/Table1[[#This Row],[backers_count]])</f>
        <v>138.2608695652174</v>
      </c>
      <c r="U1211" t="str">
        <f>LEFT(Table1[[#This Row],[Category and Sub-Category]],FIND("/",Table1[[#This Row],[Category and Sub-Category]])-1)</f>
        <v>photography</v>
      </c>
      <c r="V1211" t="str">
        <f>RIGHT(Table1[[#This Row],[Category and Sub-Category]],LEN(Table1[[#This Row],[Category and Sub-Category]])-FIND("/",Table1[[#This Row],[Category and Sub-Category]]))</f>
        <v>photobooks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 s="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>((Table1[[#This Row],[deadline]]/60)/60/24)+DATE(1970,1,1)</f>
        <v>42155.875</v>
      </c>
      <c r="K1212">
        <v>1431124572</v>
      </c>
      <c r="L1212" s="11">
        <f>((Table1[[#This Row],[launched_at]]/60)/60/24)+DATE(1970,1,1)</f>
        <v>42132.941805555558</v>
      </c>
      <c r="M1212">
        <f>MONTH(Table1[[#This Row],[Date Created Conversion]])</f>
        <v>5</v>
      </c>
      <c r="N1212">
        <f>YEAR(Table1[[#This Row],[Date Created Conversion]])</f>
        <v>2015</v>
      </c>
      <c r="O1212" t="b">
        <v>0</v>
      </c>
      <c r="P1212">
        <v>103</v>
      </c>
      <c r="Q1212" t="b">
        <v>1</v>
      </c>
      <c r="R1212" t="s">
        <v>8285</v>
      </c>
      <c r="S1212" s="6">
        <f>Table1[[#This Row],[pledged]]/Table1[[#This Row],[goal]]</f>
        <v>2.5431499999999998</v>
      </c>
      <c r="T1212" s="8">
        <f>IF(Table1[[#This Row],[pledged]]=0,"no backers",Table1[[#This Row],[pledged]]/Table1[[#This Row],[backers_count]])</f>
        <v>493.81553398058253</v>
      </c>
      <c r="U1212" t="str">
        <f>LEFT(Table1[[#This Row],[Category and Sub-Category]],FIND("/",Table1[[#This Row],[Category and Sub-Category]])-1)</f>
        <v>photography</v>
      </c>
      <c r="V1212" t="str">
        <f>RIGHT(Table1[[#This Row],[Category and Sub-Category]],LEN(Table1[[#This Row],[Category and Sub-Category]])-FIND("/",Table1[[#This Row],[Category and Sub-Category]]))</f>
        <v>photobooks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 s="12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>((Table1[[#This Row],[deadline]]/60)/60/24)+DATE(1970,1,1)</f>
        <v>42530.866446759261</v>
      </c>
      <c r="K1213">
        <v>1464209261</v>
      </c>
      <c r="L1213" s="11">
        <f>((Table1[[#This Row],[launched_at]]/60)/60/24)+DATE(1970,1,1)</f>
        <v>42515.866446759261</v>
      </c>
      <c r="M1213">
        <f>MONTH(Table1[[#This Row],[Date Created Conversion]])</f>
        <v>5</v>
      </c>
      <c r="N1213">
        <f>YEAR(Table1[[#This Row],[Date Created Conversion]])</f>
        <v>2016</v>
      </c>
      <c r="O1213" t="b">
        <v>0</v>
      </c>
      <c r="P1213">
        <v>6</v>
      </c>
      <c r="Q1213" t="b">
        <v>1</v>
      </c>
      <c r="R1213" t="s">
        <v>8285</v>
      </c>
      <c r="S1213" s="6">
        <f>Table1[[#This Row],[pledged]]/Table1[[#This Row],[goal]]</f>
        <v>1.0109999999999999</v>
      </c>
      <c r="T1213" s="8">
        <f>IF(Table1[[#This Row],[pledged]]=0,"no backers",Table1[[#This Row],[pledged]]/Table1[[#This Row],[backers_count]])</f>
        <v>168.5</v>
      </c>
      <c r="U1213" t="str">
        <f>LEFT(Table1[[#This Row],[Category and Sub-Category]],FIND("/",Table1[[#This Row],[Category and Sub-Category]])-1)</f>
        <v>photography</v>
      </c>
      <c r="V1213" t="str">
        <f>RIGHT(Table1[[#This Row],[Category and Sub-Category]],LEN(Table1[[#This Row],[Category and Sub-Category]])-FIND("/",Table1[[#This Row],[Category and Sub-Category]]))</f>
        <v>photobooks</v>
      </c>
    </row>
    <row r="1214" spans="1:22" ht="57.6" x14ac:dyDescent="0.3">
      <c r="A1214">
        <v>1212</v>
      </c>
      <c r="B1214" s="3" t="s">
        <v>1213</v>
      </c>
      <c r="C1214" s="3" t="s">
        <v>5322</v>
      </c>
      <c r="D1214" s="12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>((Table1[[#This Row],[deadline]]/60)/60/24)+DATE(1970,1,1)</f>
        <v>42335.041666666672</v>
      </c>
      <c r="K1214">
        <v>1447195695</v>
      </c>
      <c r="L1214" s="11">
        <f>((Table1[[#This Row],[launched_at]]/60)/60/24)+DATE(1970,1,1)</f>
        <v>42318.950173611112</v>
      </c>
      <c r="M1214">
        <f>MONTH(Table1[[#This Row],[Date Created Conversion]])</f>
        <v>11</v>
      </c>
      <c r="N1214">
        <f>YEAR(Table1[[#This Row],[Date Created Conversion]])</f>
        <v>2015</v>
      </c>
      <c r="O1214" t="b">
        <v>0</v>
      </c>
      <c r="P1214">
        <v>83</v>
      </c>
      <c r="Q1214" t="b">
        <v>1</v>
      </c>
      <c r="R1214" t="s">
        <v>8285</v>
      </c>
      <c r="S1214" s="6">
        <f>Table1[[#This Row],[pledged]]/Table1[[#This Row],[goal]]</f>
        <v>1.2904</v>
      </c>
      <c r="T1214" s="8">
        <f>IF(Table1[[#This Row],[pledged]]=0,"no backers",Table1[[#This Row],[pledged]]/Table1[[#This Row],[backers_count]])</f>
        <v>38.867469879518069</v>
      </c>
      <c r="U1214" t="str">
        <f>LEFT(Table1[[#This Row],[Category and Sub-Category]],FIND("/",Table1[[#This Row],[Category and Sub-Category]])-1)</f>
        <v>photography</v>
      </c>
      <c r="V1214" t="str">
        <f>RIGHT(Table1[[#This Row],[Category and Sub-Category]],LEN(Table1[[#This Row],[Category and Sub-Category]])-FIND("/",Table1[[#This Row],[Category and Sub-Category]]))</f>
        <v>photobooks</v>
      </c>
    </row>
    <row r="1215" spans="1:22" ht="57.6" x14ac:dyDescent="0.3">
      <c r="A1215">
        <v>1213</v>
      </c>
      <c r="B1215" s="3" t="s">
        <v>1214</v>
      </c>
      <c r="C1215" s="3" t="s">
        <v>5323</v>
      </c>
      <c r="D1215" s="12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>((Table1[[#This Row],[deadline]]/60)/60/24)+DATE(1970,1,1)</f>
        <v>42766.755787037036</v>
      </c>
      <c r="K1215">
        <v>1482862100</v>
      </c>
      <c r="L1215" s="11">
        <f>((Table1[[#This Row],[launched_at]]/60)/60/24)+DATE(1970,1,1)</f>
        <v>42731.755787037036</v>
      </c>
      <c r="M1215">
        <f>MONTH(Table1[[#This Row],[Date Created Conversion]])</f>
        <v>12</v>
      </c>
      <c r="N1215">
        <f>YEAR(Table1[[#This Row],[Date Created Conversion]])</f>
        <v>2016</v>
      </c>
      <c r="O1215" t="b">
        <v>0</v>
      </c>
      <c r="P1215">
        <v>108</v>
      </c>
      <c r="Q1215" t="b">
        <v>1</v>
      </c>
      <c r="R1215" t="s">
        <v>8285</v>
      </c>
      <c r="S1215" s="6">
        <f>Table1[[#This Row],[pledged]]/Table1[[#This Row],[goal]]</f>
        <v>1.0223076923076924</v>
      </c>
      <c r="T1215" s="8">
        <f>IF(Table1[[#This Row],[pledged]]=0,"no backers",Table1[[#This Row],[pledged]]/Table1[[#This Row],[backers_count]])</f>
        <v>61.527777777777779</v>
      </c>
      <c r="U1215" t="str">
        <f>LEFT(Table1[[#This Row],[Category and Sub-Category]],FIND("/",Table1[[#This Row],[Category and Sub-Category]])-1)</f>
        <v>photography</v>
      </c>
      <c r="V1215" t="str">
        <f>RIGHT(Table1[[#This Row],[Category and Sub-Category]],LEN(Table1[[#This Row],[Category and Sub-Category]])-FIND("/",Table1[[#This Row],[Category and Sub-Category]]))</f>
        <v>photobooks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 s="12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>((Table1[[#This Row],[deadline]]/60)/60/24)+DATE(1970,1,1)</f>
        <v>42164.840335648143</v>
      </c>
      <c r="K1216">
        <v>1428696605</v>
      </c>
      <c r="L1216" s="11">
        <f>((Table1[[#This Row],[launched_at]]/60)/60/24)+DATE(1970,1,1)</f>
        <v>42104.840335648143</v>
      </c>
      <c r="M1216">
        <f>MONTH(Table1[[#This Row],[Date Created Conversion]])</f>
        <v>4</v>
      </c>
      <c r="N1216">
        <f>YEAR(Table1[[#This Row],[Date Created Conversion]])</f>
        <v>2015</v>
      </c>
      <c r="O1216" t="b">
        <v>0</v>
      </c>
      <c r="P1216">
        <v>25</v>
      </c>
      <c r="Q1216" t="b">
        <v>1</v>
      </c>
      <c r="R1216" t="s">
        <v>8285</v>
      </c>
      <c r="S1216" s="6">
        <f>Table1[[#This Row],[pledged]]/Table1[[#This Row],[goal]]</f>
        <v>1.3180000000000001</v>
      </c>
      <c r="T1216" s="8">
        <f>IF(Table1[[#This Row],[pledged]]=0,"no backers",Table1[[#This Row],[pledged]]/Table1[[#This Row],[backers_count]])</f>
        <v>105.44</v>
      </c>
      <c r="U1216" t="str">
        <f>LEFT(Table1[[#This Row],[Category and Sub-Category]],FIND("/",Table1[[#This Row],[Category and Sub-Category]])-1)</f>
        <v>photography</v>
      </c>
      <c r="V1216" t="str">
        <f>RIGHT(Table1[[#This Row],[Category and Sub-Category]],LEN(Table1[[#This Row],[Category and Sub-Category]])-FIND("/",Table1[[#This Row],[Category and Sub-Category]]))</f>
        <v>photobooks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 s="12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>((Table1[[#This Row],[deadline]]/60)/60/24)+DATE(1970,1,1)</f>
        <v>41789.923101851848</v>
      </c>
      <c r="K1217">
        <v>1398895756</v>
      </c>
      <c r="L1217" s="11">
        <f>((Table1[[#This Row],[launched_at]]/60)/60/24)+DATE(1970,1,1)</f>
        <v>41759.923101851848</v>
      </c>
      <c r="M1217">
        <f>MONTH(Table1[[#This Row],[Date Created Conversion]])</f>
        <v>4</v>
      </c>
      <c r="N1217">
        <f>YEAR(Table1[[#This Row],[Date Created Conversion]])</f>
        <v>2014</v>
      </c>
      <c r="O1217" t="b">
        <v>0</v>
      </c>
      <c r="P1217">
        <v>549</v>
      </c>
      <c r="Q1217" t="b">
        <v>1</v>
      </c>
      <c r="R1217" t="s">
        <v>8285</v>
      </c>
      <c r="S1217" s="6">
        <f>Table1[[#This Row],[pledged]]/Table1[[#This Row],[goal]]</f>
        <v>7.8608020000000005</v>
      </c>
      <c r="T1217" s="8">
        <f>IF(Table1[[#This Row],[pledged]]=0,"no backers",Table1[[#This Row],[pledged]]/Table1[[#This Row],[backers_count]])</f>
        <v>71.592003642987251</v>
      </c>
      <c r="U1217" t="str">
        <f>LEFT(Table1[[#This Row],[Category and Sub-Category]],FIND("/",Table1[[#This Row],[Category and Sub-Category]])-1)</f>
        <v>photography</v>
      </c>
      <c r="V1217" t="str">
        <f>RIGHT(Table1[[#This Row],[Category and Sub-Category]],LEN(Table1[[#This Row],[Category and Sub-Category]])-FIND("/",Table1[[#This Row],[Category and Sub-Category]]))</f>
        <v>photobooks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 s="12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>((Table1[[#This Row],[deadline]]/60)/60/24)+DATE(1970,1,1)</f>
        <v>42279.960416666669</v>
      </c>
      <c r="K1218">
        <v>1441032457</v>
      </c>
      <c r="L1218" s="11">
        <f>((Table1[[#This Row],[launched_at]]/60)/60/24)+DATE(1970,1,1)</f>
        <v>42247.616400462968</v>
      </c>
      <c r="M1218">
        <f>MONTH(Table1[[#This Row],[Date Created Conversion]])</f>
        <v>8</v>
      </c>
      <c r="N1218">
        <f>YEAR(Table1[[#This Row],[Date Created Conversion]])</f>
        <v>2015</v>
      </c>
      <c r="O1218" t="b">
        <v>0</v>
      </c>
      <c r="P1218">
        <v>222</v>
      </c>
      <c r="Q1218" t="b">
        <v>1</v>
      </c>
      <c r="R1218" t="s">
        <v>8285</v>
      </c>
      <c r="S1218" s="6">
        <f>Table1[[#This Row],[pledged]]/Table1[[#This Row],[goal]]</f>
        <v>1.4570000000000001</v>
      </c>
      <c r="T1218" s="8">
        <f>IF(Table1[[#This Row],[pledged]]=0,"no backers",Table1[[#This Row],[pledged]]/Table1[[#This Row],[backers_count]])</f>
        <v>91.882882882882882</v>
      </c>
      <c r="U1218" t="str">
        <f>LEFT(Table1[[#This Row],[Category and Sub-Category]],FIND("/",Table1[[#This Row],[Category and Sub-Category]])-1)</f>
        <v>photography</v>
      </c>
      <c r="V1218" t="str">
        <f>RIGHT(Table1[[#This Row],[Category and Sub-Category]],LEN(Table1[[#This Row],[Category and Sub-Category]])-FIND("/",Table1[[#This Row],[Category and Sub-Category]]))</f>
        <v>photobooks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 s="12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>((Table1[[#This Row],[deadline]]/60)/60/24)+DATE(1970,1,1)</f>
        <v>42565.809490740736</v>
      </c>
      <c r="K1219">
        <v>1465932340</v>
      </c>
      <c r="L1219" s="11">
        <f>((Table1[[#This Row],[launched_at]]/60)/60/24)+DATE(1970,1,1)</f>
        <v>42535.809490740736</v>
      </c>
      <c r="M1219">
        <f>MONTH(Table1[[#This Row],[Date Created Conversion]])</f>
        <v>6</v>
      </c>
      <c r="N1219">
        <f>YEAR(Table1[[#This Row],[Date Created Conversion]])</f>
        <v>2016</v>
      </c>
      <c r="O1219" t="b">
        <v>0</v>
      </c>
      <c r="P1219">
        <v>183</v>
      </c>
      <c r="Q1219" t="b">
        <v>1</v>
      </c>
      <c r="R1219" t="s">
        <v>8285</v>
      </c>
      <c r="S1219" s="6">
        <f>Table1[[#This Row],[pledged]]/Table1[[#This Row],[goal]]</f>
        <v>1.026</v>
      </c>
      <c r="T1219" s="8">
        <f>IF(Table1[[#This Row],[pledged]]=0,"no backers",Table1[[#This Row],[pledged]]/Table1[[#This Row],[backers_count]])</f>
        <v>148.57377049180329</v>
      </c>
      <c r="U1219" t="str">
        <f>LEFT(Table1[[#This Row],[Category and Sub-Category]],FIND("/",Table1[[#This Row],[Category and Sub-Category]])-1)</f>
        <v>photography</v>
      </c>
      <c r="V1219" t="str">
        <f>RIGHT(Table1[[#This Row],[Category and Sub-Category]],LEN(Table1[[#This Row],[Category and Sub-Category]])-FIND("/",Table1[[#This Row],[Category and Sub-Category]]))</f>
        <v>photobooks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 s="12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>((Table1[[#This Row],[deadline]]/60)/60/24)+DATE(1970,1,1)</f>
        <v>42309.125</v>
      </c>
      <c r="K1220">
        <v>1443714800</v>
      </c>
      <c r="L1220" s="11">
        <f>((Table1[[#This Row],[launched_at]]/60)/60/24)+DATE(1970,1,1)</f>
        <v>42278.662037037036</v>
      </c>
      <c r="M1220">
        <f>MONTH(Table1[[#This Row],[Date Created Conversion]])</f>
        <v>10</v>
      </c>
      <c r="N1220">
        <f>YEAR(Table1[[#This Row],[Date Created Conversion]])</f>
        <v>2015</v>
      </c>
      <c r="O1220" t="b">
        <v>0</v>
      </c>
      <c r="P1220">
        <v>89</v>
      </c>
      <c r="Q1220" t="b">
        <v>1</v>
      </c>
      <c r="R1220" t="s">
        <v>8285</v>
      </c>
      <c r="S1220" s="6">
        <f>Table1[[#This Row],[pledged]]/Table1[[#This Row],[goal]]</f>
        <v>1.7227777777777777</v>
      </c>
      <c r="T1220" s="8">
        <f>IF(Table1[[#This Row],[pledged]]=0,"no backers",Table1[[#This Row],[pledged]]/Table1[[#This Row],[backers_count]])</f>
        <v>174.2134831460674</v>
      </c>
      <c r="U1220" t="str">
        <f>LEFT(Table1[[#This Row],[Category and Sub-Category]],FIND("/",Table1[[#This Row],[Category and Sub-Category]])-1)</f>
        <v>photography</v>
      </c>
      <c r="V1220" t="str">
        <f>RIGHT(Table1[[#This Row],[Category and Sub-Category]],LEN(Table1[[#This Row],[Category and Sub-Category]])-FIND("/",Table1[[#This Row],[Category and Sub-Category]]))</f>
        <v>photobooks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 s="12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>((Table1[[#This Row],[deadline]]/60)/60/24)+DATE(1970,1,1)</f>
        <v>42663.461956018517</v>
      </c>
      <c r="K1221">
        <v>1474369513</v>
      </c>
      <c r="L1221" s="11">
        <f>((Table1[[#This Row],[launched_at]]/60)/60/24)+DATE(1970,1,1)</f>
        <v>42633.461956018517</v>
      </c>
      <c r="M1221">
        <f>MONTH(Table1[[#This Row],[Date Created Conversion]])</f>
        <v>9</v>
      </c>
      <c r="N1221">
        <f>YEAR(Table1[[#This Row],[Date Created Conversion]])</f>
        <v>2016</v>
      </c>
      <c r="O1221" t="b">
        <v>0</v>
      </c>
      <c r="P1221">
        <v>253</v>
      </c>
      <c r="Q1221" t="b">
        <v>1</v>
      </c>
      <c r="R1221" t="s">
        <v>8285</v>
      </c>
      <c r="S1221" s="6">
        <f>Table1[[#This Row],[pledged]]/Table1[[#This Row],[goal]]</f>
        <v>1.5916819571865444</v>
      </c>
      <c r="T1221" s="8">
        <f>IF(Table1[[#This Row],[pledged]]=0,"no backers",Table1[[#This Row],[pledged]]/Table1[[#This Row],[backers_count]])</f>
        <v>102.86166007905139</v>
      </c>
      <c r="U1221" t="str">
        <f>LEFT(Table1[[#This Row],[Category and Sub-Category]],FIND("/",Table1[[#This Row],[Category and Sub-Category]])-1)</f>
        <v>photography</v>
      </c>
      <c r="V1221" t="str">
        <f>RIGHT(Table1[[#This Row],[Category and Sub-Category]],LEN(Table1[[#This Row],[Category and Sub-Category]])-FIND("/",Table1[[#This Row],[Category and Sub-Category]]))</f>
        <v>photobooks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 s="1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>((Table1[[#This Row],[deadline]]/60)/60/24)+DATE(1970,1,1)</f>
        <v>42241.628611111111</v>
      </c>
      <c r="K1222">
        <v>1437923112</v>
      </c>
      <c r="L1222" s="11">
        <f>((Table1[[#This Row],[launched_at]]/60)/60/24)+DATE(1970,1,1)</f>
        <v>42211.628611111111</v>
      </c>
      <c r="M1222">
        <f>MONTH(Table1[[#This Row],[Date Created Conversion]])</f>
        <v>7</v>
      </c>
      <c r="N1222">
        <f>YEAR(Table1[[#This Row],[Date Created Conversion]])</f>
        <v>2015</v>
      </c>
      <c r="O1222" t="b">
        <v>0</v>
      </c>
      <c r="P1222">
        <v>140</v>
      </c>
      <c r="Q1222" t="b">
        <v>1</v>
      </c>
      <c r="R1222" t="s">
        <v>8285</v>
      </c>
      <c r="S1222" s="6">
        <f>Table1[[#This Row],[pledged]]/Table1[[#This Row],[goal]]</f>
        <v>1.0376666666666667</v>
      </c>
      <c r="T1222" s="8">
        <f>IF(Table1[[#This Row],[pledged]]=0,"no backers",Table1[[#This Row],[pledged]]/Table1[[#This Row],[backers_count]])</f>
        <v>111.17857142857143</v>
      </c>
      <c r="U1222" t="str">
        <f>LEFT(Table1[[#This Row],[Category and Sub-Category]],FIND("/",Table1[[#This Row],[Category and Sub-Category]])-1)</f>
        <v>photography</v>
      </c>
      <c r="V1222" t="str">
        <f>RIGHT(Table1[[#This Row],[Category and Sub-Category]],LEN(Table1[[#This Row],[Category and Sub-Category]])-FIND("/",Table1[[#This Row],[Category and Sub-Category]]))</f>
        <v>photobooks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 s="12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>((Table1[[#This Row],[deadline]]/60)/60/24)+DATE(1970,1,1)</f>
        <v>42708</v>
      </c>
      <c r="K1223">
        <v>1478431488</v>
      </c>
      <c r="L1223" s="11">
        <f>((Table1[[#This Row],[launched_at]]/60)/60/24)+DATE(1970,1,1)</f>
        <v>42680.47555555556</v>
      </c>
      <c r="M1223">
        <f>MONTH(Table1[[#This Row],[Date Created Conversion]])</f>
        <v>11</v>
      </c>
      <c r="N1223">
        <f>YEAR(Table1[[#This Row],[Date Created Conversion]])</f>
        <v>2016</v>
      </c>
      <c r="O1223" t="b">
        <v>0</v>
      </c>
      <c r="P1223">
        <v>103</v>
      </c>
      <c r="Q1223" t="b">
        <v>1</v>
      </c>
      <c r="R1223" t="s">
        <v>8285</v>
      </c>
      <c r="S1223" s="6">
        <f>Table1[[#This Row],[pledged]]/Table1[[#This Row],[goal]]</f>
        <v>1.1140954545454547</v>
      </c>
      <c r="T1223" s="8">
        <f>IF(Table1[[#This Row],[pledged]]=0,"no backers",Table1[[#This Row],[pledged]]/Table1[[#This Row],[backers_count]])</f>
        <v>23.796213592233013</v>
      </c>
      <c r="U1223" t="str">
        <f>LEFT(Table1[[#This Row],[Category and Sub-Category]],FIND("/",Table1[[#This Row],[Category and Sub-Category]])-1)</f>
        <v>photography</v>
      </c>
      <c r="V1223" t="str">
        <f>RIGHT(Table1[[#This Row],[Category and Sub-Category]],LEN(Table1[[#This Row],[Category and Sub-Category]])-FIND("/",Table1[[#This Row],[Category and Sub-Category]]))</f>
        <v>photobooks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 s="12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>((Table1[[#This Row],[deadline]]/60)/60/24)+DATE(1970,1,1)</f>
        <v>42461.166666666672</v>
      </c>
      <c r="K1224">
        <v>1456852647</v>
      </c>
      <c r="L1224" s="11">
        <f>((Table1[[#This Row],[launched_at]]/60)/60/24)+DATE(1970,1,1)</f>
        <v>42430.720451388886</v>
      </c>
      <c r="M1224">
        <f>MONTH(Table1[[#This Row],[Date Created Conversion]])</f>
        <v>3</v>
      </c>
      <c r="N1224">
        <f>YEAR(Table1[[#This Row],[Date Created Conversion]])</f>
        <v>2016</v>
      </c>
      <c r="O1224" t="b">
        <v>0</v>
      </c>
      <c r="P1224">
        <v>138</v>
      </c>
      <c r="Q1224" t="b">
        <v>1</v>
      </c>
      <c r="R1224" t="s">
        <v>8285</v>
      </c>
      <c r="S1224" s="6">
        <f>Table1[[#This Row],[pledged]]/Table1[[#This Row],[goal]]</f>
        <v>2.80375</v>
      </c>
      <c r="T1224" s="8">
        <f>IF(Table1[[#This Row],[pledged]]=0,"no backers",Table1[[#This Row],[pledged]]/Table1[[#This Row],[backers_count]])</f>
        <v>81.268115942028984</v>
      </c>
      <c r="U1224" t="str">
        <f>LEFT(Table1[[#This Row],[Category and Sub-Category]],FIND("/",Table1[[#This Row],[Category and Sub-Category]])-1)</f>
        <v>photography</v>
      </c>
      <c r="V1224" t="str">
        <f>RIGHT(Table1[[#This Row],[Category and Sub-Category]],LEN(Table1[[#This Row],[Category and Sub-Category]])-FIND("/",Table1[[#This Row],[Category and Sub-Category]]))</f>
        <v>photobooks</v>
      </c>
    </row>
    <row r="1225" spans="1:22" ht="43.2" x14ac:dyDescent="0.3">
      <c r="A1225">
        <v>1223</v>
      </c>
      <c r="B1225" s="3" t="s">
        <v>1224</v>
      </c>
      <c r="C1225" s="3" t="s">
        <v>5333</v>
      </c>
      <c r="D1225" s="12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>((Table1[[#This Row],[deadline]]/60)/60/24)+DATE(1970,1,1)</f>
        <v>42684.218854166669</v>
      </c>
      <c r="K1225">
        <v>1476159309</v>
      </c>
      <c r="L1225" s="11">
        <f>((Table1[[#This Row],[launched_at]]/60)/60/24)+DATE(1970,1,1)</f>
        <v>42654.177187499998</v>
      </c>
      <c r="M1225">
        <f>MONTH(Table1[[#This Row],[Date Created Conversion]])</f>
        <v>10</v>
      </c>
      <c r="N1225">
        <f>YEAR(Table1[[#This Row],[Date Created Conversion]])</f>
        <v>2016</v>
      </c>
      <c r="O1225" t="b">
        <v>0</v>
      </c>
      <c r="P1225">
        <v>191</v>
      </c>
      <c r="Q1225" t="b">
        <v>1</v>
      </c>
      <c r="R1225" t="s">
        <v>8285</v>
      </c>
      <c r="S1225" s="6">
        <f>Table1[[#This Row],[pledged]]/Table1[[#This Row],[goal]]</f>
        <v>1.1210606060606061</v>
      </c>
      <c r="T1225" s="8">
        <f>IF(Table1[[#This Row],[pledged]]=0,"no backers",Table1[[#This Row],[pledged]]/Table1[[#This Row],[backers_count]])</f>
        <v>116.21465968586388</v>
      </c>
      <c r="U1225" t="str">
        <f>LEFT(Table1[[#This Row],[Category and Sub-Category]],FIND("/",Table1[[#This Row],[Category and Sub-Category]])-1)</f>
        <v>photography</v>
      </c>
      <c r="V1225" t="str">
        <f>RIGHT(Table1[[#This Row],[Category and Sub-Category]],LEN(Table1[[#This Row],[Category and Sub-Category]])-FIND("/",Table1[[#This Row],[Category and Sub-Category]]))</f>
        <v>photobooks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 s="12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>((Table1[[#This Row],[deadline]]/60)/60/24)+DATE(1970,1,1)</f>
        <v>41796.549791666665</v>
      </c>
      <c r="K1226">
        <v>1396876302</v>
      </c>
      <c r="L1226" s="11">
        <f>((Table1[[#This Row],[launched_at]]/60)/60/24)+DATE(1970,1,1)</f>
        <v>41736.549791666665</v>
      </c>
      <c r="M1226">
        <f>MONTH(Table1[[#This Row],[Date Created Conversion]])</f>
        <v>4</v>
      </c>
      <c r="N1226">
        <f>YEAR(Table1[[#This Row],[Date Created Conversion]])</f>
        <v>2014</v>
      </c>
      <c r="O1226" t="b">
        <v>0</v>
      </c>
      <c r="P1226">
        <v>18</v>
      </c>
      <c r="Q1226" t="b">
        <v>0</v>
      </c>
      <c r="R1226" t="s">
        <v>8286</v>
      </c>
      <c r="S1226" s="6">
        <f>Table1[[#This Row],[pledged]]/Table1[[#This Row],[goal]]</f>
        <v>7.0666666666666669E-2</v>
      </c>
      <c r="T1226" s="8">
        <f>IF(Table1[[#This Row],[pledged]]=0,"no backers",Table1[[#This Row],[pledged]]/Table1[[#This Row],[backers_count]])</f>
        <v>58.888888888888886</v>
      </c>
      <c r="U1226" t="str">
        <f>LEFT(Table1[[#This Row],[Category and Sub-Category]],FIND("/",Table1[[#This Row],[Category and Sub-Category]])-1)</f>
        <v>music</v>
      </c>
      <c r="V1226" t="str">
        <f>RIGHT(Table1[[#This Row],[Category and Sub-Category]],LEN(Table1[[#This Row],[Category and Sub-Category]])-FIND("/",Table1[[#This Row],[Category and Sub-Category]]))</f>
        <v>world music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 s="12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>((Table1[[#This Row],[deadline]]/60)/60/24)+DATE(1970,1,1)</f>
        <v>41569.905995370369</v>
      </c>
      <c r="K1227">
        <v>1377294278</v>
      </c>
      <c r="L1227" s="11">
        <f>((Table1[[#This Row],[launched_at]]/60)/60/24)+DATE(1970,1,1)</f>
        <v>41509.905995370369</v>
      </c>
      <c r="M1227">
        <f>MONTH(Table1[[#This Row],[Date Created Conversion]])</f>
        <v>8</v>
      </c>
      <c r="N1227">
        <f>YEAR(Table1[[#This Row],[Date Created Conversion]])</f>
        <v>2013</v>
      </c>
      <c r="O1227" t="b">
        <v>0</v>
      </c>
      <c r="P1227">
        <v>3</v>
      </c>
      <c r="Q1227" t="b">
        <v>0</v>
      </c>
      <c r="R1227" t="s">
        <v>8286</v>
      </c>
      <c r="S1227" s="6">
        <f>Table1[[#This Row],[pledged]]/Table1[[#This Row],[goal]]</f>
        <v>4.3999999999999997E-2</v>
      </c>
      <c r="T1227" s="8">
        <f>IF(Table1[[#This Row],[pledged]]=0,"no backers",Table1[[#This Row],[pledged]]/Table1[[#This Row],[backers_count]])</f>
        <v>44</v>
      </c>
      <c r="U1227" t="str">
        <f>LEFT(Table1[[#This Row],[Category and Sub-Category]],FIND("/",Table1[[#This Row],[Category and Sub-Category]])-1)</f>
        <v>music</v>
      </c>
      <c r="V1227" t="str">
        <f>RIGHT(Table1[[#This Row],[Category and Sub-Category]],LEN(Table1[[#This Row],[Category and Sub-Category]])-FIND("/",Table1[[#This Row],[Category and Sub-Category]]))</f>
        <v>world music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 s="12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>((Table1[[#This Row],[deadline]]/60)/60/24)+DATE(1970,1,1)</f>
        <v>41750.041666666664</v>
      </c>
      <c r="K1228">
        <v>1395089981</v>
      </c>
      <c r="L1228" s="11">
        <f>((Table1[[#This Row],[launched_at]]/60)/60/24)+DATE(1970,1,1)</f>
        <v>41715.874780092592</v>
      </c>
      <c r="M1228">
        <f>MONTH(Table1[[#This Row],[Date Created Conversion]])</f>
        <v>3</v>
      </c>
      <c r="N1228">
        <f>YEAR(Table1[[#This Row],[Date Created Conversion]])</f>
        <v>2014</v>
      </c>
      <c r="O1228" t="b">
        <v>0</v>
      </c>
      <c r="P1228">
        <v>40</v>
      </c>
      <c r="Q1228" t="b">
        <v>0</v>
      </c>
      <c r="R1228" t="s">
        <v>8286</v>
      </c>
      <c r="S1228" s="6">
        <f>Table1[[#This Row],[pledged]]/Table1[[#This Row],[goal]]</f>
        <v>3.8739999999999997E-2</v>
      </c>
      <c r="T1228" s="8">
        <f>IF(Table1[[#This Row],[pledged]]=0,"no backers",Table1[[#This Row],[pledged]]/Table1[[#This Row],[backers_count]])</f>
        <v>48.424999999999997</v>
      </c>
      <c r="U1228" t="str">
        <f>LEFT(Table1[[#This Row],[Category and Sub-Category]],FIND("/",Table1[[#This Row],[Category and Sub-Category]])-1)</f>
        <v>music</v>
      </c>
      <c r="V1228" t="str">
        <f>RIGHT(Table1[[#This Row],[Category and Sub-Category]],LEN(Table1[[#This Row],[Category and Sub-Category]])-FIND("/",Table1[[#This Row],[Category and Sub-Category]]))</f>
        <v>world music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 s="12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>((Table1[[#This Row],[deadline]]/60)/60/24)+DATE(1970,1,1)</f>
        <v>41858.291666666664</v>
      </c>
      <c r="K1229">
        <v>1404770616</v>
      </c>
      <c r="L1229" s="11">
        <f>((Table1[[#This Row],[launched_at]]/60)/60/24)+DATE(1970,1,1)</f>
        <v>41827.919166666667</v>
      </c>
      <c r="M1229">
        <f>MONTH(Table1[[#This Row],[Date Created Conversion]])</f>
        <v>7</v>
      </c>
      <c r="N1229">
        <f>YEAR(Table1[[#This Row],[Date Created Conversion]])</f>
        <v>2014</v>
      </c>
      <c r="O1229" t="b">
        <v>0</v>
      </c>
      <c r="P1229">
        <v>0</v>
      </c>
      <c r="Q1229" t="b">
        <v>0</v>
      </c>
      <c r="R1229" t="s">
        <v>8286</v>
      </c>
      <c r="S1229" s="6">
        <f>Table1[[#This Row],[pledged]]/Table1[[#This Row],[goal]]</f>
        <v>0</v>
      </c>
      <c r="T1229" s="8" t="str">
        <f>IF(Table1[[#This Row],[pledged]]=0,"no backers",Table1[[#This Row],[pledged]]/Table1[[#This Row],[backers_count]])</f>
        <v>no backers</v>
      </c>
      <c r="U1229" t="str">
        <f>LEFT(Table1[[#This Row],[Category and Sub-Category]],FIND("/",Table1[[#This Row],[Category and Sub-Category]])-1)</f>
        <v>music</v>
      </c>
      <c r="V1229" t="str">
        <f>RIGHT(Table1[[#This Row],[Category and Sub-Category]],LEN(Table1[[#This Row],[Category and Sub-Category]])-FIND("/",Table1[[#This Row],[Category and Sub-Category]]))</f>
        <v>world music</v>
      </c>
    </row>
    <row r="1230" spans="1:22" ht="43.2" x14ac:dyDescent="0.3">
      <c r="A1230">
        <v>1228</v>
      </c>
      <c r="B1230" s="3" t="s">
        <v>1229</v>
      </c>
      <c r="C1230" s="3" t="s">
        <v>5338</v>
      </c>
      <c r="D1230" s="12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>((Table1[[#This Row],[deadline]]/60)/60/24)+DATE(1970,1,1)</f>
        <v>40814.729259259257</v>
      </c>
      <c r="K1230">
        <v>1312047008</v>
      </c>
      <c r="L1230" s="11">
        <f>((Table1[[#This Row],[launched_at]]/60)/60/24)+DATE(1970,1,1)</f>
        <v>40754.729259259257</v>
      </c>
      <c r="M1230">
        <f>MONTH(Table1[[#This Row],[Date Created Conversion]])</f>
        <v>7</v>
      </c>
      <c r="N1230">
        <f>YEAR(Table1[[#This Row],[Date Created Conversion]])</f>
        <v>2011</v>
      </c>
      <c r="O1230" t="b">
        <v>0</v>
      </c>
      <c r="P1230">
        <v>24</v>
      </c>
      <c r="Q1230" t="b">
        <v>0</v>
      </c>
      <c r="R1230" t="s">
        <v>8286</v>
      </c>
      <c r="S1230" s="6">
        <f>Table1[[#This Row],[pledged]]/Table1[[#This Row],[goal]]</f>
        <v>0.29299999999999998</v>
      </c>
      <c r="T1230" s="8">
        <f>IF(Table1[[#This Row],[pledged]]=0,"no backers",Table1[[#This Row],[pledged]]/Table1[[#This Row],[backers_count]])</f>
        <v>61.041666666666664</v>
      </c>
      <c r="U1230" t="str">
        <f>LEFT(Table1[[#This Row],[Category and Sub-Category]],FIND("/",Table1[[#This Row],[Category and Sub-Category]])-1)</f>
        <v>music</v>
      </c>
      <c r="V1230" t="str">
        <f>RIGHT(Table1[[#This Row],[Category and Sub-Category]],LEN(Table1[[#This Row],[Category and Sub-Category]])-FIND("/",Table1[[#This Row],[Category and Sub-Category]]))</f>
        <v>world music</v>
      </c>
    </row>
    <row r="1231" spans="1:22" ht="57.6" x14ac:dyDescent="0.3">
      <c r="A1231">
        <v>1229</v>
      </c>
      <c r="B1231" s="3" t="s">
        <v>1230</v>
      </c>
      <c r="C1231" s="3" t="s">
        <v>5339</v>
      </c>
      <c r="D1231" s="12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>((Table1[[#This Row],[deadline]]/60)/60/24)+DATE(1970,1,1)</f>
        <v>41015.666666666664</v>
      </c>
      <c r="K1231">
        <v>1331982127</v>
      </c>
      <c r="L1231" s="11">
        <f>((Table1[[#This Row],[launched_at]]/60)/60/24)+DATE(1970,1,1)</f>
        <v>40985.459803240738</v>
      </c>
      <c r="M1231">
        <f>MONTH(Table1[[#This Row],[Date Created Conversion]])</f>
        <v>3</v>
      </c>
      <c r="N1231">
        <f>YEAR(Table1[[#This Row],[Date Created Conversion]])</f>
        <v>2012</v>
      </c>
      <c r="O1231" t="b">
        <v>0</v>
      </c>
      <c r="P1231">
        <v>1</v>
      </c>
      <c r="Q1231" t="b">
        <v>0</v>
      </c>
      <c r="R1231" t="s">
        <v>8286</v>
      </c>
      <c r="S1231" s="6">
        <f>Table1[[#This Row],[pledged]]/Table1[[#This Row],[goal]]</f>
        <v>9.0909090909090905E-3</v>
      </c>
      <c r="T1231" s="8">
        <f>IF(Table1[[#This Row],[pledged]]=0,"no backers",Table1[[#This Row],[pledged]]/Table1[[#This Row],[backers_count]])</f>
        <v>25</v>
      </c>
      <c r="U1231" t="str">
        <f>LEFT(Table1[[#This Row],[Category and Sub-Category]],FIND("/",Table1[[#This Row],[Category and Sub-Category]])-1)</f>
        <v>music</v>
      </c>
      <c r="V1231" t="str">
        <f>RIGHT(Table1[[#This Row],[Category and Sub-Category]],LEN(Table1[[#This Row],[Category and Sub-Category]])-FIND("/",Table1[[#This Row],[Category and Sub-Category]]))</f>
        <v>world music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 s="1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>((Table1[[#This Row],[deadline]]/60)/60/24)+DATE(1970,1,1)</f>
        <v>40598.972569444442</v>
      </c>
      <c r="K1232">
        <v>1295997630</v>
      </c>
      <c r="L1232" s="11">
        <f>((Table1[[#This Row],[launched_at]]/60)/60/24)+DATE(1970,1,1)</f>
        <v>40568.972569444442</v>
      </c>
      <c r="M1232">
        <f>MONTH(Table1[[#This Row],[Date Created Conversion]])</f>
        <v>1</v>
      </c>
      <c r="N1232">
        <f>YEAR(Table1[[#This Row],[Date Created Conversion]])</f>
        <v>2011</v>
      </c>
      <c r="O1232" t="b">
        <v>0</v>
      </c>
      <c r="P1232">
        <v>0</v>
      </c>
      <c r="Q1232" t="b">
        <v>0</v>
      </c>
      <c r="R1232" t="s">
        <v>8286</v>
      </c>
      <c r="S1232" s="6">
        <f>Table1[[#This Row],[pledged]]/Table1[[#This Row],[goal]]</f>
        <v>0</v>
      </c>
      <c r="T1232" s="8" t="str">
        <f>IF(Table1[[#This Row],[pledged]]=0,"no backers",Table1[[#This Row],[pledged]]/Table1[[#This Row],[backers_count]])</f>
        <v>no backers</v>
      </c>
      <c r="U1232" t="str">
        <f>LEFT(Table1[[#This Row],[Category and Sub-Category]],FIND("/",Table1[[#This Row],[Category and Sub-Category]])-1)</f>
        <v>music</v>
      </c>
      <c r="V1232" t="str">
        <f>RIGHT(Table1[[#This Row],[Category and Sub-Category]],LEN(Table1[[#This Row],[Category and Sub-Category]])-FIND("/",Table1[[#This Row],[Category and Sub-Category]]))</f>
        <v>world music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 s="12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>((Table1[[#This Row],[deadline]]/60)/60/24)+DATE(1970,1,1)</f>
        <v>42244.041666666672</v>
      </c>
      <c r="K1233">
        <v>1436394968</v>
      </c>
      <c r="L1233" s="11">
        <f>((Table1[[#This Row],[launched_at]]/60)/60/24)+DATE(1970,1,1)</f>
        <v>42193.941759259258</v>
      </c>
      <c r="M1233">
        <f>MONTH(Table1[[#This Row],[Date Created Conversion]])</f>
        <v>7</v>
      </c>
      <c r="N1233">
        <f>YEAR(Table1[[#This Row],[Date Created Conversion]])</f>
        <v>2015</v>
      </c>
      <c r="O1233" t="b">
        <v>0</v>
      </c>
      <c r="P1233">
        <v>0</v>
      </c>
      <c r="Q1233" t="b">
        <v>0</v>
      </c>
      <c r="R1233" t="s">
        <v>8286</v>
      </c>
      <c r="S1233" s="6">
        <f>Table1[[#This Row],[pledged]]/Table1[[#This Row],[goal]]</f>
        <v>0</v>
      </c>
      <c r="T1233" s="8" t="str">
        <f>IF(Table1[[#This Row],[pledged]]=0,"no backers",Table1[[#This Row],[pledged]]/Table1[[#This Row],[backers_count]])</f>
        <v>no backers</v>
      </c>
      <c r="U1233" t="str">
        <f>LEFT(Table1[[#This Row],[Category and Sub-Category]],FIND("/",Table1[[#This Row],[Category and Sub-Category]])-1)</f>
        <v>music</v>
      </c>
      <c r="V1233" t="str">
        <f>RIGHT(Table1[[#This Row],[Category and Sub-Category]],LEN(Table1[[#This Row],[Category and Sub-Category]])-FIND("/",Table1[[#This Row],[Category and Sub-Category]]))</f>
        <v>world music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 s="12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>((Table1[[#This Row],[deadline]]/60)/60/24)+DATE(1970,1,1)</f>
        <v>41553.848032407412</v>
      </c>
      <c r="K1234">
        <v>1377030070</v>
      </c>
      <c r="L1234" s="11">
        <f>((Table1[[#This Row],[launched_at]]/60)/60/24)+DATE(1970,1,1)</f>
        <v>41506.848032407412</v>
      </c>
      <c r="M1234">
        <f>MONTH(Table1[[#This Row],[Date Created Conversion]])</f>
        <v>8</v>
      </c>
      <c r="N1234">
        <f>YEAR(Table1[[#This Row],[Date Created Conversion]])</f>
        <v>2013</v>
      </c>
      <c r="O1234" t="b">
        <v>0</v>
      </c>
      <c r="P1234">
        <v>1</v>
      </c>
      <c r="Q1234" t="b">
        <v>0</v>
      </c>
      <c r="R1234" t="s">
        <v>8286</v>
      </c>
      <c r="S1234" s="6">
        <f>Table1[[#This Row],[pledged]]/Table1[[#This Row],[goal]]</f>
        <v>8.0000000000000002E-3</v>
      </c>
      <c r="T1234" s="8">
        <f>IF(Table1[[#This Row],[pledged]]=0,"no backers",Table1[[#This Row],[pledged]]/Table1[[#This Row],[backers_count]])</f>
        <v>40</v>
      </c>
      <c r="U1234" t="str">
        <f>LEFT(Table1[[#This Row],[Category and Sub-Category]],FIND("/",Table1[[#This Row],[Category and Sub-Category]])-1)</f>
        <v>music</v>
      </c>
      <c r="V1234" t="str">
        <f>RIGHT(Table1[[#This Row],[Category and Sub-Category]],LEN(Table1[[#This Row],[Category and Sub-Category]])-FIND("/",Table1[[#This Row],[Category and Sub-Category]]))</f>
        <v>world music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 s="12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>((Table1[[#This Row],[deadline]]/60)/60/24)+DATE(1970,1,1)</f>
        <v>40960.948773148149</v>
      </c>
      <c r="K1235">
        <v>1328049974</v>
      </c>
      <c r="L1235" s="11">
        <f>((Table1[[#This Row],[launched_at]]/60)/60/24)+DATE(1970,1,1)</f>
        <v>40939.948773148149</v>
      </c>
      <c r="M1235">
        <f>MONTH(Table1[[#This Row],[Date Created Conversion]])</f>
        <v>1</v>
      </c>
      <c r="N1235">
        <f>YEAR(Table1[[#This Row],[Date Created Conversion]])</f>
        <v>2012</v>
      </c>
      <c r="O1235" t="b">
        <v>0</v>
      </c>
      <c r="P1235">
        <v>6</v>
      </c>
      <c r="Q1235" t="b">
        <v>0</v>
      </c>
      <c r="R1235" t="s">
        <v>8286</v>
      </c>
      <c r="S1235" s="6">
        <f>Table1[[#This Row],[pledged]]/Table1[[#This Row],[goal]]</f>
        <v>0.11600000000000001</v>
      </c>
      <c r="T1235" s="8">
        <f>IF(Table1[[#This Row],[pledged]]=0,"no backers",Table1[[#This Row],[pledged]]/Table1[[#This Row],[backers_count]])</f>
        <v>19.333333333333332</v>
      </c>
      <c r="U1235" t="str">
        <f>LEFT(Table1[[#This Row],[Category and Sub-Category]],FIND("/",Table1[[#This Row],[Category and Sub-Category]])-1)</f>
        <v>music</v>
      </c>
      <c r="V1235" t="str">
        <f>RIGHT(Table1[[#This Row],[Category and Sub-Category]],LEN(Table1[[#This Row],[Category and Sub-Category]])-FIND("/",Table1[[#This Row],[Category and Sub-Category]]))</f>
        <v>world music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 s="12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>((Table1[[#This Row],[deadline]]/60)/60/24)+DATE(1970,1,1)</f>
        <v>42037.788680555561</v>
      </c>
      <c r="K1236">
        <v>1420311342</v>
      </c>
      <c r="L1236" s="11">
        <f>((Table1[[#This Row],[launched_at]]/60)/60/24)+DATE(1970,1,1)</f>
        <v>42007.788680555561</v>
      </c>
      <c r="M1236">
        <f>MONTH(Table1[[#This Row],[Date Created Conversion]])</f>
        <v>1</v>
      </c>
      <c r="N1236">
        <f>YEAR(Table1[[#This Row],[Date Created Conversion]])</f>
        <v>2015</v>
      </c>
      <c r="O1236" t="b">
        <v>0</v>
      </c>
      <c r="P1236">
        <v>0</v>
      </c>
      <c r="Q1236" t="b">
        <v>0</v>
      </c>
      <c r="R1236" t="s">
        <v>8286</v>
      </c>
      <c r="S1236" s="6">
        <f>Table1[[#This Row],[pledged]]/Table1[[#This Row],[goal]]</f>
        <v>0</v>
      </c>
      <c r="T1236" s="8" t="str">
        <f>IF(Table1[[#This Row],[pledged]]=0,"no backers",Table1[[#This Row],[pledged]]/Table1[[#This Row],[backers_count]])</f>
        <v>no backers</v>
      </c>
      <c r="U1236" t="str">
        <f>LEFT(Table1[[#This Row],[Category and Sub-Category]],FIND("/",Table1[[#This Row],[Category and Sub-Category]])-1)</f>
        <v>music</v>
      </c>
      <c r="V1236" t="str">
        <f>RIGHT(Table1[[#This Row],[Category and Sub-Category]],LEN(Table1[[#This Row],[Category and Sub-Category]])-FIND("/",Table1[[#This Row],[Category and Sub-Category]]))</f>
        <v>world music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 s="12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>((Table1[[#This Row],[deadline]]/60)/60/24)+DATE(1970,1,1)</f>
        <v>41623.135405092595</v>
      </c>
      <c r="K1237">
        <v>1383621299</v>
      </c>
      <c r="L1237" s="11">
        <f>((Table1[[#This Row],[launched_at]]/60)/60/24)+DATE(1970,1,1)</f>
        <v>41583.135405092595</v>
      </c>
      <c r="M1237">
        <f>MONTH(Table1[[#This Row],[Date Created Conversion]])</f>
        <v>11</v>
      </c>
      <c r="N1237">
        <f>YEAR(Table1[[#This Row],[Date Created Conversion]])</f>
        <v>2013</v>
      </c>
      <c r="O1237" t="b">
        <v>0</v>
      </c>
      <c r="P1237">
        <v>6</v>
      </c>
      <c r="Q1237" t="b">
        <v>0</v>
      </c>
      <c r="R1237" t="s">
        <v>8286</v>
      </c>
      <c r="S1237" s="6">
        <f>Table1[[#This Row],[pledged]]/Table1[[#This Row],[goal]]</f>
        <v>2.787363950092912E-2</v>
      </c>
      <c r="T1237" s="8">
        <f>IF(Table1[[#This Row],[pledged]]=0,"no backers",Table1[[#This Row],[pledged]]/Table1[[#This Row],[backers_count]])</f>
        <v>35</v>
      </c>
      <c r="U1237" t="str">
        <f>LEFT(Table1[[#This Row],[Category and Sub-Category]],FIND("/",Table1[[#This Row],[Category and Sub-Category]])-1)</f>
        <v>music</v>
      </c>
      <c r="V1237" t="str">
        <f>RIGHT(Table1[[#This Row],[Category and Sub-Category]],LEN(Table1[[#This Row],[Category and Sub-Category]])-FIND("/",Table1[[#This Row],[Category and Sub-Category]]))</f>
        <v>world music</v>
      </c>
    </row>
    <row r="1238" spans="1:22" x14ac:dyDescent="0.3">
      <c r="A1238">
        <v>1236</v>
      </c>
      <c r="B1238" s="3" t="s">
        <v>1237</v>
      </c>
      <c r="C1238" s="3" t="s">
        <v>5346</v>
      </c>
      <c r="D1238" s="12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>((Table1[[#This Row],[deadline]]/60)/60/24)+DATE(1970,1,1)</f>
        <v>41118.666666666664</v>
      </c>
      <c r="K1238">
        <v>1342801164</v>
      </c>
      <c r="L1238" s="11">
        <f>((Table1[[#This Row],[launched_at]]/60)/60/24)+DATE(1970,1,1)</f>
        <v>41110.680138888885</v>
      </c>
      <c r="M1238">
        <f>MONTH(Table1[[#This Row],[Date Created Conversion]])</f>
        <v>7</v>
      </c>
      <c r="N1238">
        <f>YEAR(Table1[[#This Row],[Date Created Conversion]])</f>
        <v>2012</v>
      </c>
      <c r="O1238" t="b">
        <v>0</v>
      </c>
      <c r="P1238">
        <v>0</v>
      </c>
      <c r="Q1238" t="b">
        <v>0</v>
      </c>
      <c r="R1238" t="s">
        <v>8286</v>
      </c>
      <c r="S1238" s="6">
        <f>Table1[[#This Row],[pledged]]/Table1[[#This Row],[goal]]</f>
        <v>0</v>
      </c>
      <c r="T1238" s="8" t="str">
        <f>IF(Table1[[#This Row],[pledged]]=0,"no backers",Table1[[#This Row],[pledged]]/Table1[[#This Row],[backers_count]])</f>
        <v>no backers</v>
      </c>
      <c r="U1238" t="str">
        <f>LEFT(Table1[[#This Row],[Category and Sub-Category]],FIND("/",Table1[[#This Row],[Category and Sub-Category]])-1)</f>
        <v>music</v>
      </c>
      <c r="V1238" t="str">
        <f>RIGHT(Table1[[#This Row],[Category and Sub-Category]],LEN(Table1[[#This Row],[Category and Sub-Category]])-FIND("/",Table1[[#This Row],[Category and Sub-Category]]))</f>
        <v>world music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 s="12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>((Table1[[#This Row],[deadline]]/60)/60/24)+DATE(1970,1,1)</f>
        <v>41145.283159722225</v>
      </c>
      <c r="K1239">
        <v>1344062865</v>
      </c>
      <c r="L1239" s="11">
        <f>((Table1[[#This Row],[launched_at]]/60)/60/24)+DATE(1970,1,1)</f>
        <v>41125.283159722225</v>
      </c>
      <c r="M1239">
        <f>MONTH(Table1[[#This Row],[Date Created Conversion]])</f>
        <v>8</v>
      </c>
      <c r="N1239">
        <f>YEAR(Table1[[#This Row],[Date Created Conversion]])</f>
        <v>2012</v>
      </c>
      <c r="O1239" t="b">
        <v>0</v>
      </c>
      <c r="P1239">
        <v>0</v>
      </c>
      <c r="Q1239" t="b">
        <v>0</v>
      </c>
      <c r="R1239" t="s">
        <v>8286</v>
      </c>
      <c r="S1239" s="6">
        <f>Table1[[#This Row],[pledged]]/Table1[[#This Row],[goal]]</f>
        <v>0</v>
      </c>
      <c r="T1239" s="8" t="str">
        <f>IF(Table1[[#This Row],[pledged]]=0,"no backers",Table1[[#This Row],[pledged]]/Table1[[#This Row],[backers_count]])</f>
        <v>no backers</v>
      </c>
      <c r="U1239" t="str">
        <f>LEFT(Table1[[#This Row],[Category and Sub-Category]],FIND("/",Table1[[#This Row],[Category and Sub-Category]])-1)</f>
        <v>music</v>
      </c>
      <c r="V1239" t="str">
        <f>RIGHT(Table1[[#This Row],[Category and Sub-Category]],LEN(Table1[[#This Row],[Category and Sub-Category]])-FIND("/",Table1[[#This Row],[Category and Sub-Category]]))</f>
        <v>world music</v>
      </c>
    </row>
    <row r="1240" spans="1:22" ht="57.6" x14ac:dyDescent="0.3">
      <c r="A1240">
        <v>1238</v>
      </c>
      <c r="B1240" s="3" t="s">
        <v>1239</v>
      </c>
      <c r="C1240" s="3" t="s">
        <v>5348</v>
      </c>
      <c r="D1240" s="12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>((Table1[[#This Row],[deadline]]/60)/60/24)+DATE(1970,1,1)</f>
        <v>40761.61037037037</v>
      </c>
      <c r="K1240">
        <v>1310049536</v>
      </c>
      <c r="L1240" s="11">
        <f>((Table1[[#This Row],[launched_at]]/60)/60/24)+DATE(1970,1,1)</f>
        <v>40731.61037037037</v>
      </c>
      <c r="M1240">
        <f>MONTH(Table1[[#This Row],[Date Created Conversion]])</f>
        <v>7</v>
      </c>
      <c r="N1240">
        <f>YEAR(Table1[[#This Row],[Date Created Conversion]])</f>
        <v>2011</v>
      </c>
      <c r="O1240" t="b">
        <v>0</v>
      </c>
      <c r="P1240">
        <v>3</v>
      </c>
      <c r="Q1240" t="b">
        <v>0</v>
      </c>
      <c r="R1240" t="s">
        <v>8286</v>
      </c>
      <c r="S1240" s="6">
        <f>Table1[[#This Row],[pledged]]/Table1[[#This Row],[goal]]</f>
        <v>0.17799999999999999</v>
      </c>
      <c r="T1240" s="8">
        <f>IF(Table1[[#This Row],[pledged]]=0,"no backers",Table1[[#This Row],[pledged]]/Table1[[#This Row],[backers_count]])</f>
        <v>59.333333333333336</v>
      </c>
      <c r="U1240" t="str">
        <f>LEFT(Table1[[#This Row],[Category and Sub-Category]],FIND("/",Table1[[#This Row],[Category and Sub-Category]])-1)</f>
        <v>music</v>
      </c>
      <c r="V1240" t="str">
        <f>RIGHT(Table1[[#This Row],[Category and Sub-Category]],LEN(Table1[[#This Row],[Category and Sub-Category]])-FIND("/",Table1[[#This Row],[Category and Sub-Category]]))</f>
        <v>world music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 s="12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>((Table1[[#This Row],[deadline]]/60)/60/24)+DATE(1970,1,1)</f>
        <v>40913.962581018517</v>
      </c>
      <c r="K1241">
        <v>1323212767</v>
      </c>
      <c r="L1241" s="11">
        <f>((Table1[[#This Row],[launched_at]]/60)/60/24)+DATE(1970,1,1)</f>
        <v>40883.962581018517</v>
      </c>
      <c r="M1241">
        <f>MONTH(Table1[[#This Row],[Date Created Conversion]])</f>
        <v>12</v>
      </c>
      <c r="N1241">
        <f>YEAR(Table1[[#This Row],[Date Created Conversion]])</f>
        <v>2011</v>
      </c>
      <c r="O1241" t="b">
        <v>0</v>
      </c>
      <c r="P1241">
        <v>0</v>
      </c>
      <c r="Q1241" t="b">
        <v>0</v>
      </c>
      <c r="R1241" t="s">
        <v>8286</v>
      </c>
      <c r="S1241" s="6">
        <f>Table1[[#This Row],[pledged]]/Table1[[#This Row],[goal]]</f>
        <v>0</v>
      </c>
      <c r="T1241" s="8" t="str">
        <f>IF(Table1[[#This Row],[pledged]]=0,"no backers",Table1[[#This Row],[pledged]]/Table1[[#This Row],[backers_count]])</f>
        <v>no backers</v>
      </c>
      <c r="U1241" t="str">
        <f>LEFT(Table1[[#This Row],[Category and Sub-Category]],FIND("/",Table1[[#This Row],[Category and Sub-Category]])-1)</f>
        <v>music</v>
      </c>
      <c r="V1241" t="str">
        <f>RIGHT(Table1[[#This Row],[Category and Sub-Category]],LEN(Table1[[#This Row],[Category and Sub-Category]])-FIND("/",Table1[[#This Row],[Category and Sub-Category]]))</f>
        <v>world music</v>
      </c>
    </row>
    <row r="1242" spans="1:22" ht="43.2" x14ac:dyDescent="0.3">
      <c r="A1242">
        <v>1240</v>
      </c>
      <c r="B1242" s="3" t="s">
        <v>1241</v>
      </c>
      <c r="C1242" s="3" t="s">
        <v>5350</v>
      </c>
      <c r="D1242" s="1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>((Table1[[#This Row],[deadline]]/60)/60/24)+DATE(1970,1,1)</f>
        <v>41467.910416666666</v>
      </c>
      <c r="K1242">
        <v>1368579457</v>
      </c>
      <c r="L1242" s="11">
        <f>((Table1[[#This Row],[launched_at]]/60)/60/24)+DATE(1970,1,1)</f>
        <v>41409.040011574078</v>
      </c>
      <c r="M1242">
        <f>MONTH(Table1[[#This Row],[Date Created Conversion]])</f>
        <v>5</v>
      </c>
      <c r="N1242">
        <f>YEAR(Table1[[#This Row],[Date Created Conversion]])</f>
        <v>2013</v>
      </c>
      <c r="O1242" t="b">
        <v>0</v>
      </c>
      <c r="P1242">
        <v>8</v>
      </c>
      <c r="Q1242" t="b">
        <v>0</v>
      </c>
      <c r="R1242" t="s">
        <v>8286</v>
      </c>
      <c r="S1242" s="6">
        <f>Table1[[#This Row],[pledged]]/Table1[[#This Row],[goal]]</f>
        <v>3.0124999999999999E-2</v>
      </c>
      <c r="T1242" s="8">
        <f>IF(Table1[[#This Row],[pledged]]=0,"no backers",Table1[[#This Row],[pledged]]/Table1[[#This Row],[backers_count]])</f>
        <v>30.125</v>
      </c>
      <c r="U1242" t="str">
        <f>LEFT(Table1[[#This Row],[Category and Sub-Category]],FIND("/",Table1[[#This Row],[Category and Sub-Category]])-1)</f>
        <v>music</v>
      </c>
      <c r="V1242" t="str">
        <f>RIGHT(Table1[[#This Row],[Category and Sub-Category]],LEN(Table1[[#This Row],[Category and Sub-Category]])-FIND("/",Table1[[#This Row],[Category and Sub-Category]]))</f>
        <v>world music</v>
      </c>
    </row>
    <row r="1243" spans="1:22" ht="57.6" x14ac:dyDescent="0.3">
      <c r="A1243">
        <v>1241</v>
      </c>
      <c r="B1243" s="3" t="s">
        <v>1242</v>
      </c>
      <c r="C1243" s="3" t="s">
        <v>5351</v>
      </c>
      <c r="D1243" s="12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>((Table1[[#This Row],[deadline]]/60)/60/24)+DATE(1970,1,1)</f>
        <v>41946.249305555553</v>
      </c>
      <c r="K1243">
        <v>1413057980</v>
      </c>
      <c r="L1243" s="11">
        <f>((Table1[[#This Row],[launched_at]]/60)/60/24)+DATE(1970,1,1)</f>
        <v>41923.837731481479</v>
      </c>
      <c r="M1243">
        <f>MONTH(Table1[[#This Row],[Date Created Conversion]])</f>
        <v>10</v>
      </c>
      <c r="N1243">
        <f>YEAR(Table1[[#This Row],[Date Created Conversion]])</f>
        <v>2014</v>
      </c>
      <c r="O1243" t="b">
        <v>0</v>
      </c>
      <c r="P1243">
        <v>34</v>
      </c>
      <c r="Q1243" t="b">
        <v>0</v>
      </c>
      <c r="R1243" t="s">
        <v>8286</v>
      </c>
      <c r="S1243" s="6">
        <f>Table1[[#This Row],[pledged]]/Table1[[#This Row],[goal]]</f>
        <v>0.50739999999999996</v>
      </c>
      <c r="T1243" s="8">
        <f>IF(Table1[[#This Row],[pledged]]=0,"no backers",Table1[[#This Row],[pledged]]/Table1[[#This Row],[backers_count]])</f>
        <v>74.617647058823536</v>
      </c>
      <c r="U1243" t="str">
        <f>LEFT(Table1[[#This Row],[Category and Sub-Category]],FIND("/",Table1[[#This Row],[Category and Sub-Category]])-1)</f>
        <v>music</v>
      </c>
      <c r="V1243" t="str">
        <f>RIGHT(Table1[[#This Row],[Category and Sub-Category]],LEN(Table1[[#This Row],[Category and Sub-Category]])-FIND("/",Table1[[#This Row],[Category and Sub-Category]]))</f>
        <v>world music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 s="12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>((Table1[[#This Row],[deadline]]/60)/60/24)+DATE(1970,1,1)</f>
        <v>40797.554166666669</v>
      </c>
      <c r="K1244">
        <v>1314417502</v>
      </c>
      <c r="L1244" s="11">
        <f>((Table1[[#This Row],[launched_at]]/60)/60/24)+DATE(1970,1,1)</f>
        <v>40782.165532407409</v>
      </c>
      <c r="M1244">
        <f>MONTH(Table1[[#This Row],[Date Created Conversion]])</f>
        <v>8</v>
      </c>
      <c r="N1244">
        <f>YEAR(Table1[[#This Row],[Date Created Conversion]])</f>
        <v>2011</v>
      </c>
      <c r="O1244" t="b">
        <v>0</v>
      </c>
      <c r="P1244">
        <v>1</v>
      </c>
      <c r="Q1244" t="b">
        <v>0</v>
      </c>
      <c r="R1244" t="s">
        <v>8286</v>
      </c>
      <c r="S1244" s="6">
        <f>Table1[[#This Row],[pledged]]/Table1[[#This Row],[goal]]</f>
        <v>5.4884742041712408E-3</v>
      </c>
      <c r="T1244" s="8">
        <f>IF(Table1[[#This Row],[pledged]]=0,"no backers",Table1[[#This Row],[pledged]]/Table1[[#This Row],[backers_count]])</f>
        <v>5</v>
      </c>
      <c r="U1244" t="str">
        <f>LEFT(Table1[[#This Row],[Category and Sub-Category]],FIND("/",Table1[[#This Row],[Category and Sub-Category]])-1)</f>
        <v>music</v>
      </c>
      <c r="V1244" t="str">
        <f>RIGHT(Table1[[#This Row],[Category and Sub-Category]],LEN(Table1[[#This Row],[Category and Sub-Category]])-FIND("/",Table1[[#This Row],[Category and Sub-Category]]))</f>
        <v>world music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 s="12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>((Table1[[#This Row],[deadline]]/60)/60/24)+DATE(1970,1,1)</f>
        <v>40732.875</v>
      </c>
      <c r="K1245">
        <v>1304888771</v>
      </c>
      <c r="L1245" s="11">
        <f>((Table1[[#This Row],[launched_at]]/60)/60/24)+DATE(1970,1,1)</f>
        <v>40671.879293981481</v>
      </c>
      <c r="M1245">
        <f>MONTH(Table1[[#This Row],[Date Created Conversion]])</f>
        <v>5</v>
      </c>
      <c r="N1245">
        <f>YEAR(Table1[[#This Row],[Date Created Conversion]])</f>
        <v>2011</v>
      </c>
      <c r="O1245" t="b">
        <v>0</v>
      </c>
      <c r="P1245">
        <v>38</v>
      </c>
      <c r="Q1245" t="b">
        <v>0</v>
      </c>
      <c r="R1245" t="s">
        <v>8286</v>
      </c>
      <c r="S1245" s="6">
        <f>Table1[[#This Row],[pledged]]/Table1[[#This Row],[goal]]</f>
        <v>0.14091666666666666</v>
      </c>
      <c r="T1245" s="8">
        <f>IF(Table1[[#This Row],[pledged]]=0,"no backers",Table1[[#This Row],[pledged]]/Table1[[#This Row],[backers_count]])</f>
        <v>44.5</v>
      </c>
      <c r="U1245" t="str">
        <f>LEFT(Table1[[#This Row],[Category and Sub-Category]],FIND("/",Table1[[#This Row],[Category and Sub-Category]])-1)</f>
        <v>music</v>
      </c>
      <c r="V1245" t="str">
        <f>RIGHT(Table1[[#This Row],[Category and Sub-Category]],LEN(Table1[[#This Row],[Category and Sub-Category]])-FIND("/",Table1[[#This Row],[Category and Sub-Category]]))</f>
        <v>world music</v>
      </c>
    </row>
    <row r="1246" spans="1:22" ht="43.2" x14ac:dyDescent="0.3">
      <c r="A1246">
        <v>1244</v>
      </c>
      <c r="B1246" s="3" t="s">
        <v>1245</v>
      </c>
      <c r="C1246" s="3" t="s">
        <v>5354</v>
      </c>
      <c r="D1246" s="12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>((Table1[[#This Row],[deadline]]/60)/60/24)+DATE(1970,1,1)</f>
        <v>41386.875</v>
      </c>
      <c r="K1246">
        <v>1363981723</v>
      </c>
      <c r="L1246" s="11">
        <f>((Table1[[#This Row],[launched_at]]/60)/60/24)+DATE(1970,1,1)</f>
        <v>41355.825497685182</v>
      </c>
      <c r="M1246">
        <f>MONTH(Table1[[#This Row],[Date Created Conversion]])</f>
        <v>3</v>
      </c>
      <c r="N1246">
        <f>YEAR(Table1[[#This Row],[Date Created Conversion]])</f>
        <v>2013</v>
      </c>
      <c r="O1246" t="b">
        <v>1</v>
      </c>
      <c r="P1246">
        <v>45</v>
      </c>
      <c r="Q1246" t="b">
        <v>1</v>
      </c>
      <c r="R1246" t="s">
        <v>8276</v>
      </c>
      <c r="S1246" s="6">
        <f>Table1[[#This Row],[pledged]]/Table1[[#This Row],[goal]]</f>
        <v>1.038</v>
      </c>
      <c r="T1246" s="8">
        <f>IF(Table1[[#This Row],[pledged]]=0,"no backers",Table1[[#This Row],[pledged]]/Table1[[#This Row],[backers_count]])</f>
        <v>46.133333333333333</v>
      </c>
      <c r="U1246" t="str">
        <f>LEFT(Table1[[#This Row],[Category and Sub-Category]],FIND("/",Table1[[#This Row],[Category and Sub-Category]])-1)</f>
        <v>music</v>
      </c>
      <c r="V1246" t="str">
        <f>RIGHT(Table1[[#This Row],[Category and Sub-Category]],LEN(Table1[[#This Row],[Category and Sub-Category]])-FIND("/",Table1[[#This Row],[Category and Sub-Category]]))</f>
        <v>rock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 s="12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>((Table1[[#This Row],[deadline]]/60)/60/24)+DATE(1970,1,1)</f>
        <v>41804.599930555552</v>
      </c>
      <c r="K1247">
        <v>1400163834</v>
      </c>
      <c r="L1247" s="11">
        <f>((Table1[[#This Row],[launched_at]]/60)/60/24)+DATE(1970,1,1)</f>
        <v>41774.599930555552</v>
      </c>
      <c r="M1247">
        <f>MONTH(Table1[[#This Row],[Date Created Conversion]])</f>
        <v>5</v>
      </c>
      <c r="N1247">
        <f>YEAR(Table1[[#This Row],[Date Created Conversion]])</f>
        <v>2014</v>
      </c>
      <c r="O1247" t="b">
        <v>1</v>
      </c>
      <c r="P1247">
        <v>17</v>
      </c>
      <c r="Q1247" t="b">
        <v>1</v>
      </c>
      <c r="R1247" t="s">
        <v>8276</v>
      </c>
      <c r="S1247" s="6">
        <f>Table1[[#This Row],[pledged]]/Table1[[#This Row],[goal]]</f>
        <v>1.2024999999999999</v>
      </c>
      <c r="T1247" s="8">
        <f>IF(Table1[[#This Row],[pledged]]=0,"no backers",Table1[[#This Row],[pledged]]/Table1[[#This Row],[backers_count]])</f>
        <v>141.47058823529412</v>
      </c>
      <c r="U1247" t="str">
        <f>LEFT(Table1[[#This Row],[Category and Sub-Category]],FIND("/",Table1[[#This Row],[Category and Sub-Category]])-1)</f>
        <v>music</v>
      </c>
      <c r="V1247" t="str">
        <f>RIGHT(Table1[[#This Row],[Category and Sub-Category]],LEN(Table1[[#This Row],[Category and Sub-Category]])-FIND("/",Table1[[#This Row],[Category and Sub-Category]]))</f>
        <v>rock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 s="12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>((Table1[[#This Row],[deadline]]/60)/60/24)+DATE(1970,1,1)</f>
        <v>40883.085057870368</v>
      </c>
      <c r="K1248">
        <v>1319245349</v>
      </c>
      <c r="L1248" s="11">
        <f>((Table1[[#This Row],[launched_at]]/60)/60/24)+DATE(1970,1,1)</f>
        <v>40838.043391203704</v>
      </c>
      <c r="M1248">
        <f>MONTH(Table1[[#This Row],[Date Created Conversion]])</f>
        <v>10</v>
      </c>
      <c r="N1248">
        <f>YEAR(Table1[[#This Row],[Date Created Conversion]])</f>
        <v>2011</v>
      </c>
      <c r="O1248" t="b">
        <v>1</v>
      </c>
      <c r="P1248">
        <v>31</v>
      </c>
      <c r="Q1248" t="b">
        <v>1</v>
      </c>
      <c r="R1248" t="s">
        <v>8276</v>
      </c>
      <c r="S1248" s="6">
        <f>Table1[[#This Row],[pledged]]/Table1[[#This Row],[goal]]</f>
        <v>1.17</v>
      </c>
      <c r="T1248" s="8">
        <f>IF(Table1[[#This Row],[pledged]]=0,"no backers",Table1[[#This Row],[pledged]]/Table1[[#This Row],[backers_count]])</f>
        <v>75.483870967741936</v>
      </c>
      <c r="U1248" t="str">
        <f>LEFT(Table1[[#This Row],[Category and Sub-Category]],FIND("/",Table1[[#This Row],[Category and Sub-Category]])-1)</f>
        <v>music</v>
      </c>
      <c r="V1248" t="str">
        <f>RIGHT(Table1[[#This Row],[Category and Sub-Category]],LEN(Table1[[#This Row],[Category and Sub-Category]])-FIND("/",Table1[[#This Row],[Category and Sub-Category]]))</f>
        <v>rock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 s="12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>((Table1[[#This Row],[deadline]]/60)/60/24)+DATE(1970,1,1)</f>
        <v>41400.292303240742</v>
      </c>
      <c r="K1249">
        <v>1365231655</v>
      </c>
      <c r="L1249" s="11">
        <f>((Table1[[#This Row],[launched_at]]/60)/60/24)+DATE(1970,1,1)</f>
        <v>41370.292303240742</v>
      </c>
      <c r="M1249">
        <f>MONTH(Table1[[#This Row],[Date Created Conversion]])</f>
        <v>4</v>
      </c>
      <c r="N1249">
        <f>YEAR(Table1[[#This Row],[Date Created Conversion]])</f>
        <v>2013</v>
      </c>
      <c r="O1249" t="b">
        <v>1</v>
      </c>
      <c r="P1249">
        <v>50</v>
      </c>
      <c r="Q1249" t="b">
        <v>1</v>
      </c>
      <c r="R1249" t="s">
        <v>8276</v>
      </c>
      <c r="S1249" s="6">
        <f>Table1[[#This Row],[pledged]]/Table1[[#This Row],[goal]]</f>
        <v>1.2214285714285715</v>
      </c>
      <c r="T1249" s="8">
        <f>IF(Table1[[#This Row],[pledged]]=0,"no backers",Table1[[#This Row],[pledged]]/Table1[[#This Row],[backers_count]])</f>
        <v>85.5</v>
      </c>
      <c r="U1249" t="str">
        <f>LEFT(Table1[[#This Row],[Category and Sub-Category]],FIND("/",Table1[[#This Row],[Category and Sub-Category]])-1)</f>
        <v>music</v>
      </c>
      <c r="V1249" t="str">
        <f>RIGHT(Table1[[#This Row],[Category and Sub-Category]],LEN(Table1[[#This Row],[Category and Sub-Category]])-FIND("/",Table1[[#This Row],[Category and Sub-Category]]))</f>
        <v>rock</v>
      </c>
    </row>
    <row r="1250" spans="1:22" ht="43.2" x14ac:dyDescent="0.3">
      <c r="A1250">
        <v>1248</v>
      </c>
      <c r="B1250" s="3" t="s">
        <v>1249</v>
      </c>
      <c r="C1250" s="3" t="s">
        <v>5358</v>
      </c>
      <c r="D1250" s="12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>((Table1[[#This Row],[deadline]]/60)/60/24)+DATE(1970,1,1)</f>
        <v>41803.290972222225</v>
      </c>
      <c r="K1250">
        <v>1399563953</v>
      </c>
      <c r="L1250" s="11">
        <f>((Table1[[#This Row],[launched_at]]/60)/60/24)+DATE(1970,1,1)</f>
        <v>41767.656863425924</v>
      </c>
      <c r="M1250">
        <f>MONTH(Table1[[#This Row],[Date Created Conversion]])</f>
        <v>5</v>
      </c>
      <c r="N1250">
        <f>YEAR(Table1[[#This Row],[Date Created Conversion]])</f>
        <v>2014</v>
      </c>
      <c r="O1250" t="b">
        <v>1</v>
      </c>
      <c r="P1250">
        <v>59</v>
      </c>
      <c r="Q1250" t="b">
        <v>1</v>
      </c>
      <c r="R1250" t="s">
        <v>8276</v>
      </c>
      <c r="S1250" s="6">
        <f>Table1[[#This Row],[pledged]]/Table1[[#This Row],[goal]]</f>
        <v>1.5164</v>
      </c>
      <c r="T1250" s="8">
        <f>IF(Table1[[#This Row],[pledged]]=0,"no backers",Table1[[#This Row],[pledged]]/Table1[[#This Row],[backers_count]])</f>
        <v>64.254237288135599</v>
      </c>
      <c r="U1250" t="str">
        <f>LEFT(Table1[[#This Row],[Category and Sub-Category]],FIND("/",Table1[[#This Row],[Category and Sub-Category]])-1)</f>
        <v>music</v>
      </c>
      <c r="V1250" t="str">
        <f>RIGHT(Table1[[#This Row],[Category and Sub-Category]],LEN(Table1[[#This Row],[Category and Sub-Category]])-FIND("/",Table1[[#This Row],[Category and Sub-Category]]))</f>
        <v>rock</v>
      </c>
    </row>
    <row r="1251" spans="1:22" ht="43.2" x14ac:dyDescent="0.3">
      <c r="A1251">
        <v>1249</v>
      </c>
      <c r="B1251" s="3" t="s">
        <v>1250</v>
      </c>
      <c r="C1251" s="3" t="s">
        <v>5359</v>
      </c>
      <c r="D1251" s="12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>((Table1[[#This Row],[deadline]]/60)/60/24)+DATE(1970,1,1)</f>
        <v>41097.74086805556</v>
      </c>
      <c r="K1251">
        <v>1339091211</v>
      </c>
      <c r="L1251" s="11">
        <f>((Table1[[#This Row],[launched_at]]/60)/60/24)+DATE(1970,1,1)</f>
        <v>41067.74086805556</v>
      </c>
      <c r="M1251">
        <f>MONTH(Table1[[#This Row],[Date Created Conversion]])</f>
        <v>6</v>
      </c>
      <c r="N1251">
        <f>YEAR(Table1[[#This Row],[Date Created Conversion]])</f>
        <v>2012</v>
      </c>
      <c r="O1251" t="b">
        <v>1</v>
      </c>
      <c r="P1251">
        <v>81</v>
      </c>
      <c r="Q1251" t="b">
        <v>1</v>
      </c>
      <c r="R1251" t="s">
        <v>8276</v>
      </c>
      <c r="S1251" s="6">
        <f>Table1[[#This Row],[pledged]]/Table1[[#This Row],[goal]]</f>
        <v>1.0444</v>
      </c>
      <c r="T1251" s="8">
        <f>IF(Table1[[#This Row],[pledged]]=0,"no backers",Table1[[#This Row],[pledged]]/Table1[[#This Row],[backers_count]])</f>
        <v>64.46913580246914</v>
      </c>
      <c r="U1251" t="str">
        <f>LEFT(Table1[[#This Row],[Category and Sub-Category]],FIND("/",Table1[[#This Row],[Category and Sub-Category]])-1)</f>
        <v>music</v>
      </c>
      <c r="V1251" t="str">
        <f>RIGHT(Table1[[#This Row],[Category and Sub-Category]],LEN(Table1[[#This Row],[Category and Sub-Category]])-FIND("/",Table1[[#This Row],[Category and Sub-Category]]))</f>
        <v>rock</v>
      </c>
    </row>
    <row r="1252" spans="1:22" ht="57.6" x14ac:dyDescent="0.3">
      <c r="A1252">
        <v>1250</v>
      </c>
      <c r="B1252" s="3" t="s">
        <v>1251</v>
      </c>
      <c r="C1252" s="3" t="s">
        <v>5360</v>
      </c>
      <c r="D1252" s="1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>((Table1[[#This Row],[deadline]]/60)/60/24)+DATE(1970,1,1)</f>
        <v>41888.64271990741</v>
      </c>
      <c r="K1252">
        <v>1406129131</v>
      </c>
      <c r="L1252" s="11">
        <f>((Table1[[#This Row],[launched_at]]/60)/60/24)+DATE(1970,1,1)</f>
        <v>41843.64271990741</v>
      </c>
      <c r="M1252">
        <f>MONTH(Table1[[#This Row],[Date Created Conversion]])</f>
        <v>7</v>
      </c>
      <c r="N1252">
        <f>YEAR(Table1[[#This Row],[Date Created Conversion]])</f>
        <v>2014</v>
      </c>
      <c r="O1252" t="b">
        <v>1</v>
      </c>
      <c r="P1252">
        <v>508</v>
      </c>
      <c r="Q1252" t="b">
        <v>1</v>
      </c>
      <c r="R1252" t="s">
        <v>8276</v>
      </c>
      <c r="S1252" s="6">
        <f>Table1[[#This Row],[pledged]]/Table1[[#This Row],[goal]]</f>
        <v>2.0015333333333332</v>
      </c>
      <c r="T1252" s="8">
        <f>IF(Table1[[#This Row],[pledged]]=0,"no backers",Table1[[#This Row],[pledged]]/Table1[[#This Row],[backers_count]])</f>
        <v>118.2007874015748</v>
      </c>
      <c r="U1252" t="str">
        <f>LEFT(Table1[[#This Row],[Category and Sub-Category]],FIND("/",Table1[[#This Row],[Category and Sub-Category]])-1)</f>
        <v>music</v>
      </c>
      <c r="V1252" t="str">
        <f>RIGHT(Table1[[#This Row],[Category and Sub-Category]],LEN(Table1[[#This Row],[Category and Sub-Category]])-FIND("/",Table1[[#This Row],[Category and Sub-Category]]))</f>
        <v>rock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 s="12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>((Table1[[#This Row],[deadline]]/60)/60/24)+DATE(1970,1,1)</f>
        <v>40811.814432870371</v>
      </c>
      <c r="K1253">
        <v>1311795167</v>
      </c>
      <c r="L1253" s="11">
        <f>((Table1[[#This Row],[launched_at]]/60)/60/24)+DATE(1970,1,1)</f>
        <v>40751.814432870371</v>
      </c>
      <c r="M1253">
        <f>MONTH(Table1[[#This Row],[Date Created Conversion]])</f>
        <v>7</v>
      </c>
      <c r="N1253">
        <f>YEAR(Table1[[#This Row],[Date Created Conversion]])</f>
        <v>2011</v>
      </c>
      <c r="O1253" t="b">
        <v>1</v>
      </c>
      <c r="P1253">
        <v>74</v>
      </c>
      <c r="Q1253" t="b">
        <v>1</v>
      </c>
      <c r="R1253" t="s">
        <v>8276</v>
      </c>
      <c r="S1253" s="6">
        <f>Table1[[#This Row],[pledged]]/Table1[[#This Row],[goal]]</f>
        <v>1.018</v>
      </c>
      <c r="T1253" s="8">
        <f>IF(Table1[[#This Row],[pledged]]=0,"no backers",Table1[[#This Row],[pledged]]/Table1[[#This Row],[backers_count]])</f>
        <v>82.540540540540547</v>
      </c>
      <c r="U1253" t="str">
        <f>LEFT(Table1[[#This Row],[Category and Sub-Category]],FIND("/",Table1[[#This Row],[Category and Sub-Category]])-1)</f>
        <v>music</v>
      </c>
      <c r="V1253" t="str">
        <f>RIGHT(Table1[[#This Row],[Category and Sub-Category]],LEN(Table1[[#This Row],[Category and Sub-Category]])-FIND("/",Table1[[#This Row],[Category and Sub-Category]]))</f>
        <v>rock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 s="12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>((Table1[[#This Row],[deadline]]/60)/60/24)+DATE(1970,1,1)</f>
        <v>41571.988067129627</v>
      </c>
      <c r="K1254">
        <v>1380238969</v>
      </c>
      <c r="L1254" s="11">
        <f>((Table1[[#This Row],[launched_at]]/60)/60/24)+DATE(1970,1,1)</f>
        <v>41543.988067129627</v>
      </c>
      <c r="M1254">
        <f>MONTH(Table1[[#This Row],[Date Created Conversion]])</f>
        <v>9</v>
      </c>
      <c r="N1254">
        <f>YEAR(Table1[[#This Row],[Date Created Conversion]])</f>
        <v>2013</v>
      </c>
      <c r="O1254" t="b">
        <v>1</v>
      </c>
      <c r="P1254">
        <v>141</v>
      </c>
      <c r="Q1254" t="b">
        <v>1</v>
      </c>
      <c r="R1254" t="s">
        <v>8276</v>
      </c>
      <c r="S1254" s="6">
        <f>Table1[[#This Row],[pledged]]/Table1[[#This Row],[goal]]</f>
        <v>1.3765714285714286</v>
      </c>
      <c r="T1254" s="8">
        <f>IF(Table1[[#This Row],[pledged]]=0,"no backers",Table1[[#This Row],[pledged]]/Table1[[#This Row],[backers_count]])</f>
        <v>34.170212765957444</v>
      </c>
      <c r="U1254" t="str">
        <f>LEFT(Table1[[#This Row],[Category and Sub-Category]],FIND("/",Table1[[#This Row],[Category and Sub-Category]])-1)</f>
        <v>music</v>
      </c>
      <c r="V1254" t="str">
        <f>RIGHT(Table1[[#This Row],[Category and Sub-Category]],LEN(Table1[[#This Row],[Category and Sub-Category]])-FIND("/",Table1[[#This Row],[Category and Sub-Category]]))</f>
        <v>rock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 s="12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>((Table1[[#This Row],[deadline]]/60)/60/24)+DATE(1970,1,1)</f>
        <v>41885.783645833333</v>
      </c>
      <c r="K1255">
        <v>1407178107</v>
      </c>
      <c r="L1255" s="11">
        <f>((Table1[[#This Row],[launched_at]]/60)/60/24)+DATE(1970,1,1)</f>
        <v>41855.783645833333</v>
      </c>
      <c r="M1255">
        <f>MONTH(Table1[[#This Row],[Date Created Conversion]])</f>
        <v>8</v>
      </c>
      <c r="N1255">
        <f>YEAR(Table1[[#This Row],[Date Created Conversion]])</f>
        <v>2014</v>
      </c>
      <c r="O1255" t="b">
        <v>1</v>
      </c>
      <c r="P1255">
        <v>711</v>
      </c>
      <c r="Q1255" t="b">
        <v>1</v>
      </c>
      <c r="R1255" t="s">
        <v>8276</v>
      </c>
      <c r="S1255" s="6">
        <f>Table1[[#This Row],[pledged]]/Table1[[#This Row],[goal]]</f>
        <v>3038.3319999999999</v>
      </c>
      <c r="T1255" s="8">
        <f>IF(Table1[[#This Row],[pledged]]=0,"no backers",Table1[[#This Row],[pledged]]/Table1[[#This Row],[backers_count]])</f>
        <v>42.73322081575246</v>
      </c>
      <c r="U1255" t="str">
        <f>LEFT(Table1[[#This Row],[Category and Sub-Category]],FIND("/",Table1[[#This Row],[Category and Sub-Category]])-1)</f>
        <v>music</v>
      </c>
      <c r="V1255" t="str">
        <f>RIGHT(Table1[[#This Row],[Category and Sub-Category]],LEN(Table1[[#This Row],[Category and Sub-Category]])-FIND("/",Table1[[#This Row],[Category and Sub-Category]]))</f>
        <v>rock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 s="12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>((Table1[[#This Row],[deadline]]/60)/60/24)+DATE(1970,1,1)</f>
        <v>40544.207638888889</v>
      </c>
      <c r="K1256">
        <v>1288968886</v>
      </c>
      <c r="L1256" s="11">
        <f>((Table1[[#This Row],[launched_at]]/60)/60/24)+DATE(1970,1,1)</f>
        <v>40487.621365740742</v>
      </c>
      <c r="M1256">
        <f>MONTH(Table1[[#This Row],[Date Created Conversion]])</f>
        <v>11</v>
      </c>
      <c r="N1256">
        <f>YEAR(Table1[[#This Row],[Date Created Conversion]])</f>
        <v>2010</v>
      </c>
      <c r="O1256" t="b">
        <v>1</v>
      </c>
      <c r="P1256">
        <v>141</v>
      </c>
      <c r="Q1256" t="b">
        <v>1</v>
      </c>
      <c r="R1256" t="s">
        <v>8276</v>
      </c>
      <c r="S1256" s="6">
        <f>Table1[[#This Row],[pledged]]/Table1[[#This Row],[goal]]</f>
        <v>1.9885074626865671</v>
      </c>
      <c r="T1256" s="8">
        <f>IF(Table1[[#This Row],[pledged]]=0,"no backers",Table1[[#This Row],[pledged]]/Table1[[#This Row],[backers_count]])</f>
        <v>94.489361702127653</v>
      </c>
      <c r="U1256" t="str">
        <f>LEFT(Table1[[#This Row],[Category and Sub-Category]],FIND("/",Table1[[#This Row],[Category and Sub-Category]])-1)</f>
        <v>music</v>
      </c>
      <c r="V1256" t="str">
        <f>RIGHT(Table1[[#This Row],[Category and Sub-Category]],LEN(Table1[[#This Row],[Category and Sub-Category]])-FIND("/",Table1[[#This Row],[Category and Sub-Category]]))</f>
        <v>rock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 s="12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>((Table1[[#This Row],[deadline]]/60)/60/24)+DATE(1970,1,1)</f>
        <v>41609.887175925927</v>
      </c>
      <c r="K1257">
        <v>1383337052</v>
      </c>
      <c r="L1257" s="11">
        <f>((Table1[[#This Row],[launched_at]]/60)/60/24)+DATE(1970,1,1)</f>
        <v>41579.845509259263</v>
      </c>
      <c r="M1257">
        <f>MONTH(Table1[[#This Row],[Date Created Conversion]])</f>
        <v>11</v>
      </c>
      <c r="N1257">
        <f>YEAR(Table1[[#This Row],[Date Created Conversion]])</f>
        <v>2013</v>
      </c>
      <c r="O1257" t="b">
        <v>1</v>
      </c>
      <c r="P1257">
        <v>109</v>
      </c>
      <c r="Q1257" t="b">
        <v>1</v>
      </c>
      <c r="R1257" t="s">
        <v>8276</v>
      </c>
      <c r="S1257" s="6">
        <f>Table1[[#This Row],[pledged]]/Table1[[#This Row],[goal]]</f>
        <v>2.0236666666666667</v>
      </c>
      <c r="T1257" s="8">
        <f>IF(Table1[[#This Row],[pledged]]=0,"no backers",Table1[[#This Row],[pledged]]/Table1[[#This Row],[backers_count]])</f>
        <v>55.697247706422019</v>
      </c>
      <c r="U1257" t="str">
        <f>LEFT(Table1[[#This Row],[Category and Sub-Category]],FIND("/",Table1[[#This Row],[Category and Sub-Category]])-1)</f>
        <v>music</v>
      </c>
      <c r="V1257" t="str">
        <f>RIGHT(Table1[[#This Row],[Category and Sub-Category]],LEN(Table1[[#This Row],[Category and Sub-Category]])-FIND("/",Table1[[#This Row],[Category and Sub-Category]]))</f>
        <v>rock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 s="12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>((Table1[[#This Row],[deadline]]/60)/60/24)+DATE(1970,1,1)</f>
        <v>40951.919340277782</v>
      </c>
      <c r="K1258">
        <v>1326492231</v>
      </c>
      <c r="L1258" s="11">
        <f>((Table1[[#This Row],[launched_at]]/60)/60/24)+DATE(1970,1,1)</f>
        <v>40921.919340277782</v>
      </c>
      <c r="M1258">
        <f>MONTH(Table1[[#This Row],[Date Created Conversion]])</f>
        <v>1</v>
      </c>
      <c r="N1258">
        <f>YEAR(Table1[[#This Row],[Date Created Conversion]])</f>
        <v>2012</v>
      </c>
      <c r="O1258" t="b">
        <v>1</v>
      </c>
      <c r="P1258">
        <v>361</v>
      </c>
      <c r="Q1258" t="b">
        <v>1</v>
      </c>
      <c r="R1258" t="s">
        <v>8276</v>
      </c>
      <c r="S1258" s="6">
        <f>Table1[[#This Row],[pledged]]/Table1[[#This Row],[goal]]</f>
        <v>1.1796376666666666</v>
      </c>
      <c r="T1258" s="8">
        <f>IF(Table1[[#This Row],[pledged]]=0,"no backers",Table1[[#This Row],[pledged]]/Table1[[#This Row],[backers_count]])</f>
        <v>98.030831024930734</v>
      </c>
      <c r="U1258" t="str">
        <f>LEFT(Table1[[#This Row],[Category and Sub-Category]],FIND("/",Table1[[#This Row],[Category and Sub-Category]])-1)</f>
        <v>music</v>
      </c>
      <c r="V1258" t="str">
        <f>RIGHT(Table1[[#This Row],[Category and Sub-Category]],LEN(Table1[[#This Row],[Category and Sub-Category]])-FIND("/",Table1[[#This Row],[Category and Sub-Category]]))</f>
        <v>rock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 s="12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>((Table1[[#This Row],[deadline]]/60)/60/24)+DATE(1970,1,1)</f>
        <v>40636.043865740743</v>
      </c>
      <c r="K1259">
        <v>1297562590</v>
      </c>
      <c r="L1259" s="11">
        <f>((Table1[[#This Row],[launched_at]]/60)/60/24)+DATE(1970,1,1)</f>
        <v>40587.085532407407</v>
      </c>
      <c r="M1259">
        <f>MONTH(Table1[[#This Row],[Date Created Conversion]])</f>
        <v>2</v>
      </c>
      <c r="N1259">
        <f>YEAR(Table1[[#This Row],[Date Created Conversion]])</f>
        <v>2011</v>
      </c>
      <c r="O1259" t="b">
        <v>1</v>
      </c>
      <c r="P1259">
        <v>176</v>
      </c>
      <c r="Q1259" t="b">
        <v>1</v>
      </c>
      <c r="R1259" t="s">
        <v>8276</v>
      </c>
      <c r="S1259" s="6">
        <f>Table1[[#This Row],[pledged]]/Table1[[#This Row],[goal]]</f>
        <v>2.9472727272727273</v>
      </c>
      <c r="T1259" s="8">
        <f>IF(Table1[[#This Row],[pledged]]=0,"no backers",Table1[[#This Row],[pledged]]/Table1[[#This Row],[backers_count]])</f>
        <v>92.102272727272734</v>
      </c>
      <c r="U1259" t="str">
        <f>LEFT(Table1[[#This Row],[Category and Sub-Category]],FIND("/",Table1[[#This Row],[Category and Sub-Category]])-1)</f>
        <v>music</v>
      </c>
      <c r="V1259" t="str">
        <f>RIGHT(Table1[[#This Row],[Category and Sub-Category]],LEN(Table1[[#This Row],[Category and Sub-Category]])-FIND("/",Table1[[#This Row],[Category and Sub-Category]]))</f>
        <v>rock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 s="12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>((Table1[[#This Row],[deadline]]/60)/60/24)+DATE(1970,1,1)</f>
        <v>41517.611250000002</v>
      </c>
      <c r="K1260">
        <v>1375368012</v>
      </c>
      <c r="L1260" s="11">
        <f>((Table1[[#This Row],[launched_at]]/60)/60/24)+DATE(1970,1,1)</f>
        <v>41487.611250000002</v>
      </c>
      <c r="M1260">
        <f>MONTH(Table1[[#This Row],[Date Created Conversion]])</f>
        <v>8</v>
      </c>
      <c r="N1260">
        <f>YEAR(Table1[[#This Row],[Date Created Conversion]])</f>
        <v>2013</v>
      </c>
      <c r="O1260" t="b">
        <v>1</v>
      </c>
      <c r="P1260">
        <v>670</v>
      </c>
      <c r="Q1260" t="b">
        <v>1</v>
      </c>
      <c r="R1260" t="s">
        <v>8276</v>
      </c>
      <c r="S1260" s="6">
        <f>Table1[[#This Row],[pledged]]/Table1[[#This Row],[goal]]</f>
        <v>2.1314633333333335</v>
      </c>
      <c r="T1260" s="8">
        <f>IF(Table1[[#This Row],[pledged]]=0,"no backers",Table1[[#This Row],[pledged]]/Table1[[#This Row],[backers_count]])</f>
        <v>38.175462686567165</v>
      </c>
      <c r="U1260" t="str">
        <f>LEFT(Table1[[#This Row],[Category and Sub-Category]],FIND("/",Table1[[#This Row],[Category and Sub-Category]])-1)</f>
        <v>music</v>
      </c>
      <c r="V1260" t="str">
        <f>RIGHT(Table1[[#This Row],[Category and Sub-Category]],LEN(Table1[[#This Row],[Category and Sub-Category]])-FIND("/",Table1[[#This Row],[Category and Sub-Category]]))</f>
        <v>rock</v>
      </c>
    </row>
    <row r="1261" spans="1:22" ht="43.2" x14ac:dyDescent="0.3">
      <c r="A1261">
        <v>1259</v>
      </c>
      <c r="B1261" s="3" t="s">
        <v>1260</v>
      </c>
      <c r="C1261" s="3" t="s">
        <v>5369</v>
      </c>
      <c r="D1261" s="12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>((Table1[[#This Row],[deadline]]/60)/60/24)+DATE(1970,1,1)</f>
        <v>41799.165972222225</v>
      </c>
      <c r="K1261">
        <v>1399504664</v>
      </c>
      <c r="L1261" s="11">
        <f>((Table1[[#This Row],[launched_at]]/60)/60/24)+DATE(1970,1,1)</f>
        <v>41766.970648148148</v>
      </c>
      <c r="M1261">
        <f>MONTH(Table1[[#This Row],[Date Created Conversion]])</f>
        <v>5</v>
      </c>
      <c r="N1261">
        <f>YEAR(Table1[[#This Row],[Date Created Conversion]])</f>
        <v>2014</v>
      </c>
      <c r="O1261" t="b">
        <v>1</v>
      </c>
      <c r="P1261">
        <v>96</v>
      </c>
      <c r="Q1261" t="b">
        <v>1</v>
      </c>
      <c r="R1261" t="s">
        <v>8276</v>
      </c>
      <c r="S1261" s="6">
        <f>Table1[[#This Row],[pledged]]/Table1[[#This Row],[goal]]</f>
        <v>1.0424</v>
      </c>
      <c r="T1261" s="8">
        <f>IF(Table1[[#This Row],[pledged]]=0,"no backers",Table1[[#This Row],[pledged]]/Table1[[#This Row],[backers_count]])</f>
        <v>27.145833333333332</v>
      </c>
      <c r="U1261" t="str">
        <f>LEFT(Table1[[#This Row],[Category and Sub-Category]],FIND("/",Table1[[#This Row],[Category and Sub-Category]])-1)</f>
        <v>music</v>
      </c>
      <c r="V1261" t="str">
        <f>RIGHT(Table1[[#This Row],[Category and Sub-Category]],LEN(Table1[[#This Row],[Category and Sub-Category]])-FIND("/",Table1[[#This Row],[Category and Sub-Category]]))</f>
        <v>rock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 s="1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>((Table1[[#This Row],[deadline]]/60)/60/24)+DATE(1970,1,1)</f>
        <v>41696.842824074076</v>
      </c>
      <c r="K1262">
        <v>1390853620</v>
      </c>
      <c r="L1262" s="11">
        <f>((Table1[[#This Row],[launched_at]]/60)/60/24)+DATE(1970,1,1)</f>
        <v>41666.842824074076</v>
      </c>
      <c r="M1262">
        <f>MONTH(Table1[[#This Row],[Date Created Conversion]])</f>
        <v>1</v>
      </c>
      <c r="N1262">
        <f>YEAR(Table1[[#This Row],[Date Created Conversion]])</f>
        <v>2014</v>
      </c>
      <c r="O1262" t="b">
        <v>1</v>
      </c>
      <c r="P1262">
        <v>74</v>
      </c>
      <c r="Q1262" t="b">
        <v>1</v>
      </c>
      <c r="R1262" t="s">
        <v>8276</v>
      </c>
      <c r="S1262" s="6">
        <f>Table1[[#This Row],[pledged]]/Table1[[#This Row],[goal]]</f>
        <v>1.1366666666666667</v>
      </c>
      <c r="T1262" s="8">
        <f>IF(Table1[[#This Row],[pledged]]=0,"no backers",Table1[[#This Row],[pledged]]/Table1[[#This Row],[backers_count]])</f>
        <v>50.689189189189186</v>
      </c>
      <c r="U1262" t="str">
        <f>LEFT(Table1[[#This Row],[Category and Sub-Category]],FIND("/",Table1[[#This Row],[Category and Sub-Category]])-1)</f>
        <v>music</v>
      </c>
      <c r="V1262" t="str">
        <f>RIGHT(Table1[[#This Row],[Category and Sub-Category]],LEN(Table1[[#This Row],[Category and Sub-Category]])-FIND("/",Table1[[#This Row],[Category and Sub-Category]]))</f>
        <v>rock</v>
      </c>
    </row>
    <row r="1263" spans="1:22" ht="43.2" x14ac:dyDescent="0.3">
      <c r="A1263">
        <v>1261</v>
      </c>
      <c r="B1263" s="3" t="s">
        <v>1262</v>
      </c>
      <c r="C1263" s="3" t="s">
        <v>5371</v>
      </c>
      <c r="D1263" s="12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>((Table1[[#This Row],[deadline]]/60)/60/24)+DATE(1970,1,1)</f>
        <v>41668.342905092592</v>
      </c>
      <c r="K1263">
        <v>1388391227</v>
      </c>
      <c r="L1263" s="11">
        <f>((Table1[[#This Row],[launched_at]]/60)/60/24)+DATE(1970,1,1)</f>
        <v>41638.342905092592</v>
      </c>
      <c r="M1263">
        <f>MONTH(Table1[[#This Row],[Date Created Conversion]])</f>
        <v>12</v>
      </c>
      <c r="N1263">
        <f>YEAR(Table1[[#This Row],[Date Created Conversion]])</f>
        <v>2013</v>
      </c>
      <c r="O1263" t="b">
        <v>1</v>
      </c>
      <c r="P1263">
        <v>52</v>
      </c>
      <c r="Q1263" t="b">
        <v>1</v>
      </c>
      <c r="R1263" t="s">
        <v>8276</v>
      </c>
      <c r="S1263" s="6">
        <f>Table1[[#This Row],[pledged]]/Table1[[#This Row],[goal]]</f>
        <v>1.0125</v>
      </c>
      <c r="T1263" s="8">
        <f>IF(Table1[[#This Row],[pledged]]=0,"no backers",Table1[[#This Row],[pledged]]/Table1[[#This Row],[backers_count]])</f>
        <v>38.942307692307693</v>
      </c>
      <c r="U1263" t="str">
        <f>LEFT(Table1[[#This Row],[Category and Sub-Category]],FIND("/",Table1[[#This Row],[Category and Sub-Category]])-1)</f>
        <v>music</v>
      </c>
      <c r="V1263" t="str">
        <f>RIGHT(Table1[[#This Row],[Category and Sub-Category]],LEN(Table1[[#This Row],[Category and Sub-Category]])-FIND("/",Table1[[#This Row],[Category and Sub-Category]]))</f>
        <v>rock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 s="12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>((Table1[[#This Row],[deadline]]/60)/60/24)+DATE(1970,1,1)</f>
        <v>41686.762638888889</v>
      </c>
      <c r="K1264">
        <v>1389982692</v>
      </c>
      <c r="L1264" s="11">
        <f>((Table1[[#This Row],[launched_at]]/60)/60/24)+DATE(1970,1,1)</f>
        <v>41656.762638888889</v>
      </c>
      <c r="M1264">
        <f>MONTH(Table1[[#This Row],[Date Created Conversion]])</f>
        <v>1</v>
      </c>
      <c r="N1264">
        <f>YEAR(Table1[[#This Row],[Date Created Conversion]])</f>
        <v>2014</v>
      </c>
      <c r="O1264" t="b">
        <v>1</v>
      </c>
      <c r="P1264">
        <v>105</v>
      </c>
      <c r="Q1264" t="b">
        <v>1</v>
      </c>
      <c r="R1264" t="s">
        <v>8276</v>
      </c>
      <c r="S1264" s="6">
        <f>Table1[[#This Row],[pledged]]/Table1[[#This Row],[goal]]</f>
        <v>1.2541538461538462</v>
      </c>
      <c r="T1264" s="8">
        <f>IF(Table1[[#This Row],[pledged]]=0,"no backers",Table1[[#This Row],[pledged]]/Table1[[#This Row],[backers_count]])</f>
        <v>77.638095238095232</v>
      </c>
      <c r="U1264" t="str">
        <f>LEFT(Table1[[#This Row],[Category and Sub-Category]],FIND("/",Table1[[#This Row],[Category and Sub-Category]])-1)</f>
        <v>music</v>
      </c>
      <c r="V1264" t="str">
        <f>RIGHT(Table1[[#This Row],[Category and Sub-Category]],LEN(Table1[[#This Row],[Category and Sub-Category]])-FIND("/",Table1[[#This Row],[Category and Sub-Category]]))</f>
        <v>rock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 s="12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>((Table1[[#This Row],[deadline]]/60)/60/24)+DATE(1970,1,1)</f>
        <v>41727.041666666664</v>
      </c>
      <c r="K1265">
        <v>1393034470</v>
      </c>
      <c r="L1265" s="11">
        <f>((Table1[[#This Row],[launched_at]]/60)/60/24)+DATE(1970,1,1)</f>
        <v>41692.084143518521</v>
      </c>
      <c r="M1265">
        <f>MONTH(Table1[[#This Row],[Date Created Conversion]])</f>
        <v>2</v>
      </c>
      <c r="N1265">
        <f>YEAR(Table1[[#This Row],[Date Created Conversion]])</f>
        <v>2014</v>
      </c>
      <c r="O1265" t="b">
        <v>1</v>
      </c>
      <c r="P1265">
        <v>41</v>
      </c>
      <c r="Q1265" t="b">
        <v>1</v>
      </c>
      <c r="R1265" t="s">
        <v>8276</v>
      </c>
      <c r="S1265" s="6">
        <f>Table1[[#This Row],[pledged]]/Table1[[#This Row],[goal]]</f>
        <v>1.19</v>
      </c>
      <c r="T1265" s="8">
        <f>IF(Table1[[#This Row],[pledged]]=0,"no backers",Table1[[#This Row],[pledged]]/Table1[[#This Row],[backers_count]])</f>
        <v>43.536585365853661</v>
      </c>
      <c r="U1265" t="str">
        <f>LEFT(Table1[[#This Row],[Category and Sub-Category]],FIND("/",Table1[[#This Row],[Category and Sub-Category]])-1)</f>
        <v>music</v>
      </c>
      <c r="V1265" t="str">
        <f>RIGHT(Table1[[#This Row],[Category and Sub-Category]],LEN(Table1[[#This Row],[Category and Sub-Category]])-FIND("/",Table1[[#This Row],[Category and Sub-Category]]))</f>
        <v>rock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 s="12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>((Table1[[#This Row],[deadline]]/60)/60/24)+DATE(1970,1,1)</f>
        <v>41576.662997685184</v>
      </c>
      <c r="K1266">
        <v>1380556483</v>
      </c>
      <c r="L1266" s="11">
        <f>((Table1[[#This Row],[launched_at]]/60)/60/24)+DATE(1970,1,1)</f>
        <v>41547.662997685184</v>
      </c>
      <c r="M1266">
        <f>MONTH(Table1[[#This Row],[Date Created Conversion]])</f>
        <v>9</v>
      </c>
      <c r="N1266">
        <f>YEAR(Table1[[#This Row],[Date Created Conversion]])</f>
        <v>2013</v>
      </c>
      <c r="O1266" t="b">
        <v>1</v>
      </c>
      <c r="P1266">
        <v>34</v>
      </c>
      <c r="Q1266" t="b">
        <v>1</v>
      </c>
      <c r="R1266" t="s">
        <v>8276</v>
      </c>
      <c r="S1266" s="6">
        <f>Table1[[#This Row],[pledged]]/Table1[[#This Row],[goal]]</f>
        <v>1.6646153846153846</v>
      </c>
      <c r="T1266" s="8">
        <f>IF(Table1[[#This Row],[pledged]]=0,"no backers",Table1[[#This Row],[pledged]]/Table1[[#This Row],[backers_count]])</f>
        <v>31.823529411764707</v>
      </c>
      <c r="U1266" t="str">
        <f>LEFT(Table1[[#This Row],[Category and Sub-Category]],FIND("/",Table1[[#This Row],[Category and Sub-Category]])-1)</f>
        <v>music</v>
      </c>
      <c r="V1266" t="str">
        <f>RIGHT(Table1[[#This Row],[Category and Sub-Category]],LEN(Table1[[#This Row],[Category and Sub-Category]])-FIND("/",Table1[[#This Row],[Category and Sub-Category]]))</f>
        <v>rock</v>
      </c>
    </row>
    <row r="1267" spans="1:22" ht="57.6" x14ac:dyDescent="0.3">
      <c r="A1267">
        <v>1265</v>
      </c>
      <c r="B1267" s="3" t="s">
        <v>1266</v>
      </c>
      <c r="C1267" s="3" t="s">
        <v>5375</v>
      </c>
      <c r="D1267" s="12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>((Table1[[#This Row],[deadline]]/60)/60/24)+DATE(1970,1,1)</f>
        <v>40512.655266203699</v>
      </c>
      <c r="K1267">
        <v>1287071015</v>
      </c>
      <c r="L1267" s="11">
        <f>((Table1[[#This Row],[launched_at]]/60)/60/24)+DATE(1970,1,1)</f>
        <v>40465.655266203699</v>
      </c>
      <c r="M1267">
        <f>MONTH(Table1[[#This Row],[Date Created Conversion]])</f>
        <v>10</v>
      </c>
      <c r="N1267">
        <f>YEAR(Table1[[#This Row],[Date Created Conversion]])</f>
        <v>2010</v>
      </c>
      <c r="O1267" t="b">
        <v>1</v>
      </c>
      <c r="P1267">
        <v>66</v>
      </c>
      <c r="Q1267" t="b">
        <v>1</v>
      </c>
      <c r="R1267" t="s">
        <v>8276</v>
      </c>
      <c r="S1267" s="6">
        <f>Table1[[#This Row],[pledged]]/Table1[[#This Row],[goal]]</f>
        <v>1.1914771428571429</v>
      </c>
      <c r="T1267" s="8">
        <f>IF(Table1[[#This Row],[pledged]]=0,"no backers",Table1[[#This Row],[pledged]]/Table1[[#This Row],[backers_count]])</f>
        <v>63.184393939393942</v>
      </c>
      <c r="U1267" t="str">
        <f>LEFT(Table1[[#This Row],[Category and Sub-Category]],FIND("/",Table1[[#This Row],[Category and Sub-Category]])-1)</f>
        <v>music</v>
      </c>
      <c r="V1267" t="str">
        <f>RIGHT(Table1[[#This Row],[Category and Sub-Category]],LEN(Table1[[#This Row],[Category and Sub-Category]])-FIND("/",Table1[[#This Row],[Category and Sub-Category]]))</f>
        <v>rock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 s="12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>((Table1[[#This Row],[deadline]]/60)/60/24)+DATE(1970,1,1)</f>
        <v>41650.87667824074</v>
      </c>
      <c r="K1268">
        <v>1386882145</v>
      </c>
      <c r="L1268" s="11">
        <f>((Table1[[#This Row],[launched_at]]/60)/60/24)+DATE(1970,1,1)</f>
        <v>41620.87667824074</v>
      </c>
      <c r="M1268">
        <f>MONTH(Table1[[#This Row],[Date Created Conversion]])</f>
        <v>12</v>
      </c>
      <c r="N1268">
        <f>YEAR(Table1[[#This Row],[Date Created Conversion]])</f>
        <v>2013</v>
      </c>
      <c r="O1268" t="b">
        <v>1</v>
      </c>
      <c r="P1268">
        <v>50</v>
      </c>
      <c r="Q1268" t="b">
        <v>1</v>
      </c>
      <c r="R1268" t="s">
        <v>8276</v>
      </c>
      <c r="S1268" s="6">
        <f>Table1[[#This Row],[pledged]]/Table1[[#This Row],[goal]]</f>
        <v>1.0047368421052632</v>
      </c>
      <c r="T1268" s="8">
        <f>IF(Table1[[#This Row],[pledged]]=0,"no backers",Table1[[#This Row],[pledged]]/Table1[[#This Row],[backers_count]])</f>
        <v>190.9</v>
      </c>
      <c r="U1268" t="str">
        <f>LEFT(Table1[[#This Row],[Category and Sub-Category]],FIND("/",Table1[[#This Row],[Category and Sub-Category]])-1)</f>
        <v>music</v>
      </c>
      <c r="V1268" t="str">
        <f>RIGHT(Table1[[#This Row],[Category and Sub-Category]],LEN(Table1[[#This Row],[Category and Sub-Category]])-FIND("/",Table1[[#This Row],[Category and Sub-Category]]))</f>
        <v>rock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 s="12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>((Table1[[#This Row],[deadline]]/60)/60/24)+DATE(1970,1,1)</f>
        <v>41479.585162037038</v>
      </c>
      <c r="K1269">
        <v>1372082558</v>
      </c>
      <c r="L1269" s="11">
        <f>((Table1[[#This Row],[launched_at]]/60)/60/24)+DATE(1970,1,1)</f>
        <v>41449.585162037038</v>
      </c>
      <c r="M1269">
        <f>MONTH(Table1[[#This Row],[Date Created Conversion]])</f>
        <v>6</v>
      </c>
      <c r="N1269">
        <f>YEAR(Table1[[#This Row],[Date Created Conversion]])</f>
        <v>2013</v>
      </c>
      <c r="O1269" t="b">
        <v>1</v>
      </c>
      <c r="P1269">
        <v>159</v>
      </c>
      <c r="Q1269" t="b">
        <v>1</v>
      </c>
      <c r="R1269" t="s">
        <v>8276</v>
      </c>
      <c r="S1269" s="6">
        <f>Table1[[#This Row],[pledged]]/Table1[[#This Row],[goal]]</f>
        <v>1.018</v>
      </c>
      <c r="T1269" s="8">
        <f>IF(Table1[[#This Row],[pledged]]=0,"no backers",Table1[[#This Row],[pledged]]/Table1[[#This Row],[backers_count]])</f>
        <v>140.85534591194968</v>
      </c>
      <c r="U1269" t="str">
        <f>LEFT(Table1[[#This Row],[Category and Sub-Category]],FIND("/",Table1[[#This Row],[Category and Sub-Category]])-1)</f>
        <v>music</v>
      </c>
      <c r="V1269" t="str">
        <f>RIGHT(Table1[[#This Row],[Category and Sub-Category]],LEN(Table1[[#This Row],[Category and Sub-Category]])-FIND("/",Table1[[#This Row],[Category and Sub-Category]]))</f>
        <v>rock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 s="12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>((Table1[[#This Row],[deadline]]/60)/60/24)+DATE(1970,1,1)</f>
        <v>41537.845451388886</v>
      </c>
      <c r="K1270">
        <v>1377116247</v>
      </c>
      <c r="L1270" s="11">
        <f>((Table1[[#This Row],[launched_at]]/60)/60/24)+DATE(1970,1,1)</f>
        <v>41507.845451388886</v>
      </c>
      <c r="M1270">
        <f>MONTH(Table1[[#This Row],[Date Created Conversion]])</f>
        <v>8</v>
      </c>
      <c r="N1270">
        <f>YEAR(Table1[[#This Row],[Date Created Conversion]])</f>
        <v>2013</v>
      </c>
      <c r="O1270" t="b">
        <v>1</v>
      </c>
      <c r="P1270">
        <v>182</v>
      </c>
      <c r="Q1270" t="b">
        <v>1</v>
      </c>
      <c r="R1270" t="s">
        <v>8276</v>
      </c>
      <c r="S1270" s="6">
        <f>Table1[[#This Row],[pledged]]/Table1[[#This Row],[goal]]</f>
        <v>1.1666666666666667</v>
      </c>
      <c r="T1270" s="8">
        <f>IF(Table1[[#This Row],[pledged]]=0,"no backers",Table1[[#This Row],[pledged]]/Table1[[#This Row],[backers_count]])</f>
        <v>76.92307692307692</v>
      </c>
      <c r="U1270" t="str">
        <f>LEFT(Table1[[#This Row],[Category and Sub-Category]],FIND("/",Table1[[#This Row],[Category and Sub-Category]])-1)</f>
        <v>music</v>
      </c>
      <c r="V1270" t="str">
        <f>RIGHT(Table1[[#This Row],[Category and Sub-Category]],LEN(Table1[[#This Row],[Category and Sub-Category]])-FIND("/",Table1[[#This Row],[Category and Sub-Category]]))</f>
        <v>rock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 s="12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>((Table1[[#This Row],[deadline]]/60)/60/24)+DATE(1970,1,1)</f>
        <v>42476</v>
      </c>
      <c r="K1271">
        <v>1458157512</v>
      </c>
      <c r="L1271" s="11">
        <f>((Table1[[#This Row],[launched_at]]/60)/60/24)+DATE(1970,1,1)</f>
        <v>42445.823055555549</v>
      </c>
      <c r="M1271">
        <f>MONTH(Table1[[#This Row],[Date Created Conversion]])</f>
        <v>3</v>
      </c>
      <c r="N1271">
        <f>YEAR(Table1[[#This Row],[Date Created Conversion]])</f>
        <v>2016</v>
      </c>
      <c r="O1271" t="b">
        <v>1</v>
      </c>
      <c r="P1271">
        <v>206</v>
      </c>
      <c r="Q1271" t="b">
        <v>1</v>
      </c>
      <c r="R1271" t="s">
        <v>8276</v>
      </c>
      <c r="S1271" s="6">
        <f>Table1[[#This Row],[pledged]]/Table1[[#This Row],[goal]]</f>
        <v>1.0864893617021276</v>
      </c>
      <c r="T1271" s="8">
        <f>IF(Table1[[#This Row],[pledged]]=0,"no backers",Table1[[#This Row],[pledged]]/Table1[[#This Row],[backers_count]])</f>
        <v>99.15533980582525</v>
      </c>
      <c r="U1271" t="str">
        <f>LEFT(Table1[[#This Row],[Category and Sub-Category]],FIND("/",Table1[[#This Row],[Category and Sub-Category]])-1)</f>
        <v>music</v>
      </c>
      <c r="V1271" t="str">
        <f>RIGHT(Table1[[#This Row],[Category and Sub-Category]],LEN(Table1[[#This Row],[Category and Sub-Category]])-FIND("/",Table1[[#This Row],[Category and Sub-Category]]))</f>
        <v>rock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 s="1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>((Table1[[#This Row],[deadline]]/60)/60/24)+DATE(1970,1,1)</f>
        <v>40993.815300925926</v>
      </c>
      <c r="K1272">
        <v>1327523642</v>
      </c>
      <c r="L1272" s="11">
        <f>((Table1[[#This Row],[launched_at]]/60)/60/24)+DATE(1970,1,1)</f>
        <v>40933.856967592597</v>
      </c>
      <c r="M1272">
        <f>MONTH(Table1[[#This Row],[Date Created Conversion]])</f>
        <v>1</v>
      </c>
      <c r="N1272">
        <f>YEAR(Table1[[#This Row],[Date Created Conversion]])</f>
        <v>2012</v>
      </c>
      <c r="O1272" t="b">
        <v>1</v>
      </c>
      <c r="P1272">
        <v>169</v>
      </c>
      <c r="Q1272" t="b">
        <v>1</v>
      </c>
      <c r="R1272" t="s">
        <v>8276</v>
      </c>
      <c r="S1272" s="6">
        <f>Table1[[#This Row],[pledged]]/Table1[[#This Row],[goal]]</f>
        <v>1.1472</v>
      </c>
      <c r="T1272" s="8">
        <f>IF(Table1[[#This Row],[pledged]]=0,"no backers",Table1[[#This Row],[pledged]]/Table1[[#This Row],[backers_count]])</f>
        <v>67.881656804733723</v>
      </c>
      <c r="U1272" t="str">
        <f>LEFT(Table1[[#This Row],[Category and Sub-Category]],FIND("/",Table1[[#This Row],[Category and Sub-Category]])-1)</f>
        <v>music</v>
      </c>
      <c r="V1272" t="str">
        <f>RIGHT(Table1[[#This Row],[Category and Sub-Category]],LEN(Table1[[#This Row],[Category and Sub-Category]])-FIND("/",Table1[[#This Row],[Category and Sub-Category]]))</f>
        <v>rock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 s="12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>((Table1[[#This Row],[deadline]]/60)/60/24)+DATE(1970,1,1)</f>
        <v>41591.725219907406</v>
      </c>
      <c r="K1273">
        <v>1381767859</v>
      </c>
      <c r="L1273" s="11">
        <f>((Table1[[#This Row],[launched_at]]/60)/60/24)+DATE(1970,1,1)</f>
        <v>41561.683553240742</v>
      </c>
      <c r="M1273">
        <f>MONTH(Table1[[#This Row],[Date Created Conversion]])</f>
        <v>10</v>
      </c>
      <c r="N1273">
        <f>YEAR(Table1[[#This Row],[Date Created Conversion]])</f>
        <v>2013</v>
      </c>
      <c r="O1273" t="b">
        <v>1</v>
      </c>
      <c r="P1273">
        <v>31</v>
      </c>
      <c r="Q1273" t="b">
        <v>1</v>
      </c>
      <c r="R1273" t="s">
        <v>8276</v>
      </c>
      <c r="S1273" s="6">
        <f>Table1[[#This Row],[pledged]]/Table1[[#This Row],[goal]]</f>
        <v>1.018</v>
      </c>
      <c r="T1273" s="8">
        <f>IF(Table1[[#This Row],[pledged]]=0,"no backers",Table1[[#This Row],[pledged]]/Table1[[#This Row],[backers_count]])</f>
        <v>246.29032258064515</v>
      </c>
      <c r="U1273" t="str">
        <f>LEFT(Table1[[#This Row],[Category and Sub-Category]],FIND("/",Table1[[#This Row],[Category and Sub-Category]])-1)</f>
        <v>music</v>
      </c>
      <c r="V1273" t="str">
        <f>RIGHT(Table1[[#This Row],[Category and Sub-Category]],LEN(Table1[[#This Row],[Category and Sub-Category]])-FIND("/",Table1[[#This Row],[Category and Sub-Category]]))</f>
        <v>rock</v>
      </c>
    </row>
    <row r="1274" spans="1:22" ht="57.6" x14ac:dyDescent="0.3">
      <c r="A1274">
        <v>1272</v>
      </c>
      <c r="B1274" s="3" t="s">
        <v>1273</v>
      </c>
      <c r="C1274" s="3" t="s">
        <v>5382</v>
      </c>
      <c r="D1274" s="12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>((Table1[[#This Row],[deadline]]/60)/60/24)+DATE(1970,1,1)</f>
        <v>40344.166666666664</v>
      </c>
      <c r="K1274">
        <v>1270576379</v>
      </c>
      <c r="L1274" s="11">
        <f>((Table1[[#This Row],[launched_at]]/60)/60/24)+DATE(1970,1,1)</f>
        <v>40274.745127314818</v>
      </c>
      <c r="M1274">
        <f>MONTH(Table1[[#This Row],[Date Created Conversion]])</f>
        <v>4</v>
      </c>
      <c r="N1274">
        <f>YEAR(Table1[[#This Row],[Date Created Conversion]])</f>
        <v>2010</v>
      </c>
      <c r="O1274" t="b">
        <v>1</v>
      </c>
      <c r="P1274">
        <v>28</v>
      </c>
      <c r="Q1274" t="b">
        <v>1</v>
      </c>
      <c r="R1274" t="s">
        <v>8276</v>
      </c>
      <c r="S1274" s="6">
        <f>Table1[[#This Row],[pledged]]/Table1[[#This Row],[goal]]</f>
        <v>1.06</v>
      </c>
      <c r="T1274" s="8">
        <f>IF(Table1[[#This Row],[pledged]]=0,"no backers",Table1[[#This Row],[pledged]]/Table1[[#This Row],[backers_count]])</f>
        <v>189.28571428571428</v>
      </c>
      <c r="U1274" t="str">
        <f>LEFT(Table1[[#This Row],[Category and Sub-Category]],FIND("/",Table1[[#This Row],[Category and Sub-Category]])-1)</f>
        <v>music</v>
      </c>
      <c r="V1274" t="str">
        <f>RIGHT(Table1[[#This Row],[Category and Sub-Category]],LEN(Table1[[#This Row],[Category and Sub-Category]])-FIND("/",Table1[[#This Row],[Category and Sub-Category]]))</f>
        <v>rock</v>
      </c>
    </row>
    <row r="1275" spans="1:22" ht="43.2" x14ac:dyDescent="0.3">
      <c r="A1275">
        <v>1273</v>
      </c>
      <c r="B1275" s="3" t="s">
        <v>1274</v>
      </c>
      <c r="C1275" s="3" t="s">
        <v>5383</v>
      </c>
      <c r="D1275" s="12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>((Table1[[#This Row],[deadline]]/60)/60/24)+DATE(1970,1,1)</f>
        <v>41882.730219907404</v>
      </c>
      <c r="K1275">
        <v>1406914291</v>
      </c>
      <c r="L1275" s="11">
        <f>((Table1[[#This Row],[launched_at]]/60)/60/24)+DATE(1970,1,1)</f>
        <v>41852.730219907404</v>
      </c>
      <c r="M1275">
        <f>MONTH(Table1[[#This Row],[Date Created Conversion]])</f>
        <v>8</v>
      </c>
      <c r="N1275">
        <f>YEAR(Table1[[#This Row],[Date Created Conversion]])</f>
        <v>2014</v>
      </c>
      <c r="O1275" t="b">
        <v>1</v>
      </c>
      <c r="P1275">
        <v>54</v>
      </c>
      <c r="Q1275" t="b">
        <v>1</v>
      </c>
      <c r="R1275" t="s">
        <v>8276</v>
      </c>
      <c r="S1275" s="6">
        <f>Table1[[#This Row],[pledged]]/Table1[[#This Row],[goal]]</f>
        <v>1.0349999999999999</v>
      </c>
      <c r="T1275" s="8">
        <f>IF(Table1[[#This Row],[pledged]]=0,"no backers",Table1[[#This Row],[pledged]]/Table1[[#This Row],[backers_count]])</f>
        <v>76.666666666666671</v>
      </c>
      <c r="U1275" t="str">
        <f>LEFT(Table1[[#This Row],[Category and Sub-Category]],FIND("/",Table1[[#This Row],[Category and Sub-Category]])-1)</f>
        <v>music</v>
      </c>
      <c r="V1275" t="str">
        <f>RIGHT(Table1[[#This Row],[Category and Sub-Category]],LEN(Table1[[#This Row],[Category and Sub-Category]])-FIND("/",Table1[[#This Row],[Category and Sub-Category]]))</f>
        <v>rock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 s="12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>((Table1[[#This Row],[deadline]]/60)/60/24)+DATE(1970,1,1)</f>
        <v>41151.690104166664</v>
      </c>
      <c r="K1276">
        <v>1343320425</v>
      </c>
      <c r="L1276" s="11">
        <f>((Table1[[#This Row],[launched_at]]/60)/60/24)+DATE(1970,1,1)</f>
        <v>41116.690104166664</v>
      </c>
      <c r="M1276">
        <f>MONTH(Table1[[#This Row],[Date Created Conversion]])</f>
        <v>7</v>
      </c>
      <c r="N1276">
        <f>YEAR(Table1[[#This Row],[Date Created Conversion]])</f>
        <v>2012</v>
      </c>
      <c r="O1276" t="b">
        <v>1</v>
      </c>
      <c r="P1276">
        <v>467</v>
      </c>
      <c r="Q1276" t="b">
        <v>1</v>
      </c>
      <c r="R1276" t="s">
        <v>8276</v>
      </c>
      <c r="S1276" s="6">
        <f>Table1[[#This Row],[pledged]]/Table1[[#This Row],[goal]]</f>
        <v>1.5497535999999998</v>
      </c>
      <c r="T1276" s="8">
        <f>IF(Table1[[#This Row],[pledged]]=0,"no backers",Table1[[#This Row],[pledged]]/Table1[[#This Row],[backers_count]])</f>
        <v>82.963254817987149</v>
      </c>
      <c r="U1276" t="str">
        <f>LEFT(Table1[[#This Row],[Category and Sub-Category]],FIND("/",Table1[[#This Row],[Category and Sub-Category]])-1)</f>
        <v>music</v>
      </c>
      <c r="V1276" t="str">
        <f>RIGHT(Table1[[#This Row],[Category and Sub-Category]],LEN(Table1[[#This Row],[Category and Sub-Category]])-FIND("/",Table1[[#This Row],[Category and Sub-Category]]))</f>
        <v>rock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 s="12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>((Table1[[#This Row],[deadline]]/60)/60/24)+DATE(1970,1,1)</f>
        <v>41493.867905092593</v>
      </c>
      <c r="K1277">
        <v>1372884587</v>
      </c>
      <c r="L1277" s="11">
        <f>((Table1[[#This Row],[launched_at]]/60)/60/24)+DATE(1970,1,1)</f>
        <v>41458.867905092593</v>
      </c>
      <c r="M1277">
        <f>MONTH(Table1[[#This Row],[Date Created Conversion]])</f>
        <v>7</v>
      </c>
      <c r="N1277">
        <f>YEAR(Table1[[#This Row],[Date Created Conversion]])</f>
        <v>2013</v>
      </c>
      <c r="O1277" t="b">
        <v>1</v>
      </c>
      <c r="P1277">
        <v>389</v>
      </c>
      <c r="Q1277" t="b">
        <v>1</v>
      </c>
      <c r="R1277" t="s">
        <v>8276</v>
      </c>
      <c r="S1277" s="6">
        <f>Table1[[#This Row],[pledged]]/Table1[[#This Row],[goal]]</f>
        <v>1.6214066666666667</v>
      </c>
      <c r="T1277" s="8">
        <f>IF(Table1[[#This Row],[pledged]]=0,"no backers",Table1[[#This Row],[pledged]]/Table1[[#This Row],[backers_count]])</f>
        <v>62.522107969151669</v>
      </c>
      <c r="U1277" t="str">
        <f>LEFT(Table1[[#This Row],[Category and Sub-Category]],FIND("/",Table1[[#This Row],[Category and Sub-Category]])-1)</f>
        <v>music</v>
      </c>
      <c r="V1277" t="str">
        <f>RIGHT(Table1[[#This Row],[Category and Sub-Category]],LEN(Table1[[#This Row],[Category and Sub-Category]])-FIND("/",Table1[[#This Row],[Category and Sub-Category]]))</f>
        <v>rock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 s="12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>((Table1[[#This Row],[deadline]]/60)/60/24)+DATE(1970,1,1)</f>
        <v>40057.166666666664</v>
      </c>
      <c r="K1278">
        <v>1247504047</v>
      </c>
      <c r="L1278" s="11">
        <f>((Table1[[#This Row],[launched_at]]/60)/60/24)+DATE(1970,1,1)</f>
        <v>40007.704247685186</v>
      </c>
      <c r="M1278">
        <f>MONTH(Table1[[#This Row],[Date Created Conversion]])</f>
        <v>7</v>
      </c>
      <c r="N1278">
        <f>YEAR(Table1[[#This Row],[Date Created Conversion]])</f>
        <v>2009</v>
      </c>
      <c r="O1278" t="b">
        <v>1</v>
      </c>
      <c r="P1278">
        <v>68</v>
      </c>
      <c r="Q1278" t="b">
        <v>1</v>
      </c>
      <c r="R1278" t="s">
        <v>8276</v>
      </c>
      <c r="S1278" s="6">
        <f>Table1[[#This Row],[pledged]]/Table1[[#This Row],[goal]]</f>
        <v>1.0442100000000001</v>
      </c>
      <c r="T1278" s="8">
        <f>IF(Table1[[#This Row],[pledged]]=0,"no backers",Table1[[#This Row],[pledged]]/Table1[[#This Row],[backers_count]])</f>
        <v>46.06808823529412</v>
      </c>
      <c r="U1278" t="str">
        <f>LEFT(Table1[[#This Row],[Category and Sub-Category]],FIND("/",Table1[[#This Row],[Category and Sub-Category]])-1)</f>
        <v>music</v>
      </c>
      <c r="V1278" t="str">
        <f>RIGHT(Table1[[#This Row],[Category and Sub-Category]],LEN(Table1[[#This Row],[Category and Sub-Category]])-FIND("/",Table1[[#This Row],[Category and Sub-Category]]))</f>
        <v>rock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 s="12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>((Table1[[#This Row],[deadline]]/60)/60/24)+DATE(1970,1,1)</f>
        <v>41156.561886574076</v>
      </c>
      <c r="K1279">
        <v>1343741347</v>
      </c>
      <c r="L1279" s="11">
        <f>((Table1[[#This Row],[launched_at]]/60)/60/24)+DATE(1970,1,1)</f>
        <v>41121.561886574076</v>
      </c>
      <c r="M1279">
        <f>MONTH(Table1[[#This Row],[Date Created Conversion]])</f>
        <v>7</v>
      </c>
      <c r="N1279">
        <f>YEAR(Table1[[#This Row],[Date Created Conversion]])</f>
        <v>2012</v>
      </c>
      <c r="O1279" t="b">
        <v>1</v>
      </c>
      <c r="P1279">
        <v>413</v>
      </c>
      <c r="Q1279" t="b">
        <v>1</v>
      </c>
      <c r="R1279" t="s">
        <v>8276</v>
      </c>
      <c r="S1279" s="6">
        <f>Table1[[#This Row],[pledged]]/Table1[[#This Row],[goal]]</f>
        <v>1.0612433333333333</v>
      </c>
      <c r="T1279" s="8">
        <f>IF(Table1[[#This Row],[pledged]]=0,"no backers",Table1[[#This Row],[pledged]]/Table1[[#This Row],[backers_count]])</f>
        <v>38.543946731234868</v>
      </c>
      <c r="U1279" t="str">
        <f>LEFT(Table1[[#This Row],[Category and Sub-Category]],FIND("/",Table1[[#This Row],[Category and Sub-Category]])-1)</f>
        <v>music</v>
      </c>
      <c r="V1279" t="str">
        <f>RIGHT(Table1[[#This Row],[Category and Sub-Category]],LEN(Table1[[#This Row],[Category and Sub-Category]])-FIND("/",Table1[[#This Row],[Category and Sub-Category]]))</f>
        <v>rock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 s="12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>((Table1[[#This Row],[deadline]]/60)/60/24)+DATE(1970,1,1)</f>
        <v>41815.083333333336</v>
      </c>
      <c r="K1280">
        <v>1401196766</v>
      </c>
      <c r="L1280" s="11">
        <f>((Table1[[#This Row],[launched_at]]/60)/60/24)+DATE(1970,1,1)</f>
        <v>41786.555162037039</v>
      </c>
      <c r="M1280">
        <f>MONTH(Table1[[#This Row],[Date Created Conversion]])</f>
        <v>5</v>
      </c>
      <c r="N1280">
        <f>YEAR(Table1[[#This Row],[Date Created Conversion]])</f>
        <v>2014</v>
      </c>
      <c r="O1280" t="b">
        <v>1</v>
      </c>
      <c r="P1280">
        <v>190</v>
      </c>
      <c r="Q1280" t="b">
        <v>1</v>
      </c>
      <c r="R1280" t="s">
        <v>8276</v>
      </c>
      <c r="S1280" s="6">
        <f>Table1[[#This Row],[pledged]]/Table1[[#This Row],[goal]]</f>
        <v>1.5493846153846154</v>
      </c>
      <c r="T1280" s="8">
        <f>IF(Table1[[#This Row],[pledged]]=0,"no backers",Table1[[#This Row],[pledged]]/Table1[[#This Row],[backers_count]])</f>
        <v>53.005263157894738</v>
      </c>
      <c r="U1280" t="str">
        <f>LEFT(Table1[[#This Row],[Category and Sub-Category]],FIND("/",Table1[[#This Row],[Category and Sub-Category]])-1)</f>
        <v>music</v>
      </c>
      <c r="V1280" t="str">
        <f>RIGHT(Table1[[#This Row],[Category and Sub-Category]],LEN(Table1[[#This Row],[Category and Sub-Category]])-FIND("/",Table1[[#This Row],[Category and Sub-Category]]))</f>
        <v>rock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 s="12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>((Table1[[#This Row],[deadline]]/60)/60/24)+DATE(1970,1,1)</f>
        <v>41722.057523148149</v>
      </c>
      <c r="K1281">
        <v>1392171770</v>
      </c>
      <c r="L1281" s="11">
        <f>((Table1[[#This Row],[launched_at]]/60)/60/24)+DATE(1970,1,1)</f>
        <v>41682.099189814813</v>
      </c>
      <c r="M1281">
        <f>MONTH(Table1[[#This Row],[Date Created Conversion]])</f>
        <v>2</v>
      </c>
      <c r="N1281">
        <f>YEAR(Table1[[#This Row],[Date Created Conversion]])</f>
        <v>2014</v>
      </c>
      <c r="O1281" t="b">
        <v>1</v>
      </c>
      <c r="P1281">
        <v>189</v>
      </c>
      <c r="Q1281" t="b">
        <v>1</v>
      </c>
      <c r="R1281" t="s">
        <v>8276</v>
      </c>
      <c r="S1281" s="6">
        <f>Table1[[#This Row],[pledged]]/Table1[[#This Row],[goal]]</f>
        <v>1.1077157238734421</v>
      </c>
      <c r="T1281" s="8">
        <f>IF(Table1[[#This Row],[pledged]]=0,"no backers",Table1[[#This Row],[pledged]]/Table1[[#This Row],[backers_count]])</f>
        <v>73.355396825396824</v>
      </c>
      <c r="U1281" t="str">
        <f>LEFT(Table1[[#This Row],[Category and Sub-Category]],FIND("/",Table1[[#This Row],[Category and Sub-Category]])-1)</f>
        <v>music</v>
      </c>
      <c r="V1281" t="str">
        <f>RIGHT(Table1[[#This Row],[Category and Sub-Category]],LEN(Table1[[#This Row],[Category and Sub-Category]])-FIND("/",Table1[[#This Row],[Category and Sub-Category]]))</f>
        <v>rock</v>
      </c>
    </row>
    <row r="1282" spans="1:22" ht="43.2" x14ac:dyDescent="0.3">
      <c r="A1282">
        <v>1280</v>
      </c>
      <c r="B1282" s="3" t="s">
        <v>1281</v>
      </c>
      <c r="C1282" s="3" t="s">
        <v>5390</v>
      </c>
      <c r="D1282" s="1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>((Table1[[#This Row],[deadline]]/60)/60/24)+DATE(1970,1,1)</f>
        <v>40603.757569444446</v>
      </c>
      <c r="K1282">
        <v>1291227054</v>
      </c>
      <c r="L1282" s="11">
        <f>((Table1[[#This Row],[launched_at]]/60)/60/24)+DATE(1970,1,1)</f>
        <v>40513.757569444446</v>
      </c>
      <c r="M1282">
        <f>MONTH(Table1[[#This Row],[Date Created Conversion]])</f>
        <v>12</v>
      </c>
      <c r="N1282">
        <f>YEAR(Table1[[#This Row],[Date Created Conversion]])</f>
        <v>2010</v>
      </c>
      <c r="O1282" t="b">
        <v>1</v>
      </c>
      <c r="P1282">
        <v>130</v>
      </c>
      <c r="Q1282" t="b">
        <v>1</v>
      </c>
      <c r="R1282" t="s">
        <v>8276</v>
      </c>
      <c r="S1282" s="6">
        <f>Table1[[#This Row],[pledged]]/Table1[[#This Row],[goal]]</f>
        <v>1.1091186666666666</v>
      </c>
      <c r="T1282" s="8">
        <f>IF(Table1[[#This Row],[pledged]]=0,"no backers",Table1[[#This Row],[pledged]]/Table1[[#This Row],[backers_count]])</f>
        <v>127.97523076923076</v>
      </c>
      <c r="U1282" t="str">
        <f>LEFT(Table1[[#This Row],[Category and Sub-Category]],FIND("/",Table1[[#This Row],[Category and Sub-Category]])-1)</f>
        <v>music</v>
      </c>
      <c r="V1282" t="str">
        <f>RIGHT(Table1[[#This Row],[Category and Sub-Category]],LEN(Table1[[#This Row],[Category and Sub-Category]])-FIND("/",Table1[[#This Row],[Category and Sub-Category]]))</f>
        <v>rock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 s="12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>((Table1[[#This Row],[deadline]]/60)/60/24)+DATE(1970,1,1)</f>
        <v>41483.743472222224</v>
      </c>
      <c r="K1283">
        <v>1373305836</v>
      </c>
      <c r="L1283" s="11">
        <f>((Table1[[#This Row],[launched_at]]/60)/60/24)+DATE(1970,1,1)</f>
        <v>41463.743472222224</v>
      </c>
      <c r="M1283">
        <f>MONTH(Table1[[#This Row],[Date Created Conversion]])</f>
        <v>7</v>
      </c>
      <c r="N1283">
        <f>YEAR(Table1[[#This Row],[Date Created Conversion]])</f>
        <v>2013</v>
      </c>
      <c r="O1283" t="b">
        <v>1</v>
      </c>
      <c r="P1283">
        <v>74</v>
      </c>
      <c r="Q1283" t="b">
        <v>1</v>
      </c>
      <c r="R1283" t="s">
        <v>8276</v>
      </c>
      <c r="S1283" s="6">
        <f>Table1[[#This Row],[pledged]]/Table1[[#This Row],[goal]]</f>
        <v>1.1071428571428572</v>
      </c>
      <c r="T1283" s="8">
        <f>IF(Table1[[#This Row],[pledged]]=0,"no backers",Table1[[#This Row],[pledged]]/Table1[[#This Row],[backers_count]])</f>
        <v>104.72972972972973</v>
      </c>
      <c r="U1283" t="str">
        <f>LEFT(Table1[[#This Row],[Category and Sub-Category]],FIND("/",Table1[[#This Row],[Category and Sub-Category]])-1)</f>
        <v>music</v>
      </c>
      <c r="V1283" t="str">
        <f>RIGHT(Table1[[#This Row],[Category and Sub-Category]],LEN(Table1[[#This Row],[Category and Sub-Category]])-FIND("/",Table1[[#This Row],[Category and Sub-Category]]))</f>
        <v>rock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 s="12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>((Table1[[#This Row],[deadline]]/60)/60/24)+DATE(1970,1,1)</f>
        <v>41617.207638888889</v>
      </c>
      <c r="K1284">
        <v>1383909855</v>
      </c>
      <c r="L1284" s="11">
        <f>((Table1[[#This Row],[launched_at]]/60)/60/24)+DATE(1970,1,1)</f>
        <v>41586.475173611114</v>
      </c>
      <c r="M1284">
        <f>MONTH(Table1[[#This Row],[Date Created Conversion]])</f>
        <v>11</v>
      </c>
      <c r="N1284">
        <f>YEAR(Table1[[#This Row],[Date Created Conversion]])</f>
        <v>2013</v>
      </c>
      <c r="O1284" t="b">
        <v>1</v>
      </c>
      <c r="P1284">
        <v>274</v>
      </c>
      <c r="Q1284" t="b">
        <v>1</v>
      </c>
      <c r="R1284" t="s">
        <v>8276</v>
      </c>
      <c r="S1284" s="6">
        <f>Table1[[#This Row],[pledged]]/Table1[[#This Row],[goal]]</f>
        <v>1.2361333333333333</v>
      </c>
      <c r="T1284" s="8">
        <f>IF(Table1[[#This Row],[pledged]]=0,"no backers",Table1[[#This Row],[pledged]]/Table1[[#This Row],[backers_count]])</f>
        <v>67.671532846715323</v>
      </c>
      <c r="U1284" t="str">
        <f>LEFT(Table1[[#This Row],[Category and Sub-Category]],FIND("/",Table1[[#This Row],[Category and Sub-Category]])-1)</f>
        <v>music</v>
      </c>
      <c r="V1284" t="str">
        <f>RIGHT(Table1[[#This Row],[Category and Sub-Category]],LEN(Table1[[#This Row],[Category and Sub-Category]])-FIND("/",Table1[[#This Row],[Category and Sub-Category]]))</f>
        <v>rock</v>
      </c>
    </row>
    <row r="1285" spans="1:22" ht="43.2" x14ac:dyDescent="0.3">
      <c r="A1285">
        <v>1283</v>
      </c>
      <c r="B1285" s="3" t="s">
        <v>1284</v>
      </c>
      <c r="C1285" s="3" t="s">
        <v>5393</v>
      </c>
      <c r="D1285" s="12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>((Table1[[#This Row],[deadline]]/60)/60/24)+DATE(1970,1,1)</f>
        <v>41344.166666666664</v>
      </c>
      <c r="K1285">
        <v>1360948389</v>
      </c>
      <c r="L1285" s="11">
        <f>((Table1[[#This Row],[launched_at]]/60)/60/24)+DATE(1970,1,1)</f>
        <v>41320.717465277776</v>
      </c>
      <c r="M1285">
        <f>MONTH(Table1[[#This Row],[Date Created Conversion]])</f>
        <v>2</v>
      </c>
      <c r="N1285">
        <f>YEAR(Table1[[#This Row],[Date Created Conversion]])</f>
        <v>2013</v>
      </c>
      <c r="O1285" t="b">
        <v>1</v>
      </c>
      <c r="P1285">
        <v>22</v>
      </c>
      <c r="Q1285" t="b">
        <v>1</v>
      </c>
      <c r="R1285" t="s">
        <v>8276</v>
      </c>
      <c r="S1285" s="6">
        <f>Table1[[#This Row],[pledged]]/Table1[[#This Row],[goal]]</f>
        <v>2.1105</v>
      </c>
      <c r="T1285" s="8">
        <f>IF(Table1[[#This Row],[pledged]]=0,"no backers",Table1[[#This Row],[pledged]]/Table1[[#This Row],[backers_count]])</f>
        <v>95.931818181818187</v>
      </c>
      <c r="U1285" t="str">
        <f>LEFT(Table1[[#This Row],[Category and Sub-Category]],FIND("/",Table1[[#This Row],[Category and Sub-Category]])-1)</f>
        <v>music</v>
      </c>
      <c r="V1285" t="str">
        <f>RIGHT(Table1[[#This Row],[Category and Sub-Category]],LEN(Table1[[#This Row],[Category and Sub-Category]])-FIND("/",Table1[[#This Row],[Category and Sub-Category]]))</f>
        <v>rock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 s="12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>((Table1[[#This Row],[deadline]]/60)/60/24)+DATE(1970,1,1)</f>
        <v>42735.707638888889</v>
      </c>
      <c r="K1286">
        <v>1481175482</v>
      </c>
      <c r="L1286" s="11">
        <f>((Table1[[#This Row],[launched_at]]/60)/60/24)+DATE(1970,1,1)</f>
        <v>42712.23474537037</v>
      </c>
      <c r="M1286">
        <f>MONTH(Table1[[#This Row],[Date Created Conversion]])</f>
        <v>12</v>
      </c>
      <c r="N1286">
        <f>YEAR(Table1[[#This Row],[Date Created Conversion]])</f>
        <v>2016</v>
      </c>
      <c r="O1286" t="b">
        <v>0</v>
      </c>
      <c r="P1286">
        <v>31</v>
      </c>
      <c r="Q1286" t="b">
        <v>1</v>
      </c>
      <c r="R1286" t="s">
        <v>8271</v>
      </c>
      <c r="S1286" s="6">
        <f>Table1[[#This Row],[pledged]]/Table1[[#This Row],[goal]]</f>
        <v>1.01</v>
      </c>
      <c r="T1286" s="8">
        <f>IF(Table1[[#This Row],[pledged]]=0,"no backers",Table1[[#This Row],[pledged]]/Table1[[#This Row],[backers_count]])</f>
        <v>65.161290322580641</v>
      </c>
      <c r="U1286" t="str">
        <f>LEFT(Table1[[#This Row],[Category and Sub-Category]],FIND("/",Table1[[#This Row],[Category and Sub-Category]])-1)</f>
        <v>theater</v>
      </c>
      <c r="V1286" t="str">
        <f>RIGHT(Table1[[#This Row],[Category and Sub-Category]],LEN(Table1[[#This Row],[Category and Sub-Category]])-FIND("/",Table1[[#This Row],[Category and Sub-Category]]))</f>
        <v>plays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 s="12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>((Table1[[#This Row],[deadline]]/60)/60/24)+DATE(1970,1,1)</f>
        <v>42175.583043981482</v>
      </c>
      <c r="K1287">
        <v>1433512775</v>
      </c>
      <c r="L1287" s="11">
        <f>((Table1[[#This Row],[launched_at]]/60)/60/24)+DATE(1970,1,1)</f>
        <v>42160.583043981482</v>
      </c>
      <c r="M1287">
        <f>MONTH(Table1[[#This Row],[Date Created Conversion]])</f>
        <v>6</v>
      </c>
      <c r="N1287">
        <f>YEAR(Table1[[#This Row],[Date Created Conversion]])</f>
        <v>2015</v>
      </c>
      <c r="O1287" t="b">
        <v>0</v>
      </c>
      <c r="P1287">
        <v>63</v>
      </c>
      <c r="Q1287" t="b">
        <v>1</v>
      </c>
      <c r="R1287" t="s">
        <v>8271</v>
      </c>
      <c r="S1287" s="6">
        <f>Table1[[#This Row],[pledged]]/Table1[[#This Row],[goal]]</f>
        <v>1.0165</v>
      </c>
      <c r="T1287" s="8">
        <f>IF(Table1[[#This Row],[pledged]]=0,"no backers",Table1[[#This Row],[pledged]]/Table1[[#This Row],[backers_count]])</f>
        <v>32.269841269841272</v>
      </c>
      <c r="U1287" t="str">
        <f>LEFT(Table1[[#This Row],[Category and Sub-Category]],FIND("/",Table1[[#This Row],[Category and Sub-Category]])-1)</f>
        <v>theater</v>
      </c>
      <c r="V1287" t="str">
        <f>RIGHT(Table1[[#This Row],[Category and Sub-Category]],LEN(Table1[[#This Row],[Category and Sub-Category]])-FIND("/",Table1[[#This Row],[Category and Sub-Category]]))</f>
        <v>plays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 s="12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>((Table1[[#This Row],[deadline]]/60)/60/24)+DATE(1970,1,1)</f>
        <v>42052.583333333328</v>
      </c>
      <c r="K1288">
        <v>1423041227</v>
      </c>
      <c r="L1288" s="11">
        <f>((Table1[[#This Row],[launched_at]]/60)/60/24)+DATE(1970,1,1)</f>
        <v>42039.384571759263</v>
      </c>
      <c r="M1288">
        <f>MONTH(Table1[[#This Row],[Date Created Conversion]])</f>
        <v>2</v>
      </c>
      <c r="N1288">
        <f>YEAR(Table1[[#This Row],[Date Created Conversion]])</f>
        <v>2015</v>
      </c>
      <c r="O1288" t="b">
        <v>0</v>
      </c>
      <c r="P1288">
        <v>20</v>
      </c>
      <c r="Q1288" t="b">
        <v>1</v>
      </c>
      <c r="R1288" t="s">
        <v>8271</v>
      </c>
      <c r="S1288" s="6">
        <f>Table1[[#This Row],[pledged]]/Table1[[#This Row],[goal]]</f>
        <v>1.0833333333333333</v>
      </c>
      <c r="T1288" s="8">
        <f>IF(Table1[[#This Row],[pledged]]=0,"no backers",Table1[[#This Row],[pledged]]/Table1[[#This Row],[backers_count]])</f>
        <v>81.25</v>
      </c>
      <c r="U1288" t="str">
        <f>LEFT(Table1[[#This Row],[Category and Sub-Category]],FIND("/",Table1[[#This Row],[Category and Sub-Category]])-1)</f>
        <v>theater</v>
      </c>
      <c r="V1288" t="str">
        <f>RIGHT(Table1[[#This Row],[Category and Sub-Category]],LEN(Table1[[#This Row],[Category and Sub-Category]])-FIND("/",Table1[[#This Row],[Category and Sub-Category]]))</f>
        <v>plays</v>
      </c>
    </row>
    <row r="1289" spans="1:22" ht="72" x14ac:dyDescent="0.3">
      <c r="A1289">
        <v>1287</v>
      </c>
      <c r="B1289" s="3" t="s">
        <v>1288</v>
      </c>
      <c r="C1289" s="3" t="s">
        <v>5397</v>
      </c>
      <c r="D1289" s="12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>((Table1[[#This Row],[deadline]]/60)/60/24)+DATE(1970,1,1)</f>
        <v>42167.621018518519</v>
      </c>
      <c r="K1289">
        <v>1428936856</v>
      </c>
      <c r="L1289" s="11">
        <f>((Table1[[#This Row],[launched_at]]/60)/60/24)+DATE(1970,1,1)</f>
        <v>42107.621018518519</v>
      </c>
      <c r="M1289">
        <f>MONTH(Table1[[#This Row],[Date Created Conversion]])</f>
        <v>4</v>
      </c>
      <c r="N1289">
        <f>YEAR(Table1[[#This Row],[Date Created Conversion]])</f>
        <v>2015</v>
      </c>
      <c r="O1289" t="b">
        <v>0</v>
      </c>
      <c r="P1289">
        <v>25</v>
      </c>
      <c r="Q1289" t="b">
        <v>1</v>
      </c>
      <c r="R1289" t="s">
        <v>8271</v>
      </c>
      <c r="S1289" s="6">
        <f>Table1[[#This Row],[pledged]]/Table1[[#This Row],[goal]]</f>
        <v>2.42</v>
      </c>
      <c r="T1289" s="8">
        <f>IF(Table1[[#This Row],[pledged]]=0,"no backers",Table1[[#This Row],[pledged]]/Table1[[#This Row],[backers_count]])</f>
        <v>24.2</v>
      </c>
      <c r="U1289" t="str">
        <f>LEFT(Table1[[#This Row],[Category and Sub-Category]],FIND("/",Table1[[#This Row],[Category and Sub-Category]])-1)</f>
        <v>theater</v>
      </c>
      <c r="V1289" t="str">
        <f>RIGHT(Table1[[#This Row],[Category and Sub-Category]],LEN(Table1[[#This Row],[Category and Sub-Category]])-FIND("/",Table1[[#This Row],[Category and Sub-Category]]))</f>
        <v>plays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 s="12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>((Table1[[#This Row],[deadline]]/60)/60/24)+DATE(1970,1,1)</f>
        <v>42592.166666666672</v>
      </c>
      <c r="K1290">
        <v>1468122163</v>
      </c>
      <c r="L1290" s="11">
        <f>((Table1[[#This Row],[launched_at]]/60)/60/24)+DATE(1970,1,1)</f>
        <v>42561.154664351852</v>
      </c>
      <c r="M1290">
        <f>MONTH(Table1[[#This Row],[Date Created Conversion]])</f>
        <v>7</v>
      </c>
      <c r="N1290">
        <f>YEAR(Table1[[#This Row],[Date Created Conversion]])</f>
        <v>2016</v>
      </c>
      <c r="O1290" t="b">
        <v>0</v>
      </c>
      <c r="P1290">
        <v>61</v>
      </c>
      <c r="Q1290" t="b">
        <v>1</v>
      </c>
      <c r="R1290" t="s">
        <v>8271</v>
      </c>
      <c r="S1290" s="6">
        <f>Table1[[#This Row],[pledged]]/Table1[[#This Row],[goal]]</f>
        <v>1.0044999999999999</v>
      </c>
      <c r="T1290" s="8">
        <f>IF(Table1[[#This Row],[pledged]]=0,"no backers",Table1[[#This Row],[pledged]]/Table1[[#This Row],[backers_count]])</f>
        <v>65.868852459016395</v>
      </c>
      <c r="U1290" t="str">
        <f>LEFT(Table1[[#This Row],[Category and Sub-Category]],FIND("/",Table1[[#This Row],[Category and Sub-Category]])-1)</f>
        <v>theater</v>
      </c>
      <c r="V1290" t="str">
        <f>RIGHT(Table1[[#This Row],[Category and Sub-Category]],LEN(Table1[[#This Row],[Category and Sub-Category]])-FIND("/",Table1[[#This Row],[Category and Sub-Category]]))</f>
        <v>plays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 s="12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>((Table1[[#This Row],[deadline]]/60)/60/24)+DATE(1970,1,1)</f>
        <v>42739.134780092587</v>
      </c>
      <c r="K1291">
        <v>1480907645</v>
      </c>
      <c r="L1291" s="11">
        <f>((Table1[[#This Row],[launched_at]]/60)/60/24)+DATE(1970,1,1)</f>
        <v>42709.134780092587</v>
      </c>
      <c r="M1291">
        <f>MONTH(Table1[[#This Row],[Date Created Conversion]])</f>
        <v>12</v>
      </c>
      <c r="N1291">
        <f>YEAR(Table1[[#This Row],[Date Created Conversion]])</f>
        <v>2016</v>
      </c>
      <c r="O1291" t="b">
        <v>0</v>
      </c>
      <c r="P1291">
        <v>52</v>
      </c>
      <c r="Q1291" t="b">
        <v>1</v>
      </c>
      <c r="R1291" t="s">
        <v>8271</v>
      </c>
      <c r="S1291" s="6">
        <f>Table1[[#This Row],[pledged]]/Table1[[#This Row],[goal]]</f>
        <v>1.2506666666666666</v>
      </c>
      <c r="T1291" s="8">
        <f>IF(Table1[[#This Row],[pledged]]=0,"no backers",Table1[[#This Row],[pledged]]/Table1[[#This Row],[backers_count]])</f>
        <v>36.07692307692308</v>
      </c>
      <c r="U1291" t="str">
        <f>LEFT(Table1[[#This Row],[Category and Sub-Category]],FIND("/",Table1[[#This Row],[Category and Sub-Category]])-1)</f>
        <v>theater</v>
      </c>
      <c r="V1291" t="str">
        <f>RIGHT(Table1[[#This Row],[Category and Sub-Category]],LEN(Table1[[#This Row],[Category and Sub-Category]])-FIND("/",Table1[[#This Row],[Category and Sub-Category]]))</f>
        <v>plays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 s="1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>((Table1[[#This Row],[deadline]]/60)/60/24)+DATE(1970,1,1)</f>
        <v>42117.290972222225</v>
      </c>
      <c r="K1292">
        <v>1427121931</v>
      </c>
      <c r="L1292" s="11">
        <f>((Table1[[#This Row],[launched_at]]/60)/60/24)+DATE(1970,1,1)</f>
        <v>42086.614942129629</v>
      </c>
      <c r="M1292">
        <f>MONTH(Table1[[#This Row],[Date Created Conversion]])</f>
        <v>3</v>
      </c>
      <c r="N1292">
        <f>YEAR(Table1[[#This Row],[Date Created Conversion]])</f>
        <v>2015</v>
      </c>
      <c r="O1292" t="b">
        <v>0</v>
      </c>
      <c r="P1292">
        <v>86</v>
      </c>
      <c r="Q1292" t="b">
        <v>1</v>
      </c>
      <c r="R1292" t="s">
        <v>8271</v>
      </c>
      <c r="S1292" s="6">
        <f>Table1[[#This Row],[pledged]]/Table1[[#This Row],[goal]]</f>
        <v>1.0857142857142856</v>
      </c>
      <c r="T1292" s="8">
        <f>IF(Table1[[#This Row],[pledged]]=0,"no backers",Table1[[#This Row],[pledged]]/Table1[[#This Row],[backers_count]])</f>
        <v>44.186046511627907</v>
      </c>
      <c r="U1292" t="str">
        <f>LEFT(Table1[[#This Row],[Category and Sub-Category]],FIND("/",Table1[[#This Row],[Category and Sub-Category]])-1)</f>
        <v>theater</v>
      </c>
      <c r="V1292" t="str">
        <f>RIGHT(Table1[[#This Row],[Category and Sub-Category]],LEN(Table1[[#This Row],[Category and Sub-Category]])-FIND("/",Table1[[#This Row],[Category and Sub-Category]]))</f>
        <v>plays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 s="12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>((Table1[[#This Row],[deadline]]/60)/60/24)+DATE(1970,1,1)</f>
        <v>42101.291666666672</v>
      </c>
      <c r="K1293">
        <v>1425224391</v>
      </c>
      <c r="L1293" s="11">
        <f>((Table1[[#This Row],[launched_at]]/60)/60/24)+DATE(1970,1,1)</f>
        <v>42064.652673611112</v>
      </c>
      <c r="M1293">
        <f>MONTH(Table1[[#This Row],[Date Created Conversion]])</f>
        <v>3</v>
      </c>
      <c r="N1293">
        <f>YEAR(Table1[[#This Row],[Date Created Conversion]])</f>
        <v>2015</v>
      </c>
      <c r="O1293" t="b">
        <v>0</v>
      </c>
      <c r="P1293">
        <v>42</v>
      </c>
      <c r="Q1293" t="b">
        <v>1</v>
      </c>
      <c r="R1293" t="s">
        <v>8271</v>
      </c>
      <c r="S1293" s="6">
        <f>Table1[[#This Row],[pledged]]/Table1[[#This Row],[goal]]</f>
        <v>1.4570000000000001</v>
      </c>
      <c r="T1293" s="8">
        <f>IF(Table1[[#This Row],[pledged]]=0,"no backers",Table1[[#This Row],[pledged]]/Table1[[#This Row],[backers_count]])</f>
        <v>104.07142857142857</v>
      </c>
      <c r="U1293" t="str">
        <f>LEFT(Table1[[#This Row],[Category and Sub-Category]],FIND("/",Table1[[#This Row],[Category and Sub-Category]])-1)</f>
        <v>theater</v>
      </c>
      <c r="V1293" t="str">
        <f>RIGHT(Table1[[#This Row],[Category and Sub-Category]],LEN(Table1[[#This Row],[Category and Sub-Category]])-FIND("/",Table1[[#This Row],[Category and Sub-Category]]))</f>
        <v>plays</v>
      </c>
    </row>
    <row r="1294" spans="1:22" ht="57.6" x14ac:dyDescent="0.3">
      <c r="A1294">
        <v>1292</v>
      </c>
      <c r="B1294" s="3" t="s">
        <v>1293</v>
      </c>
      <c r="C1294" s="3" t="s">
        <v>5402</v>
      </c>
      <c r="D1294" s="12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>((Table1[[#This Row],[deadline]]/60)/60/24)+DATE(1970,1,1)</f>
        <v>42283.957638888889</v>
      </c>
      <c r="K1294">
        <v>1441822828</v>
      </c>
      <c r="L1294" s="11">
        <f>((Table1[[#This Row],[launched_at]]/60)/60/24)+DATE(1970,1,1)</f>
        <v>42256.764212962968</v>
      </c>
      <c r="M1294">
        <f>MONTH(Table1[[#This Row],[Date Created Conversion]])</f>
        <v>9</v>
      </c>
      <c r="N1294">
        <f>YEAR(Table1[[#This Row],[Date Created Conversion]])</f>
        <v>2015</v>
      </c>
      <c r="O1294" t="b">
        <v>0</v>
      </c>
      <c r="P1294">
        <v>52</v>
      </c>
      <c r="Q1294" t="b">
        <v>1</v>
      </c>
      <c r="R1294" t="s">
        <v>8271</v>
      </c>
      <c r="S1294" s="6">
        <f>Table1[[#This Row],[pledged]]/Table1[[#This Row],[goal]]</f>
        <v>1.1000000000000001</v>
      </c>
      <c r="T1294" s="8">
        <f>IF(Table1[[#This Row],[pledged]]=0,"no backers",Table1[[#This Row],[pledged]]/Table1[[#This Row],[backers_count]])</f>
        <v>35.96153846153846</v>
      </c>
      <c r="U1294" t="str">
        <f>LEFT(Table1[[#This Row],[Category and Sub-Category]],FIND("/",Table1[[#This Row],[Category and Sub-Category]])-1)</f>
        <v>theater</v>
      </c>
      <c r="V1294" t="str">
        <f>RIGHT(Table1[[#This Row],[Category and Sub-Category]],LEN(Table1[[#This Row],[Category and Sub-Category]])-FIND("/",Table1[[#This Row],[Category and Sub-Category]]))</f>
        <v>plays</v>
      </c>
    </row>
    <row r="1295" spans="1:22" ht="57.6" x14ac:dyDescent="0.3">
      <c r="A1295">
        <v>1293</v>
      </c>
      <c r="B1295" s="3" t="s">
        <v>1294</v>
      </c>
      <c r="C1295" s="3" t="s">
        <v>5403</v>
      </c>
      <c r="D1295" s="12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>((Table1[[#This Row],[deadline]]/60)/60/24)+DATE(1970,1,1)</f>
        <v>42322.742719907401</v>
      </c>
      <c r="K1295">
        <v>1444927771</v>
      </c>
      <c r="L1295" s="11">
        <f>((Table1[[#This Row],[launched_at]]/60)/60/24)+DATE(1970,1,1)</f>
        <v>42292.701053240744</v>
      </c>
      <c r="M1295">
        <f>MONTH(Table1[[#This Row],[Date Created Conversion]])</f>
        <v>10</v>
      </c>
      <c r="N1295">
        <f>YEAR(Table1[[#This Row],[Date Created Conversion]])</f>
        <v>2015</v>
      </c>
      <c r="O1295" t="b">
        <v>0</v>
      </c>
      <c r="P1295">
        <v>120</v>
      </c>
      <c r="Q1295" t="b">
        <v>1</v>
      </c>
      <c r="R1295" t="s">
        <v>8271</v>
      </c>
      <c r="S1295" s="6">
        <f>Table1[[#This Row],[pledged]]/Table1[[#This Row],[goal]]</f>
        <v>1.0223333333333333</v>
      </c>
      <c r="T1295" s="8">
        <f>IF(Table1[[#This Row],[pledged]]=0,"no backers",Table1[[#This Row],[pledged]]/Table1[[#This Row],[backers_count]])</f>
        <v>127.79166666666667</v>
      </c>
      <c r="U1295" t="str">
        <f>LEFT(Table1[[#This Row],[Category and Sub-Category]],FIND("/",Table1[[#This Row],[Category and Sub-Category]])-1)</f>
        <v>theater</v>
      </c>
      <c r="V1295" t="str">
        <f>RIGHT(Table1[[#This Row],[Category and Sub-Category]],LEN(Table1[[#This Row],[Category and Sub-Category]])-FIND("/",Table1[[#This Row],[Category and Sub-Category]]))</f>
        <v>plays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 s="12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>((Table1[[#This Row],[deadline]]/60)/60/24)+DATE(1970,1,1)</f>
        <v>42296.458333333328</v>
      </c>
      <c r="K1296">
        <v>1443696797</v>
      </c>
      <c r="L1296" s="11">
        <f>((Table1[[#This Row],[launched_at]]/60)/60/24)+DATE(1970,1,1)</f>
        <v>42278.453668981485</v>
      </c>
      <c r="M1296">
        <f>MONTH(Table1[[#This Row],[Date Created Conversion]])</f>
        <v>10</v>
      </c>
      <c r="N1296">
        <f>YEAR(Table1[[#This Row],[Date Created Conversion]])</f>
        <v>2015</v>
      </c>
      <c r="O1296" t="b">
        <v>0</v>
      </c>
      <c r="P1296">
        <v>22</v>
      </c>
      <c r="Q1296" t="b">
        <v>1</v>
      </c>
      <c r="R1296" t="s">
        <v>8271</v>
      </c>
      <c r="S1296" s="6">
        <f>Table1[[#This Row],[pledged]]/Table1[[#This Row],[goal]]</f>
        <v>1.22</v>
      </c>
      <c r="T1296" s="8">
        <f>IF(Table1[[#This Row],[pledged]]=0,"no backers",Table1[[#This Row],[pledged]]/Table1[[#This Row],[backers_count]])</f>
        <v>27.727272727272727</v>
      </c>
      <c r="U1296" t="str">
        <f>LEFT(Table1[[#This Row],[Category and Sub-Category]],FIND("/",Table1[[#This Row],[Category and Sub-Category]])-1)</f>
        <v>theater</v>
      </c>
      <c r="V1296" t="str">
        <f>RIGHT(Table1[[#This Row],[Category and Sub-Category]],LEN(Table1[[#This Row],[Category and Sub-Category]])-FIND("/",Table1[[#This Row],[Category and Sub-Category]]))</f>
        <v>plays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 s="12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>((Table1[[#This Row],[deadline]]/60)/60/24)+DATE(1970,1,1)</f>
        <v>42214.708333333328</v>
      </c>
      <c r="K1297">
        <v>1435585497</v>
      </c>
      <c r="L1297" s="11">
        <f>((Table1[[#This Row],[launched_at]]/60)/60/24)+DATE(1970,1,1)</f>
        <v>42184.572881944448</v>
      </c>
      <c r="M1297">
        <f>MONTH(Table1[[#This Row],[Date Created Conversion]])</f>
        <v>6</v>
      </c>
      <c r="N1297">
        <f>YEAR(Table1[[#This Row],[Date Created Conversion]])</f>
        <v>2015</v>
      </c>
      <c r="O1297" t="b">
        <v>0</v>
      </c>
      <c r="P1297">
        <v>64</v>
      </c>
      <c r="Q1297" t="b">
        <v>1</v>
      </c>
      <c r="R1297" t="s">
        <v>8271</v>
      </c>
      <c r="S1297" s="6">
        <f>Table1[[#This Row],[pledged]]/Table1[[#This Row],[goal]]</f>
        <v>1.0196000000000001</v>
      </c>
      <c r="T1297" s="8">
        <f>IF(Table1[[#This Row],[pledged]]=0,"no backers",Table1[[#This Row],[pledged]]/Table1[[#This Row],[backers_count]])</f>
        <v>39.828125</v>
      </c>
      <c r="U1297" t="str">
        <f>LEFT(Table1[[#This Row],[Category and Sub-Category]],FIND("/",Table1[[#This Row],[Category and Sub-Category]])-1)</f>
        <v>theater</v>
      </c>
      <c r="V1297" t="str">
        <f>RIGHT(Table1[[#This Row],[Category and Sub-Category]],LEN(Table1[[#This Row],[Category and Sub-Category]])-FIND("/",Table1[[#This Row],[Category and Sub-Category]]))</f>
        <v>plays</v>
      </c>
    </row>
    <row r="1298" spans="1:22" ht="57.6" x14ac:dyDescent="0.3">
      <c r="A1298">
        <v>1296</v>
      </c>
      <c r="B1298" s="3" t="s">
        <v>1297</v>
      </c>
      <c r="C1298" s="3" t="s">
        <v>5406</v>
      </c>
      <c r="D1298" s="12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>((Table1[[#This Row],[deadline]]/60)/60/24)+DATE(1970,1,1)</f>
        <v>42443.008946759262</v>
      </c>
      <c r="K1298">
        <v>1456189973</v>
      </c>
      <c r="L1298" s="11">
        <f>((Table1[[#This Row],[launched_at]]/60)/60/24)+DATE(1970,1,1)</f>
        <v>42423.050613425927</v>
      </c>
      <c r="M1298">
        <f>MONTH(Table1[[#This Row],[Date Created Conversion]])</f>
        <v>2</v>
      </c>
      <c r="N1298">
        <f>YEAR(Table1[[#This Row],[Date Created Conversion]])</f>
        <v>2016</v>
      </c>
      <c r="O1298" t="b">
        <v>0</v>
      </c>
      <c r="P1298">
        <v>23</v>
      </c>
      <c r="Q1298" t="b">
        <v>1</v>
      </c>
      <c r="R1298" t="s">
        <v>8271</v>
      </c>
      <c r="S1298" s="6">
        <f>Table1[[#This Row],[pledged]]/Table1[[#This Row],[goal]]</f>
        <v>1.411764705882353</v>
      </c>
      <c r="T1298" s="8">
        <f>IF(Table1[[#This Row],[pledged]]=0,"no backers",Table1[[#This Row],[pledged]]/Table1[[#This Row],[backers_count]])</f>
        <v>52.173913043478258</v>
      </c>
      <c r="U1298" t="str">
        <f>LEFT(Table1[[#This Row],[Category and Sub-Category]],FIND("/",Table1[[#This Row],[Category and Sub-Category]])-1)</f>
        <v>theater</v>
      </c>
      <c r="V1298" t="str">
        <f>RIGHT(Table1[[#This Row],[Category and Sub-Category]],LEN(Table1[[#This Row],[Category and Sub-Category]])-FIND("/",Table1[[#This Row],[Category and Sub-Category]]))</f>
        <v>plays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 s="12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>((Table1[[#This Row],[deadline]]/60)/60/24)+DATE(1970,1,1)</f>
        <v>42491.747199074074</v>
      </c>
      <c r="K1299">
        <v>1459533358</v>
      </c>
      <c r="L1299" s="11">
        <f>((Table1[[#This Row],[launched_at]]/60)/60/24)+DATE(1970,1,1)</f>
        <v>42461.747199074074</v>
      </c>
      <c r="M1299">
        <f>MONTH(Table1[[#This Row],[Date Created Conversion]])</f>
        <v>4</v>
      </c>
      <c r="N1299">
        <f>YEAR(Table1[[#This Row],[Date Created Conversion]])</f>
        <v>2016</v>
      </c>
      <c r="O1299" t="b">
        <v>0</v>
      </c>
      <c r="P1299">
        <v>238</v>
      </c>
      <c r="Q1299" t="b">
        <v>1</v>
      </c>
      <c r="R1299" t="s">
        <v>8271</v>
      </c>
      <c r="S1299" s="6">
        <f>Table1[[#This Row],[pledged]]/Table1[[#This Row],[goal]]</f>
        <v>1.0952500000000001</v>
      </c>
      <c r="T1299" s="8">
        <f>IF(Table1[[#This Row],[pledged]]=0,"no backers",Table1[[#This Row],[pledged]]/Table1[[#This Row],[backers_count]])</f>
        <v>92.037815126050418</v>
      </c>
      <c r="U1299" t="str">
        <f>LEFT(Table1[[#This Row],[Category and Sub-Category]],FIND("/",Table1[[#This Row],[Category and Sub-Category]])-1)</f>
        <v>theater</v>
      </c>
      <c r="V1299" t="str">
        <f>RIGHT(Table1[[#This Row],[Category and Sub-Category]],LEN(Table1[[#This Row],[Category and Sub-Category]])-FIND("/",Table1[[#This Row],[Category and Sub-Category]]))</f>
        <v>plays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 s="12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>((Table1[[#This Row],[deadline]]/60)/60/24)+DATE(1970,1,1)</f>
        <v>42488.680925925932</v>
      </c>
      <c r="K1300">
        <v>1459268432</v>
      </c>
      <c r="L1300" s="11">
        <f>((Table1[[#This Row],[launched_at]]/60)/60/24)+DATE(1970,1,1)</f>
        <v>42458.680925925932</v>
      </c>
      <c r="M1300">
        <f>MONTH(Table1[[#This Row],[Date Created Conversion]])</f>
        <v>3</v>
      </c>
      <c r="N1300">
        <f>YEAR(Table1[[#This Row],[Date Created Conversion]])</f>
        <v>2016</v>
      </c>
      <c r="O1300" t="b">
        <v>0</v>
      </c>
      <c r="P1300">
        <v>33</v>
      </c>
      <c r="Q1300" t="b">
        <v>1</v>
      </c>
      <c r="R1300" t="s">
        <v>8271</v>
      </c>
      <c r="S1300" s="6">
        <f>Table1[[#This Row],[pledged]]/Table1[[#This Row],[goal]]</f>
        <v>1.0465</v>
      </c>
      <c r="T1300" s="8">
        <f>IF(Table1[[#This Row],[pledged]]=0,"no backers",Table1[[#This Row],[pledged]]/Table1[[#This Row],[backers_count]])</f>
        <v>63.424242424242422</v>
      </c>
      <c r="U1300" t="str">
        <f>LEFT(Table1[[#This Row],[Category and Sub-Category]],FIND("/",Table1[[#This Row],[Category and Sub-Category]])-1)</f>
        <v>theater</v>
      </c>
      <c r="V1300" t="str">
        <f>RIGHT(Table1[[#This Row],[Category and Sub-Category]],LEN(Table1[[#This Row],[Category and Sub-Category]])-FIND("/",Table1[[#This Row],[Category and Sub-Category]]))</f>
        <v>plays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 s="12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>((Table1[[#This Row],[deadline]]/60)/60/24)+DATE(1970,1,1)</f>
        <v>42199.814340277779</v>
      </c>
      <c r="K1301">
        <v>1434310359</v>
      </c>
      <c r="L1301" s="11">
        <f>((Table1[[#This Row],[launched_at]]/60)/60/24)+DATE(1970,1,1)</f>
        <v>42169.814340277779</v>
      </c>
      <c r="M1301">
        <f>MONTH(Table1[[#This Row],[Date Created Conversion]])</f>
        <v>6</v>
      </c>
      <c r="N1301">
        <f>YEAR(Table1[[#This Row],[Date Created Conversion]])</f>
        <v>2015</v>
      </c>
      <c r="O1301" t="b">
        <v>0</v>
      </c>
      <c r="P1301">
        <v>32</v>
      </c>
      <c r="Q1301" t="b">
        <v>1</v>
      </c>
      <c r="R1301" t="s">
        <v>8271</v>
      </c>
      <c r="S1301" s="6">
        <f>Table1[[#This Row],[pledged]]/Table1[[#This Row],[goal]]</f>
        <v>1.24</v>
      </c>
      <c r="T1301" s="8">
        <f>IF(Table1[[#This Row],[pledged]]=0,"no backers",Table1[[#This Row],[pledged]]/Table1[[#This Row],[backers_count]])</f>
        <v>135.625</v>
      </c>
      <c r="U1301" t="str">
        <f>LEFT(Table1[[#This Row],[Category and Sub-Category]],FIND("/",Table1[[#This Row],[Category and Sub-Category]])-1)</f>
        <v>theater</v>
      </c>
      <c r="V1301" t="str">
        <f>RIGHT(Table1[[#This Row],[Category and Sub-Category]],LEN(Table1[[#This Row],[Category and Sub-Category]])-FIND("/",Table1[[#This Row],[Category and Sub-Category]]))</f>
        <v>plays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 s="1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>((Table1[[#This Row],[deadline]]/60)/60/24)+DATE(1970,1,1)</f>
        <v>42522.789583333331</v>
      </c>
      <c r="K1302">
        <v>1461427938</v>
      </c>
      <c r="L1302" s="11">
        <f>((Table1[[#This Row],[launched_at]]/60)/60/24)+DATE(1970,1,1)</f>
        <v>42483.675208333334</v>
      </c>
      <c r="M1302">
        <f>MONTH(Table1[[#This Row],[Date Created Conversion]])</f>
        <v>4</v>
      </c>
      <c r="N1302">
        <f>YEAR(Table1[[#This Row],[Date Created Conversion]])</f>
        <v>2016</v>
      </c>
      <c r="O1302" t="b">
        <v>0</v>
      </c>
      <c r="P1302">
        <v>24</v>
      </c>
      <c r="Q1302" t="b">
        <v>1</v>
      </c>
      <c r="R1302" t="s">
        <v>8271</v>
      </c>
      <c r="S1302" s="6">
        <f>Table1[[#This Row],[pledged]]/Table1[[#This Row],[goal]]</f>
        <v>1.35</v>
      </c>
      <c r="T1302" s="8">
        <f>IF(Table1[[#This Row],[pledged]]=0,"no backers",Table1[[#This Row],[pledged]]/Table1[[#This Row],[backers_count]])</f>
        <v>168.75</v>
      </c>
      <c r="U1302" t="str">
        <f>LEFT(Table1[[#This Row],[Category and Sub-Category]],FIND("/",Table1[[#This Row],[Category and Sub-Category]])-1)</f>
        <v>theater</v>
      </c>
      <c r="V1302" t="str">
        <f>RIGHT(Table1[[#This Row],[Category and Sub-Category]],LEN(Table1[[#This Row],[Category and Sub-Category]])-FIND("/",Table1[[#This Row],[Category and Sub-Category]]))</f>
        <v>plays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 s="12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>((Table1[[#This Row],[deadline]]/60)/60/24)+DATE(1970,1,1)</f>
        <v>42206.125</v>
      </c>
      <c r="K1303">
        <v>1436551178</v>
      </c>
      <c r="L1303" s="11">
        <f>((Table1[[#This Row],[launched_at]]/60)/60/24)+DATE(1970,1,1)</f>
        <v>42195.749745370369</v>
      </c>
      <c r="M1303">
        <f>MONTH(Table1[[#This Row],[Date Created Conversion]])</f>
        <v>7</v>
      </c>
      <c r="N1303">
        <f>YEAR(Table1[[#This Row],[Date Created Conversion]])</f>
        <v>2015</v>
      </c>
      <c r="O1303" t="b">
        <v>0</v>
      </c>
      <c r="P1303">
        <v>29</v>
      </c>
      <c r="Q1303" t="b">
        <v>1</v>
      </c>
      <c r="R1303" t="s">
        <v>8271</v>
      </c>
      <c r="S1303" s="6">
        <f>Table1[[#This Row],[pledged]]/Table1[[#This Row],[goal]]</f>
        <v>1.0275000000000001</v>
      </c>
      <c r="T1303" s="8">
        <f>IF(Table1[[#This Row],[pledged]]=0,"no backers",Table1[[#This Row],[pledged]]/Table1[[#This Row],[backers_count]])</f>
        <v>70.862068965517238</v>
      </c>
      <c r="U1303" t="str">
        <f>LEFT(Table1[[#This Row],[Category and Sub-Category]],FIND("/",Table1[[#This Row],[Category and Sub-Category]])-1)</f>
        <v>theater</v>
      </c>
      <c r="V1303" t="str">
        <f>RIGHT(Table1[[#This Row],[Category and Sub-Category]],LEN(Table1[[#This Row],[Category and Sub-Category]])-FIND("/",Table1[[#This Row],[Category and Sub-Category]]))</f>
        <v>plays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 s="12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>((Table1[[#This Row],[deadline]]/60)/60/24)+DATE(1970,1,1)</f>
        <v>42705.099664351852</v>
      </c>
      <c r="K1304">
        <v>1477963411</v>
      </c>
      <c r="L1304" s="11">
        <f>((Table1[[#This Row],[launched_at]]/60)/60/24)+DATE(1970,1,1)</f>
        <v>42675.057997685188</v>
      </c>
      <c r="M1304">
        <f>MONTH(Table1[[#This Row],[Date Created Conversion]])</f>
        <v>11</v>
      </c>
      <c r="N1304">
        <f>YEAR(Table1[[#This Row],[Date Created Conversion]])</f>
        <v>2016</v>
      </c>
      <c r="O1304" t="b">
        <v>0</v>
      </c>
      <c r="P1304">
        <v>50</v>
      </c>
      <c r="Q1304" t="b">
        <v>1</v>
      </c>
      <c r="R1304" t="s">
        <v>8271</v>
      </c>
      <c r="S1304" s="6">
        <f>Table1[[#This Row],[pledged]]/Table1[[#This Row],[goal]]</f>
        <v>1</v>
      </c>
      <c r="T1304" s="8">
        <f>IF(Table1[[#This Row],[pledged]]=0,"no backers",Table1[[#This Row],[pledged]]/Table1[[#This Row],[backers_count]])</f>
        <v>50</v>
      </c>
      <c r="U1304" t="str">
        <f>LEFT(Table1[[#This Row],[Category and Sub-Category]],FIND("/",Table1[[#This Row],[Category and Sub-Category]])-1)</f>
        <v>theater</v>
      </c>
      <c r="V1304" t="str">
        <f>RIGHT(Table1[[#This Row],[Category and Sub-Category]],LEN(Table1[[#This Row],[Category and Sub-Category]])-FIND("/",Table1[[#This Row],[Category and Sub-Category]]))</f>
        <v>plays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 s="12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>((Table1[[#This Row],[deadline]]/60)/60/24)+DATE(1970,1,1)</f>
        <v>42582.458333333328</v>
      </c>
      <c r="K1305">
        <v>1468578920</v>
      </c>
      <c r="L1305" s="11">
        <f>((Table1[[#This Row],[launched_at]]/60)/60/24)+DATE(1970,1,1)</f>
        <v>42566.441203703704</v>
      </c>
      <c r="M1305">
        <f>MONTH(Table1[[#This Row],[Date Created Conversion]])</f>
        <v>7</v>
      </c>
      <c r="N1305">
        <f>YEAR(Table1[[#This Row],[Date Created Conversion]])</f>
        <v>2016</v>
      </c>
      <c r="O1305" t="b">
        <v>0</v>
      </c>
      <c r="P1305">
        <v>108</v>
      </c>
      <c r="Q1305" t="b">
        <v>1</v>
      </c>
      <c r="R1305" t="s">
        <v>8271</v>
      </c>
      <c r="S1305" s="6">
        <f>Table1[[#This Row],[pledged]]/Table1[[#This Row],[goal]]</f>
        <v>1.3026085714285716</v>
      </c>
      <c r="T1305" s="8">
        <f>IF(Table1[[#This Row],[pledged]]=0,"no backers",Table1[[#This Row],[pledged]]/Table1[[#This Row],[backers_count]])</f>
        <v>42.214166666666671</v>
      </c>
      <c r="U1305" t="str">
        <f>LEFT(Table1[[#This Row],[Category and Sub-Category]],FIND("/",Table1[[#This Row],[Category and Sub-Category]])-1)</f>
        <v>theater</v>
      </c>
      <c r="V1305" t="str">
        <f>RIGHT(Table1[[#This Row],[Category and Sub-Category]],LEN(Table1[[#This Row],[Category and Sub-Category]])-FIND("/",Table1[[#This Row],[Category and Sub-Category]]))</f>
        <v>plays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 s="12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>((Table1[[#This Row],[deadline]]/60)/60/24)+DATE(1970,1,1)</f>
        <v>42807.152835648143</v>
      </c>
      <c r="K1306">
        <v>1484196005</v>
      </c>
      <c r="L1306" s="11">
        <f>((Table1[[#This Row],[launched_at]]/60)/60/24)+DATE(1970,1,1)</f>
        <v>42747.194502314815</v>
      </c>
      <c r="M1306">
        <f>MONTH(Table1[[#This Row],[Date Created Conversion]])</f>
        <v>1</v>
      </c>
      <c r="N1306">
        <f>YEAR(Table1[[#This Row],[Date Created Conversion]])</f>
        <v>2017</v>
      </c>
      <c r="O1306" t="b">
        <v>0</v>
      </c>
      <c r="P1306">
        <v>104</v>
      </c>
      <c r="Q1306" t="b">
        <v>0</v>
      </c>
      <c r="R1306" t="s">
        <v>8273</v>
      </c>
      <c r="S1306" s="6">
        <f>Table1[[#This Row],[pledged]]/Table1[[#This Row],[goal]]</f>
        <v>0.39627499999999999</v>
      </c>
      <c r="T1306" s="8">
        <f>IF(Table1[[#This Row],[pledged]]=0,"no backers",Table1[[#This Row],[pledged]]/Table1[[#This Row],[backers_count]])</f>
        <v>152.41346153846155</v>
      </c>
      <c r="U1306" t="str">
        <f>LEFT(Table1[[#This Row],[Category and Sub-Category]],FIND("/",Table1[[#This Row],[Category and Sub-Category]])-1)</f>
        <v>technology</v>
      </c>
      <c r="V1306" t="str">
        <f>RIGHT(Table1[[#This Row],[Category and Sub-Category]],LEN(Table1[[#This Row],[Category and Sub-Category]])-FIND("/",Table1[[#This Row],[Category and Sub-Category]]))</f>
        <v>wearables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 s="12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>((Table1[[#This Row],[deadline]]/60)/60/24)+DATE(1970,1,1)</f>
        <v>42572.729166666672</v>
      </c>
      <c r="K1307">
        <v>1466611108</v>
      </c>
      <c r="L1307" s="11">
        <f>((Table1[[#This Row],[launched_at]]/60)/60/24)+DATE(1970,1,1)</f>
        <v>42543.665601851855</v>
      </c>
      <c r="M1307">
        <f>MONTH(Table1[[#This Row],[Date Created Conversion]])</f>
        <v>6</v>
      </c>
      <c r="N1307">
        <f>YEAR(Table1[[#This Row],[Date Created Conversion]])</f>
        <v>2016</v>
      </c>
      <c r="O1307" t="b">
        <v>0</v>
      </c>
      <c r="P1307">
        <v>86</v>
      </c>
      <c r="Q1307" t="b">
        <v>0</v>
      </c>
      <c r="R1307" t="s">
        <v>8273</v>
      </c>
      <c r="S1307" s="6">
        <f>Table1[[#This Row],[pledged]]/Table1[[#This Row],[goal]]</f>
        <v>0.25976666666666665</v>
      </c>
      <c r="T1307" s="8">
        <f>IF(Table1[[#This Row],[pledged]]=0,"no backers",Table1[[#This Row],[pledged]]/Table1[[#This Row],[backers_count]])</f>
        <v>90.616279069767444</v>
      </c>
      <c r="U1307" t="str">
        <f>LEFT(Table1[[#This Row],[Category and Sub-Category]],FIND("/",Table1[[#This Row],[Category and Sub-Category]])-1)</f>
        <v>technology</v>
      </c>
      <c r="V1307" t="str">
        <f>RIGHT(Table1[[#This Row],[Category and Sub-Category]],LEN(Table1[[#This Row],[Category and Sub-Category]])-FIND("/",Table1[[#This Row],[Category and Sub-Category]]))</f>
        <v>wearables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 s="12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>((Table1[[#This Row],[deadline]]/60)/60/24)+DATE(1970,1,1)</f>
        <v>41977.457569444443</v>
      </c>
      <c r="K1308">
        <v>1415098734</v>
      </c>
      <c r="L1308" s="11">
        <f>((Table1[[#This Row],[launched_at]]/60)/60/24)+DATE(1970,1,1)</f>
        <v>41947.457569444443</v>
      </c>
      <c r="M1308">
        <f>MONTH(Table1[[#This Row],[Date Created Conversion]])</f>
        <v>11</v>
      </c>
      <c r="N1308">
        <f>YEAR(Table1[[#This Row],[Date Created Conversion]])</f>
        <v>2014</v>
      </c>
      <c r="O1308" t="b">
        <v>0</v>
      </c>
      <c r="P1308">
        <v>356</v>
      </c>
      <c r="Q1308" t="b">
        <v>0</v>
      </c>
      <c r="R1308" t="s">
        <v>8273</v>
      </c>
      <c r="S1308" s="6">
        <f>Table1[[#This Row],[pledged]]/Table1[[#This Row],[goal]]</f>
        <v>0.65246363636363636</v>
      </c>
      <c r="T1308" s="8">
        <f>IF(Table1[[#This Row],[pledged]]=0,"no backers",Table1[[#This Row],[pledged]]/Table1[[#This Row],[backers_count]])</f>
        <v>201.60393258426967</v>
      </c>
      <c r="U1308" t="str">
        <f>LEFT(Table1[[#This Row],[Category and Sub-Category]],FIND("/",Table1[[#This Row],[Category and Sub-Category]])-1)</f>
        <v>technology</v>
      </c>
      <c r="V1308" t="str">
        <f>RIGHT(Table1[[#This Row],[Category and Sub-Category]],LEN(Table1[[#This Row],[Category and Sub-Category]])-FIND("/",Table1[[#This Row],[Category and Sub-Category]]))</f>
        <v>wearables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 s="12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>((Table1[[#This Row],[deadline]]/60)/60/24)+DATE(1970,1,1)</f>
        <v>42417.503229166665</v>
      </c>
      <c r="K1309">
        <v>1453118679</v>
      </c>
      <c r="L1309" s="11">
        <f>((Table1[[#This Row],[launched_at]]/60)/60/24)+DATE(1970,1,1)</f>
        <v>42387.503229166665</v>
      </c>
      <c r="M1309">
        <f>MONTH(Table1[[#This Row],[Date Created Conversion]])</f>
        <v>1</v>
      </c>
      <c r="N1309">
        <f>YEAR(Table1[[#This Row],[Date Created Conversion]])</f>
        <v>2016</v>
      </c>
      <c r="O1309" t="b">
        <v>0</v>
      </c>
      <c r="P1309">
        <v>45</v>
      </c>
      <c r="Q1309" t="b">
        <v>0</v>
      </c>
      <c r="R1309" t="s">
        <v>8273</v>
      </c>
      <c r="S1309" s="6">
        <f>Table1[[#This Row],[pledged]]/Table1[[#This Row],[goal]]</f>
        <v>0.11514000000000001</v>
      </c>
      <c r="T1309" s="8">
        <f>IF(Table1[[#This Row],[pledged]]=0,"no backers",Table1[[#This Row],[pledged]]/Table1[[#This Row],[backers_count]])</f>
        <v>127.93333333333334</v>
      </c>
      <c r="U1309" t="str">
        <f>LEFT(Table1[[#This Row],[Category and Sub-Category]],FIND("/",Table1[[#This Row],[Category and Sub-Category]])-1)</f>
        <v>technology</v>
      </c>
      <c r="V1309" t="str">
        <f>RIGHT(Table1[[#This Row],[Category and Sub-Category]],LEN(Table1[[#This Row],[Category and Sub-Category]])-FIND("/",Table1[[#This Row],[Category and Sub-Category]]))</f>
        <v>wearables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 s="12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>((Table1[[#This Row],[deadline]]/60)/60/24)+DATE(1970,1,1)</f>
        <v>42651.613564814819</v>
      </c>
      <c r="K1310">
        <v>1472481812</v>
      </c>
      <c r="L1310" s="11">
        <f>((Table1[[#This Row],[launched_at]]/60)/60/24)+DATE(1970,1,1)</f>
        <v>42611.613564814819</v>
      </c>
      <c r="M1310">
        <f>MONTH(Table1[[#This Row],[Date Created Conversion]])</f>
        <v>8</v>
      </c>
      <c r="N1310">
        <f>YEAR(Table1[[#This Row],[Date Created Conversion]])</f>
        <v>2016</v>
      </c>
      <c r="O1310" t="b">
        <v>0</v>
      </c>
      <c r="P1310">
        <v>38</v>
      </c>
      <c r="Q1310" t="b">
        <v>0</v>
      </c>
      <c r="R1310" t="s">
        <v>8273</v>
      </c>
      <c r="S1310" s="6">
        <f>Table1[[#This Row],[pledged]]/Table1[[#This Row],[goal]]</f>
        <v>0.11360000000000001</v>
      </c>
      <c r="T1310" s="8">
        <f>IF(Table1[[#This Row],[pledged]]=0,"no backers",Table1[[#This Row],[pledged]]/Table1[[#This Row],[backers_count]])</f>
        <v>29.894736842105264</v>
      </c>
      <c r="U1310" t="str">
        <f>LEFT(Table1[[#This Row],[Category and Sub-Category]],FIND("/",Table1[[#This Row],[Category and Sub-Category]])-1)</f>
        <v>technology</v>
      </c>
      <c r="V1310" t="str">
        <f>RIGHT(Table1[[#This Row],[Category and Sub-Category]],LEN(Table1[[#This Row],[Category and Sub-Category]])-FIND("/",Table1[[#This Row],[Category and Sub-Category]]))</f>
        <v>wearables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 s="12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>((Table1[[#This Row],[deadline]]/60)/60/24)+DATE(1970,1,1)</f>
        <v>42292.882731481484</v>
      </c>
      <c r="K1311">
        <v>1441919468</v>
      </c>
      <c r="L1311" s="11">
        <f>((Table1[[#This Row],[launched_at]]/60)/60/24)+DATE(1970,1,1)</f>
        <v>42257.882731481484</v>
      </c>
      <c r="M1311">
        <f>MONTH(Table1[[#This Row],[Date Created Conversion]])</f>
        <v>9</v>
      </c>
      <c r="N1311">
        <f>YEAR(Table1[[#This Row],[Date Created Conversion]])</f>
        <v>2015</v>
      </c>
      <c r="O1311" t="b">
        <v>0</v>
      </c>
      <c r="P1311">
        <v>35</v>
      </c>
      <c r="Q1311" t="b">
        <v>0</v>
      </c>
      <c r="R1311" t="s">
        <v>8273</v>
      </c>
      <c r="S1311" s="6">
        <f>Table1[[#This Row],[pledged]]/Table1[[#This Row],[goal]]</f>
        <v>1.1199130434782609</v>
      </c>
      <c r="T1311" s="8">
        <f>IF(Table1[[#This Row],[pledged]]=0,"no backers",Table1[[#This Row],[pledged]]/Table1[[#This Row],[backers_count]])</f>
        <v>367.97142857142859</v>
      </c>
      <c r="U1311" t="str">
        <f>LEFT(Table1[[#This Row],[Category and Sub-Category]],FIND("/",Table1[[#This Row],[Category and Sub-Category]])-1)</f>
        <v>technology</v>
      </c>
      <c r="V1311" t="str">
        <f>RIGHT(Table1[[#This Row],[Category and Sub-Category]],LEN(Table1[[#This Row],[Category and Sub-Category]])-FIND("/",Table1[[#This Row],[Category and Sub-Category]]))</f>
        <v>wearables</v>
      </c>
    </row>
    <row r="1312" spans="1:22" ht="43.2" x14ac:dyDescent="0.3">
      <c r="A1312">
        <v>1310</v>
      </c>
      <c r="B1312" s="3" t="s">
        <v>1311</v>
      </c>
      <c r="C1312" s="3" t="s">
        <v>5420</v>
      </c>
      <c r="D1312" s="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>((Table1[[#This Row],[deadline]]/60)/60/24)+DATE(1970,1,1)</f>
        <v>42601.667245370365</v>
      </c>
      <c r="K1312">
        <v>1467734450</v>
      </c>
      <c r="L1312" s="11">
        <f>((Table1[[#This Row],[launched_at]]/60)/60/24)+DATE(1970,1,1)</f>
        <v>42556.667245370365</v>
      </c>
      <c r="M1312">
        <f>MONTH(Table1[[#This Row],[Date Created Conversion]])</f>
        <v>7</v>
      </c>
      <c r="N1312">
        <f>YEAR(Table1[[#This Row],[Date Created Conversion]])</f>
        <v>2016</v>
      </c>
      <c r="O1312" t="b">
        <v>0</v>
      </c>
      <c r="P1312">
        <v>24</v>
      </c>
      <c r="Q1312" t="b">
        <v>0</v>
      </c>
      <c r="R1312" t="s">
        <v>8273</v>
      </c>
      <c r="S1312" s="6">
        <f>Table1[[#This Row],[pledged]]/Table1[[#This Row],[goal]]</f>
        <v>0.155</v>
      </c>
      <c r="T1312" s="8">
        <f>IF(Table1[[#This Row],[pledged]]=0,"no backers",Table1[[#This Row],[pledged]]/Table1[[#This Row],[backers_count]])</f>
        <v>129.16666666666666</v>
      </c>
      <c r="U1312" t="str">
        <f>LEFT(Table1[[#This Row],[Category and Sub-Category]],FIND("/",Table1[[#This Row],[Category and Sub-Category]])-1)</f>
        <v>technology</v>
      </c>
      <c r="V1312" t="str">
        <f>RIGHT(Table1[[#This Row],[Category and Sub-Category]],LEN(Table1[[#This Row],[Category and Sub-Category]])-FIND("/",Table1[[#This Row],[Category and Sub-Category]]))</f>
        <v>wearables</v>
      </c>
    </row>
    <row r="1313" spans="1:22" ht="57.6" x14ac:dyDescent="0.3">
      <c r="A1313">
        <v>1311</v>
      </c>
      <c r="B1313" s="3" t="s">
        <v>1312</v>
      </c>
      <c r="C1313" s="3" t="s">
        <v>5421</v>
      </c>
      <c r="D1313" s="12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>((Table1[[#This Row],[deadline]]/60)/60/24)+DATE(1970,1,1)</f>
        <v>42704.843969907408</v>
      </c>
      <c r="K1313">
        <v>1477509319</v>
      </c>
      <c r="L1313" s="11">
        <f>((Table1[[#This Row],[launched_at]]/60)/60/24)+DATE(1970,1,1)</f>
        <v>42669.802303240736</v>
      </c>
      <c r="M1313">
        <f>MONTH(Table1[[#This Row],[Date Created Conversion]])</f>
        <v>10</v>
      </c>
      <c r="N1313">
        <f>YEAR(Table1[[#This Row],[Date Created Conversion]])</f>
        <v>2016</v>
      </c>
      <c r="O1313" t="b">
        <v>0</v>
      </c>
      <c r="P1313">
        <v>100</v>
      </c>
      <c r="Q1313" t="b">
        <v>0</v>
      </c>
      <c r="R1313" t="s">
        <v>8273</v>
      </c>
      <c r="S1313" s="6">
        <f>Table1[[#This Row],[pledged]]/Table1[[#This Row],[goal]]</f>
        <v>0.32028000000000001</v>
      </c>
      <c r="T1313" s="8">
        <f>IF(Table1[[#This Row],[pledged]]=0,"no backers",Table1[[#This Row],[pledged]]/Table1[[#This Row],[backers_count]])</f>
        <v>800.7</v>
      </c>
      <c r="U1313" t="str">
        <f>LEFT(Table1[[#This Row],[Category and Sub-Category]],FIND("/",Table1[[#This Row],[Category and Sub-Category]])-1)</f>
        <v>technology</v>
      </c>
      <c r="V1313" t="str">
        <f>RIGHT(Table1[[#This Row],[Category and Sub-Category]],LEN(Table1[[#This Row],[Category and Sub-Category]])-FIND("/",Table1[[#This Row],[Category and Sub-Category]]))</f>
        <v>wearables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 s="12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>((Table1[[#This Row],[deadline]]/60)/60/24)+DATE(1970,1,1)</f>
        <v>42112.702800925923</v>
      </c>
      <c r="K1314">
        <v>1426783922</v>
      </c>
      <c r="L1314" s="11">
        <f>((Table1[[#This Row],[launched_at]]/60)/60/24)+DATE(1970,1,1)</f>
        <v>42082.702800925923</v>
      </c>
      <c r="M1314">
        <f>MONTH(Table1[[#This Row],[Date Created Conversion]])</f>
        <v>3</v>
      </c>
      <c r="N1314">
        <f>YEAR(Table1[[#This Row],[Date Created Conversion]])</f>
        <v>2015</v>
      </c>
      <c r="O1314" t="b">
        <v>0</v>
      </c>
      <c r="P1314">
        <v>1</v>
      </c>
      <c r="Q1314" t="b">
        <v>0</v>
      </c>
      <c r="R1314" t="s">
        <v>8273</v>
      </c>
      <c r="S1314" s="6">
        <f>Table1[[#This Row],[pledged]]/Table1[[#This Row],[goal]]</f>
        <v>6.0869565217391303E-3</v>
      </c>
      <c r="T1314" s="8">
        <f>IF(Table1[[#This Row],[pledged]]=0,"no backers",Table1[[#This Row],[pledged]]/Table1[[#This Row],[backers_count]])</f>
        <v>28</v>
      </c>
      <c r="U1314" t="str">
        <f>LEFT(Table1[[#This Row],[Category and Sub-Category]],FIND("/",Table1[[#This Row],[Category and Sub-Category]])-1)</f>
        <v>technology</v>
      </c>
      <c r="V1314" t="str">
        <f>RIGHT(Table1[[#This Row],[Category and Sub-Category]],LEN(Table1[[#This Row],[Category and Sub-Category]])-FIND("/",Table1[[#This Row],[Category and Sub-Category]]))</f>
        <v>wearables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 s="12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>((Table1[[#This Row],[deadline]]/60)/60/24)+DATE(1970,1,1)</f>
        <v>42432.709652777776</v>
      </c>
      <c r="K1315">
        <v>1454432514</v>
      </c>
      <c r="L1315" s="11">
        <f>((Table1[[#This Row],[launched_at]]/60)/60/24)+DATE(1970,1,1)</f>
        <v>42402.709652777776</v>
      </c>
      <c r="M1315">
        <f>MONTH(Table1[[#This Row],[Date Created Conversion]])</f>
        <v>2</v>
      </c>
      <c r="N1315">
        <f>YEAR(Table1[[#This Row],[Date Created Conversion]])</f>
        <v>2016</v>
      </c>
      <c r="O1315" t="b">
        <v>0</v>
      </c>
      <c r="P1315">
        <v>122</v>
      </c>
      <c r="Q1315" t="b">
        <v>0</v>
      </c>
      <c r="R1315" t="s">
        <v>8273</v>
      </c>
      <c r="S1315" s="6">
        <f>Table1[[#This Row],[pledged]]/Table1[[#This Row],[goal]]</f>
        <v>0.31114999999999998</v>
      </c>
      <c r="T1315" s="8">
        <f>IF(Table1[[#This Row],[pledged]]=0,"no backers",Table1[[#This Row],[pledged]]/Table1[[#This Row],[backers_count]])</f>
        <v>102.01639344262296</v>
      </c>
      <c r="U1315" t="str">
        <f>LEFT(Table1[[#This Row],[Category and Sub-Category]],FIND("/",Table1[[#This Row],[Category and Sub-Category]])-1)</f>
        <v>technology</v>
      </c>
      <c r="V1315" t="str">
        <f>RIGHT(Table1[[#This Row],[Category and Sub-Category]],LEN(Table1[[#This Row],[Category and Sub-Category]])-FIND("/",Table1[[#This Row],[Category and Sub-Category]]))</f>
        <v>wearables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 s="12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>((Table1[[#This Row],[deadline]]/60)/60/24)+DATE(1970,1,1)</f>
        <v>42664.669675925921</v>
      </c>
      <c r="K1316">
        <v>1471881860</v>
      </c>
      <c r="L1316" s="11">
        <f>((Table1[[#This Row],[launched_at]]/60)/60/24)+DATE(1970,1,1)</f>
        <v>42604.669675925921</v>
      </c>
      <c r="M1316">
        <f>MONTH(Table1[[#This Row],[Date Created Conversion]])</f>
        <v>8</v>
      </c>
      <c r="N1316">
        <f>YEAR(Table1[[#This Row],[Date Created Conversion]])</f>
        <v>2016</v>
      </c>
      <c r="O1316" t="b">
        <v>0</v>
      </c>
      <c r="P1316">
        <v>11</v>
      </c>
      <c r="Q1316" t="b">
        <v>0</v>
      </c>
      <c r="R1316" t="s">
        <v>8273</v>
      </c>
      <c r="S1316" s="6">
        <f>Table1[[#This Row],[pledged]]/Table1[[#This Row],[goal]]</f>
        <v>1.1266666666666666E-2</v>
      </c>
      <c r="T1316" s="8">
        <f>IF(Table1[[#This Row],[pledged]]=0,"no backers",Table1[[#This Row],[pledged]]/Table1[[#This Row],[backers_count]])</f>
        <v>184.36363636363637</v>
      </c>
      <c r="U1316" t="str">
        <f>LEFT(Table1[[#This Row],[Category and Sub-Category]],FIND("/",Table1[[#This Row],[Category and Sub-Category]])-1)</f>
        <v>technology</v>
      </c>
      <c r="V1316" t="str">
        <f>RIGHT(Table1[[#This Row],[Category and Sub-Category]],LEN(Table1[[#This Row],[Category and Sub-Category]])-FIND("/",Table1[[#This Row],[Category and Sub-Category]]))</f>
        <v>wearables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 s="12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>((Table1[[#This Row],[deadline]]/60)/60/24)+DATE(1970,1,1)</f>
        <v>42314.041666666672</v>
      </c>
      <c r="K1317">
        <v>1443700648</v>
      </c>
      <c r="L1317" s="11">
        <f>((Table1[[#This Row],[launched_at]]/60)/60/24)+DATE(1970,1,1)</f>
        <v>42278.498240740737</v>
      </c>
      <c r="M1317">
        <f>MONTH(Table1[[#This Row],[Date Created Conversion]])</f>
        <v>10</v>
      </c>
      <c r="N1317">
        <f>YEAR(Table1[[#This Row],[Date Created Conversion]])</f>
        <v>2015</v>
      </c>
      <c r="O1317" t="b">
        <v>0</v>
      </c>
      <c r="P1317">
        <v>248</v>
      </c>
      <c r="Q1317" t="b">
        <v>0</v>
      </c>
      <c r="R1317" t="s">
        <v>8273</v>
      </c>
      <c r="S1317" s="6">
        <f>Table1[[#This Row],[pledged]]/Table1[[#This Row],[goal]]</f>
        <v>0.40404000000000001</v>
      </c>
      <c r="T1317" s="8">
        <f>IF(Table1[[#This Row],[pledged]]=0,"no backers",Table1[[#This Row],[pledged]]/Table1[[#This Row],[backers_count]])</f>
        <v>162.91935483870967</v>
      </c>
      <c r="U1317" t="str">
        <f>LEFT(Table1[[#This Row],[Category and Sub-Category]],FIND("/",Table1[[#This Row],[Category and Sub-Category]])-1)</f>
        <v>technology</v>
      </c>
      <c r="V1317" t="str">
        <f>RIGHT(Table1[[#This Row],[Category and Sub-Category]],LEN(Table1[[#This Row],[Category and Sub-Category]])-FIND("/",Table1[[#This Row],[Category and Sub-Category]]))</f>
        <v>wearables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 s="12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>((Table1[[#This Row],[deadline]]/60)/60/24)+DATE(1970,1,1)</f>
        <v>42428.961909722217</v>
      </c>
      <c r="K1318">
        <v>1453676709</v>
      </c>
      <c r="L1318" s="11">
        <f>((Table1[[#This Row],[launched_at]]/60)/60/24)+DATE(1970,1,1)</f>
        <v>42393.961909722217</v>
      </c>
      <c r="M1318">
        <f>MONTH(Table1[[#This Row],[Date Created Conversion]])</f>
        <v>1</v>
      </c>
      <c r="N1318">
        <f>YEAR(Table1[[#This Row],[Date Created Conversion]])</f>
        <v>2016</v>
      </c>
      <c r="O1318" t="b">
        <v>0</v>
      </c>
      <c r="P1318">
        <v>1</v>
      </c>
      <c r="Q1318" t="b">
        <v>0</v>
      </c>
      <c r="R1318" t="s">
        <v>8273</v>
      </c>
      <c r="S1318" s="6">
        <f>Table1[[#This Row],[pledged]]/Table1[[#This Row],[goal]]</f>
        <v>1.3333333333333333E-5</v>
      </c>
      <c r="T1318" s="8">
        <f>IF(Table1[[#This Row],[pledged]]=0,"no backers",Table1[[#This Row],[pledged]]/Table1[[#This Row],[backers_count]])</f>
        <v>1</v>
      </c>
      <c r="U1318" t="str">
        <f>LEFT(Table1[[#This Row],[Category and Sub-Category]],FIND("/",Table1[[#This Row],[Category and Sub-Category]])-1)</f>
        <v>technology</v>
      </c>
      <c r="V1318" t="str">
        <f>RIGHT(Table1[[#This Row],[Category and Sub-Category]],LEN(Table1[[#This Row],[Category and Sub-Category]])-FIND("/",Table1[[#This Row],[Category and Sub-Category]]))</f>
        <v>wearables</v>
      </c>
    </row>
    <row r="1319" spans="1:22" ht="57.6" x14ac:dyDescent="0.3">
      <c r="A1319">
        <v>1317</v>
      </c>
      <c r="B1319" s="3" t="s">
        <v>1318</v>
      </c>
      <c r="C1319" s="3" t="s">
        <v>5427</v>
      </c>
      <c r="D1319" s="12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>((Table1[[#This Row],[deadline]]/60)/60/24)+DATE(1970,1,1)</f>
        <v>42572.583333333328</v>
      </c>
      <c r="K1319">
        <v>1464586746</v>
      </c>
      <c r="L1319" s="11">
        <f>((Table1[[#This Row],[launched_at]]/60)/60/24)+DATE(1970,1,1)</f>
        <v>42520.235486111109</v>
      </c>
      <c r="M1319">
        <f>MONTH(Table1[[#This Row],[Date Created Conversion]])</f>
        <v>5</v>
      </c>
      <c r="N1319">
        <f>YEAR(Table1[[#This Row],[Date Created Conversion]])</f>
        <v>2016</v>
      </c>
      <c r="O1319" t="b">
        <v>0</v>
      </c>
      <c r="P1319">
        <v>19</v>
      </c>
      <c r="Q1319" t="b">
        <v>0</v>
      </c>
      <c r="R1319" t="s">
        <v>8273</v>
      </c>
      <c r="S1319" s="6">
        <f>Table1[[#This Row],[pledged]]/Table1[[#This Row],[goal]]</f>
        <v>5.7334999999999997E-2</v>
      </c>
      <c r="T1319" s="8">
        <f>IF(Table1[[#This Row],[pledged]]=0,"no backers",Table1[[#This Row],[pledged]]/Table1[[#This Row],[backers_count]])</f>
        <v>603.52631578947364</v>
      </c>
      <c r="U1319" t="str">
        <f>LEFT(Table1[[#This Row],[Category and Sub-Category]],FIND("/",Table1[[#This Row],[Category and Sub-Category]])-1)</f>
        <v>technology</v>
      </c>
      <c r="V1319" t="str">
        <f>RIGHT(Table1[[#This Row],[Category and Sub-Category]],LEN(Table1[[#This Row],[Category and Sub-Category]])-FIND("/",Table1[[#This Row],[Category and Sub-Category]]))</f>
        <v>wearables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 s="12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>((Table1[[#This Row],[deadline]]/60)/60/24)+DATE(1970,1,1)</f>
        <v>42015.043657407412</v>
      </c>
      <c r="K1320">
        <v>1418346172</v>
      </c>
      <c r="L1320" s="11">
        <f>((Table1[[#This Row],[launched_at]]/60)/60/24)+DATE(1970,1,1)</f>
        <v>41985.043657407412</v>
      </c>
      <c r="M1320">
        <f>MONTH(Table1[[#This Row],[Date Created Conversion]])</f>
        <v>12</v>
      </c>
      <c r="N1320">
        <f>YEAR(Table1[[#This Row],[Date Created Conversion]])</f>
        <v>2014</v>
      </c>
      <c r="O1320" t="b">
        <v>0</v>
      </c>
      <c r="P1320">
        <v>135</v>
      </c>
      <c r="Q1320" t="b">
        <v>0</v>
      </c>
      <c r="R1320" t="s">
        <v>8273</v>
      </c>
      <c r="S1320" s="6">
        <f>Table1[[#This Row],[pledged]]/Table1[[#This Row],[goal]]</f>
        <v>0.15325</v>
      </c>
      <c r="T1320" s="8">
        <f>IF(Table1[[#This Row],[pledged]]=0,"no backers",Table1[[#This Row],[pledged]]/Table1[[#This Row],[backers_count]])</f>
        <v>45.407407407407405</v>
      </c>
      <c r="U1320" t="str">
        <f>LEFT(Table1[[#This Row],[Category and Sub-Category]],FIND("/",Table1[[#This Row],[Category and Sub-Category]])-1)</f>
        <v>technology</v>
      </c>
      <c r="V1320" t="str">
        <f>RIGHT(Table1[[#This Row],[Category and Sub-Category]],LEN(Table1[[#This Row],[Category and Sub-Category]])-FIND("/",Table1[[#This Row],[Category and Sub-Category]]))</f>
        <v>wearables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 s="12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>((Table1[[#This Row],[deadline]]/60)/60/24)+DATE(1970,1,1)</f>
        <v>41831.666666666664</v>
      </c>
      <c r="K1321">
        <v>1403810965</v>
      </c>
      <c r="L1321" s="11">
        <f>((Table1[[#This Row],[launched_at]]/60)/60/24)+DATE(1970,1,1)</f>
        <v>41816.812094907407</v>
      </c>
      <c r="M1321">
        <f>MONTH(Table1[[#This Row],[Date Created Conversion]])</f>
        <v>6</v>
      </c>
      <c r="N1321">
        <f>YEAR(Table1[[#This Row],[Date Created Conversion]])</f>
        <v>2014</v>
      </c>
      <c r="O1321" t="b">
        <v>0</v>
      </c>
      <c r="P1321">
        <v>9</v>
      </c>
      <c r="Q1321" t="b">
        <v>0</v>
      </c>
      <c r="R1321" t="s">
        <v>8273</v>
      </c>
      <c r="S1321" s="6">
        <f>Table1[[#This Row],[pledged]]/Table1[[#This Row],[goal]]</f>
        <v>0.15103448275862069</v>
      </c>
      <c r="T1321" s="8">
        <f>IF(Table1[[#This Row],[pledged]]=0,"no backers",Table1[[#This Row],[pledged]]/Table1[[#This Row],[backers_count]])</f>
        <v>97.333333333333329</v>
      </c>
      <c r="U1321" t="str">
        <f>LEFT(Table1[[#This Row],[Category and Sub-Category]],FIND("/",Table1[[#This Row],[Category and Sub-Category]])-1)</f>
        <v>technology</v>
      </c>
      <c r="V1321" t="str">
        <f>RIGHT(Table1[[#This Row],[Category and Sub-Category]],LEN(Table1[[#This Row],[Category and Sub-Category]])-FIND("/",Table1[[#This Row],[Category and Sub-Category]]))</f>
        <v>wearables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 s="1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>((Table1[[#This Row],[deadline]]/60)/60/24)+DATE(1970,1,1)</f>
        <v>42734.958333333328</v>
      </c>
      <c r="K1322">
        <v>1480610046</v>
      </c>
      <c r="L1322" s="11">
        <f>((Table1[[#This Row],[launched_at]]/60)/60/24)+DATE(1970,1,1)</f>
        <v>42705.690347222218</v>
      </c>
      <c r="M1322">
        <f>MONTH(Table1[[#This Row],[Date Created Conversion]])</f>
        <v>12</v>
      </c>
      <c r="N1322">
        <f>YEAR(Table1[[#This Row],[Date Created Conversion]])</f>
        <v>2016</v>
      </c>
      <c r="O1322" t="b">
        <v>0</v>
      </c>
      <c r="P1322">
        <v>3</v>
      </c>
      <c r="Q1322" t="b">
        <v>0</v>
      </c>
      <c r="R1322" t="s">
        <v>8273</v>
      </c>
      <c r="S1322" s="6">
        <f>Table1[[#This Row],[pledged]]/Table1[[#This Row],[goal]]</f>
        <v>5.0299999999999997E-3</v>
      </c>
      <c r="T1322" s="8">
        <f>IF(Table1[[#This Row],[pledged]]=0,"no backers",Table1[[#This Row],[pledged]]/Table1[[#This Row],[backers_count]])</f>
        <v>167.66666666666666</v>
      </c>
      <c r="U1322" t="str">
        <f>LEFT(Table1[[#This Row],[Category and Sub-Category]],FIND("/",Table1[[#This Row],[Category and Sub-Category]])-1)</f>
        <v>technology</v>
      </c>
      <c r="V1322" t="str">
        <f>RIGHT(Table1[[#This Row],[Category and Sub-Category]],LEN(Table1[[#This Row],[Category and Sub-Category]])-FIND("/",Table1[[#This Row],[Category and Sub-Category]]))</f>
        <v>wearables</v>
      </c>
    </row>
    <row r="1323" spans="1:22" ht="57.6" x14ac:dyDescent="0.3">
      <c r="A1323">
        <v>1321</v>
      </c>
      <c r="B1323" s="3" t="s">
        <v>1322</v>
      </c>
      <c r="C1323" s="3" t="s">
        <v>5431</v>
      </c>
      <c r="D1323" s="12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>((Table1[[#This Row],[deadline]]/60)/60/24)+DATE(1970,1,1)</f>
        <v>42727.74927083333</v>
      </c>
      <c r="K1323">
        <v>1479923937</v>
      </c>
      <c r="L1323" s="11">
        <f>((Table1[[#This Row],[launched_at]]/60)/60/24)+DATE(1970,1,1)</f>
        <v>42697.74927083333</v>
      </c>
      <c r="M1323">
        <f>MONTH(Table1[[#This Row],[Date Created Conversion]])</f>
        <v>11</v>
      </c>
      <c r="N1323">
        <f>YEAR(Table1[[#This Row],[Date Created Conversion]])</f>
        <v>2016</v>
      </c>
      <c r="O1323" t="b">
        <v>0</v>
      </c>
      <c r="P1323">
        <v>7</v>
      </c>
      <c r="Q1323" t="b">
        <v>0</v>
      </c>
      <c r="R1323" t="s">
        <v>8273</v>
      </c>
      <c r="S1323" s="6">
        <f>Table1[[#This Row],[pledged]]/Table1[[#This Row],[goal]]</f>
        <v>1.3028138528138528E-2</v>
      </c>
      <c r="T1323" s="8">
        <f>IF(Table1[[#This Row],[pledged]]=0,"no backers",Table1[[#This Row],[pledged]]/Table1[[#This Row],[backers_count]])</f>
        <v>859.85714285714289</v>
      </c>
      <c r="U1323" t="str">
        <f>LEFT(Table1[[#This Row],[Category and Sub-Category]],FIND("/",Table1[[#This Row],[Category and Sub-Category]])-1)</f>
        <v>technology</v>
      </c>
      <c r="V1323" t="str">
        <f>RIGHT(Table1[[#This Row],[Category and Sub-Category]],LEN(Table1[[#This Row],[Category and Sub-Category]])-FIND("/",Table1[[#This Row],[Category and Sub-Category]]))</f>
        <v>wearables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 s="12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>((Table1[[#This Row],[deadline]]/60)/60/24)+DATE(1970,1,1)</f>
        <v>42145.656539351854</v>
      </c>
      <c r="K1324">
        <v>1429631125</v>
      </c>
      <c r="L1324" s="11">
        <f>((Table1[[#This Row],[launched_at]]/60)/60/24)+DATE(1970,1,1)</f>
        <v>42115.656539351854</v>
      </c>
      <c r="M1324">
        <f>MONTH(Table1[[#This Row],[Date Created Conversion]])</f>
        <v>4</v>
      </c>
      <c r="N1324">
        <f>YEAR(Table1[[#This Row],[Date Created Conversion]])</f>
        <v>2015</v>
      </c>
      <c r="O1324" t="b">
        <v>0</v>
      </c>
      <c r="P1324">
        <v>4</v>
      </c>
      <c r="Q1324" t="b">
        <v>0</v>
      </c>
      <c r="R1324" t="s">
        <v>8273</v>
      </c>
      <c r="S1324" s="6">
        <f>Table1[[#This Row],[pledged]]/Table1[[#This Row],[goal]]</f>
        <v>3.0285714285714286E-3</v>
      </c>
      <c r="T1324" s="8">
        <f>IF(Table1[[#This Row],[pledged]]=0,"no backers",Table1[[#This Row],[pledged]]/Table1[[#This Row],[backers_count]])</f>
        <v>26.5</v>
      </c>
      <c r="U1324" t="str">
        <f>LEFT(Table1[[#This Row],[Category and Sub-Category]],FIND("/",Table1[[#This Row],[Category and Sub-Category]])-1)</f>
        <v>technology</v>
      </c>
      <c r="V1324" t="str">
        <f>RIGHT(Table1[[#This Row],[Category and Sub-Category]],LEN(Table1[[#This Row],[Category and Sub-Category]])-FIND("/",Table1[[#This Row],[Category and Sub-Category]]))</f>
        <v>wearables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 s="12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>((Table1[[#This Row],[deadline]]/60)/60/24)+DATE(1970,1,1)</f>
        <v>42486.288194444445</v>
      </c>
      <c r="K1325">
        <v>1458665146</v>
      </c>
      <c r="L1325" s="11">
        <f>((Table1[[#This Row],[launched_at]]/60)/60/24)+DATE(1970,1,1)</f>
        <v>42451.698449074072</v>
      </c>
      <c r="M1325">
        <f>MONTH(Table1[[#This Row],[Date Created Conversion]])</f>
        <v>3</v>
      </c>
      <c r="N1325">
        <f>YEAR(Table1[[#This Row],[Date Created Conversion]])</f>
        <v>2016</v>
      </c>
      <c r="O1325" t="b">
        <v>0</v>
      </c>
      <c r="P1325">
        <v>44</v>
      </c>
      <c r="Q1325" t="b">
        <v>0</v>
      </c>
      <c r="R1325" t="s">
        <v>8273</v>
      </c>
      <c r="S1325" s="6">
        <f>Table1[[#This Row],[pledged]]/Table1[[#This Row],[goal]]</f>
        <v>8.8800000000000004E-2</v>
      </c>
      <c r="T1325" s="8">
        <f>IF(Table1[[#This Row],[pledged]]=0,"no backers",Table1[[#This Row],[pledged]]/Table1[[#This Row],[backers_count]])</f>
        <v>30.272727272727273</v>
      </c>
      <c r="U1325" t="str">
        <f>LEFT(Table1[[#This Row],[Category and Sub-Category]],FIND("/",Table1[[#This Row],[Category and Sub-Category]])-1)</f>
        <v>technology</v>
      </c>
      <c r="V1325" t="str">
        <f>RIGHT(Table1[[#This Row],[Category and Sub-Category]],LEN(Table1[[#This Row],[Category and Sub-Category]])-FIND("/",Table1[[#This Row],[Category and Sub-Category]]))</f>
        <v>wearables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 s="12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>((Table1[[#This Row],[deadline]]/60)/60/24)+DATE(1970,1,1)</f>
        <v>42656.633703703701</v>
      </c>
      <c r="K1326">
        <v>1473779552</v>
      </c>
      <c r="L1326" s="11">
        <f>((Table1[[#This Row],[launched_at]]/60)/60/24)+DATE(1970,1,1)</f>
        <v>42626.633703703701</v>
      </c>
      <c r="M1326">
        <f>MONTH(Table1[[#This Row],[Date Created Conversion]])</f>
        <v>9</v>
      </c>
      <c r="N1326">
        <f>YEAR(Table1[[#This Row],[Date Created Conversion]])</f>
        <v>2016</v>
      </c>
      <c r="O1326" t="b">
        <v>0</v>
      </c>
      <c r="P1326">
        <v>90</v>
      </c>
      <c r="Q1326" t="b">
        <v>0</v>
      </c>
      <c r="R1326" t="s">
        <v>8273</v>
      </c>
      <c r="S1326" s="6">
        <f>Table1[[#This Row],[pledged]]/Table1[[#This Row],[goal]]</f>
        <v>9.8400000000000001E-2</v>
      </c>
      <c r="T1326" s="8">
        <f>IF(Table1[[#This Row],[pledged]]=0,"no backers",Table1[[#This Row],[pledged]]/Table1[[#This Row],[backers_count]])</f>
        <v>54.666666666666664</v>
      </c>
      <c r="U1326" t="str">
        <f>LEFT(Table1[[#This Row],[Category and Sub-Category]],FIND("/",Table1[[#This Row],[Category and Sub-Category]])-1)</f>
        <v>technology</v>
      </c>
      <c r="V1326" t="str">
        <f>RIGHT(Table1[[#This Row],[Category and Sub-Category]],LEN(Table1[[#This Row],[Category and Sub-Category]])-FIND("/",Table1[[#This Row],[Category and Sub-Category]]))</f>
        <v>wearables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 s="12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>((Table1[[#This Row],[deadline]]/60)/60/24)+DATE(1970,1,1)</f>
        <v>42734.086053240739</v>
      </c>
      <c r="K1327">
        <v>1480471435</v>
      </c>
      <c r="L1327" s="11">
        <f>((Table1[[#This Row],[launched_at]]/60)/60/24)+DATE(1970,1,1)</f>
        <v>42704.086053240739</v>
      </c>
      <c r="M1327">
        <f>MONTH(Table1[[#This Row],[Date Created Conversion]])</f>
        <v>11</v>
      </c>
      <c r="N1327">
        <f>YEAR(Table1[[#This Row],[Date Created Conversion]])</f>
        <v>2016</v>
      </c>
      <c r="O1327" t="b">
        <v>0</v>
      </c>
      <c r="P1327">
        <v>8</v>
      </c>
      <c r="Q1327" t="b">
        <v>0</v>
      </c>
      <c r="R1327" t="s">
        <v>8273</v>
      </c>
      <c r="S1327" s="6">
        <f>Table1[[#This Row],[pledged]]/Table1[[#This Row],[goal]]</f>
        <v>2.4299999999999999E-2</v>
      </c>
      <c r="T1327" s="8">
        <f>IF(Table1[[#This Row],[pledged]]=0,"no backers",Table1[[#This Row],[pledged]]/Table1[[#This Row],[backers_count]])</f>
        <v>60.75</v>
      </c>
      <c r="U1327" t="str">
        <f>LEFT(Table1[[#This Row],[Category and Sub-Category]],FIND("/",Table1[[#This Row],[Category and Sub-Category]])-1)</f>
        <v>technology</v>
      </c>
      <c r="V1327" t="str">
        <f>RIGHT(Table1[[#This Row],[Category and Sub-Category]],LEN(Table1[[#This Row],[Category and Sub-Category]])-FIND("/",Table1[[#This Row],[Category and Sub-Category]]))</f>
        <v>wearables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 s="12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>((Table1[[#This Row],[deadline]]/60)/60/24)+DATE(1970,1,1)</f>
        <v>42019.791990740734</v>
      </c>
      <c r="K1328">
        <v>1417460428</v>
      </c>
      <c r="L1328" s="11">
        <f>((Table1[[#This Row],[launched_at]]/60)/60/24)+DATE(1970,1,1)</f>
        <v>41974.791990740734</v>
      </c>
      <c r="M1328">
        <f>MONTH(Table1[[#This Row],[Date Created Conversion]])</f>
        <v>12</v>
      </c>
      <c r="N1328">
        <f>YEAR(Table1[[#This Row],[Date Created Conversion]])</f>
        <v>2014</v>
      </c>
      <c r="O1328" t="b">
        <v>0</v>
      </c>
      <c r="P1328">
        <v>11</v>
      </c>
      <c r="Q1328" t="b">
        <v>0</v>
      </c>
      <c r="R1328" t="s">
        <v>8273</v>
      </c>
      <c r="S1328" s="6">
        <f>Table1[[#This Row],[pledged]]/Table1[[#This Row],[goal]]</f>
        <v>1.1299999999999999E-2</v>
      </c>
      <c r="T1328" s="8">
        <f>IF(Table1[[#This Row],[pledged]]=0,"no backers",Table1[[#This Row],[pledged]]/Table1[[#This Row],[backers_count]])</f>
        <v>102.72727272727273</v>
      </c>
      <c r="U1328" t="str">
        <f>LEFT(Table1[[#This Row],[Category and Sub-Category]],FIND("/",Table1[[#This Row],[Category and Sub-Category]])-1)</f>
        <v>technology</v>
      </c>
      <c r="V1328" t="str">
        <f>RIGHT(Table1[[#This Row],[Category and Sub-Category]],LEN(Table1[[#This Row],[Category and Sub-Category]])-FIND("/",Table1[[#This Row],[Category and Sub-Category]]))</f>
        <v>wearables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 s="12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>((Table1[[#This Row],[deadline]]/60)/60/24)+DATE(1970,1,1)</f>
        <v>42153.678645833337</v>
      </c>
      <c r="K1329">
        <v>1430324235</v>
      </c>
      <c r="L1329" s="11">
        <f>((Table1[[#This Row],[launched_at]]/60)/60/24)+DATE(1970,1,1)</f>
        <v>42123.678645833337</v>
      </c>
      <c r="M1329">
        <f>MONTH(Table1[[#This Row],[Date Created Conversion]])</f>
        <v>4</v>
      </c>
      <c r="N1329">
        <f>YEAR(Table1[[#This Row],[Date Created Conversion]])</f>
        <v>2015</v>
      </c>
      <c r="O1329" t="b">
        <v>0</v>
      </c>
      <c r="P1329">
        <v>41</v>
      </c>
      <c r="Q1329" t="b">
        <v>0</v>
      </c>
      <c r="R1329" t="s">
        <v>8273</v>
      </c>
      <c r="S1329" s="6">
        <f>Table1[[#This Row],[pledged]]/Table1[[#This Row],[goal]]</f>
        <v>3.5520833333333335E-2</v>
      </c>
      <c r="T1329" s="8">
        <f>IF(Table1[[#This Row],[pledged]]=0,"no backers",Table1[[#This Row],[pledged]]/Table1[[#This Row],[backers_count]])</f>
        <v>41.585365853658537</v>
      </c>
      <c r="U1329" t="str">
        <f>LEFT(Table1[[#This Row],[Category and Sub-Category]],FIND("/",Table1[[#This Row],[Category and Sub-Category]])-1)</f>
        <v>technology</v>
      </c>
      <c r="V1329" t="str">
        <f>RIGHT(Table1[[#This Row],[Category and Sub-Category]],LEN(Table1[[#This Row],[Category and Sub-Category]])-FIND("/",Table1[[#This Row],[Category and Sub-Category]]))</f>
        <v>wearables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 s="12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>((Table1[[#This Row],[deadline]]/60)/60/24)+DATE(1970,1,1)</f>
        <v>42657.642754629633</v>
      </c>
      <c r="K1330">
        <v>1472570734</v>
      </c>
      <c r="L1330" s="11">
        <f>((Table1[[#This Row],[launched_at]]/60)/60/24)+DATE(1970,1,1)</f>
        <v>42612.642754629633</v>
      </c>
      <c r="M1330">
        <f>MONTH(Table1[[#This Row],[Date Created Conversion]])</f>
        <v>8</v>
      </c>
      <c r="N1330">
        <f>YEAR(Table1[[#This Row],[Date Created Conversion]])</f>
        <v>2016</v>
      </c>
      <c r="O1330" t="b">
        <v>0</v>
      </c>
      <c r="P1330">
        <v>15</v>
      </c>
      <c r="Q1330" t="b">
        <v>0</v>
      </c>
      <c r="R1330" t="s">
        <v>8273</v>
      </c>
      <c r="S1330" s="6">
        <f>Table1[[#This Row],[pledged]]/Table1[[#This Row],[goal]]</f>
        <v>2.3306666666666667E-2</v>
      </c>
      <c r="T1330" s="8">
        <f>IF(Table1[[#This Row],[pledged]]=0,"no backers",Table1[[#This Row],[pledged]]/Table1[[#This Row],[backers_count]])</f>
        <v>116.53333333333333</v>
      </c>
      <c r="U1330" t="str">
        <f>LEFT(Table1[[#This Row],[Category and Sub-Category]],FIND("/",Table1[[#This Row],[Category and Sub-Category]])-1)</f>
        <v>technology</v>
      </c>
      <c r="V1330" t="str">
        <f>RIGHT(Table1[[#This Row],[Category and Sub-Category]],LEN(Table1[[#This Row],[Category and Sub-Category]])-FIND("/",Table1[[#This Row],[Category and Sub-Category]]))</f>
        <v>wearables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 s="12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>((Table1[[#This Row],[deadline]]/60)/60/24)+DATE(1970,1,1)</f>
        <v>41975.263252314813</v>
      </c>
      <c r="K1331">
        <v>1414041545</v>
      </c>
      <c r="L1331" s="11">
        <f>((Table1[[#This Row],[launched_at]]/60)/60/24)+DATE(1970,1,1)</f>
        <v>41935.221585648149</v>
      </c>
      <c r="M1331">
        <f>MONTH(Table1[[#This Row],[Date Created Conversion]])</f>
        <v>10</v>
      </c>
      <c r="N1331">
        <f>YEAR(Table1[[#This Row],[Date Created Conversion]])</f>
        <v>2014</v>
      </c>
      <c r="O1331" t="b">
        <v>0</v>
      </c>
      <c r="P1331">
        <v>9</v>
      </c>
      <c r="Q1331" t="b">
        <v>0</v>
      </c>
      <c r="R1331" t="s">
        <v>8273</v>
      </c>
      <c r="S1331" s="6">
        <f>Table1[[#This Row],[pledged]]/Table1[[#This Row],[goal]]</f>
        <v>8.1600000000000006E-3</v>
      </c>
      <c r="T1331" s="8">
        <f>IF(Table1[[#This Row],[pledged]]=0,"no backers",Table1[[#This Row],[pledged]]/Table1[[#This Row],[backers_count]])</f>
        <v>45.333333333333336</v>
      </c>
      <c r="U1331" t="str">
        <f>LEFT(Table1[[#This Row],[Category and Sub-Category]],FIND("/",Table1[[#This Row],[Category and Sub-Category]])-1)</f>
        <v>technology</v>
      </c>
      <c r="V1331" t="str">
        <f>RIGHT(Table1[[#This Row],[Category and Sub-Category]],LEN(Table1[[#This Row],[Category and Sub-Category]])-FIND("/",Table1[[#This Row],[Category and Sub-Category]]))</f>
        <v>wearables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 s="1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>((Table1[[#This Row],[deadline]]/60)/60/24)+DATE(1970,1,1)</f>
        <v>42553.166666666672</v>
      </c>
      <c r="K1332">
        <v>1464763109</v>
      </c>
      <c r="L1332" s="11">
        <f>((Table1[[#This Row],[launched_at]]/60)/60/24)+DATE(1970,1,1)</f>
        <v>42522.276724537034</v>
      </c>
      <c r="M1332">
        <f>MONTH(Table1[[#This Row],[Date Created Conversion]])</f>
        <v>6</v>
      </c>
      <c r="N1332">
        <f>YEAR(Table1[[#This Row],[Date Created Conversion]])</f>
        <v>2016</v>
      </c>
      <c r="O1332" t="b">
        <v>0</v>
      </c>
      <c r="P1332">
        <v>50</v>
      </c>
      <c r="Q1332" t="b">
        <v>0</v>
      </c>
      <c r="R1332" t="s">
        <v>8273</v>
      </c>
      <c r="S1332" s="6">
        <f>Table1[[#This Row],[pledged]]/Table1[[#This Row],[goal]]</f>
        <v>0.22494285714285714</v>
      </c>
      <c r="T1332" s="8">
        <f>IF(Table1[[#This Row],[pledged]]=0,"no backers",Table1[[#This Row],[pledged]]/Table1[[#This Row],[backers_count]])</f>
        <v>157.46</v>
      </c>
      <c r="U1332" t="str">
        <f>LEFT(Table1[[#This Row],[Category and Sub-Category]],FIND("/",Table1[[#This Row],[Category and Sub-Category]])-1)</f>
        <v>technology</v>
      </c>
      <c r="V1332" t="str">
        <f>RIGHT(Table1[[#This Row],[Category and Sub-Category]],LEN(Table1[[#This Row],[Category and Sub-Category]])-FIND("/",Table1[[#This Row],[Category and Sub-Category]]))</f>
        <v>wearables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 s="12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>((Table1[[#This Row],[deadline]]/60)/60/24)+DATE(1970,1,1)</f>
        <v>42599.50409722222</v>
      </c>
      <c r="K1333">
        <v>1468843554</v>
      </c>
      <c r="L1333" s="11">
        <f>((Table1[[#This Row],[launched_at]]/60)/60/24)+DATE(1970,1,1)</f>
        <v>42569.50409722222</v>
      </c>
      <c r="M1333">
        <f>MONTH(Table1[[#This Row],[Date Created Conversion]])</f>
        <v>7</v>
      </c>
      <c r="N1333">
        <f>YEAR(Table1[[#This Row],[Date Created Conversion]])</f>
        <v>2016</v>
      </c>
      <c r="O1333" t="b">
        <v>0</v>
      </c>
      <c r="P1333">
        <v>34</v>
      </c>
      <c r="Q1333" t="b">
        <v>0</v>
      </c>
      <c r="R1333" t="s">
        <v>8273</v>
      </c>
      <c r="S1333" s="6">
        <f>Table1[[#This Row],[pledged]]/Table1[[#This Row],[goal]]</f>
        <v>1.3668E-2</v>
      </c>
      <c r="T1333" s="8">
        <f>IF(Table1[[#This Row],[pledged]]=0,"no backers",Table1[[#This Row],[pledged]]/Table1[[#This Row],[backers_count]])</f>
        <v>100.5</v>
      </c>
      <c r="U1333" t="str">
        <f>LEFT(Table1[[#This Row],[Category and Sub-Category]],FIND("/",Table1[[#This Row],[Category and Sub-Category]])-1)</f>
        <v>technology</v>
      </c>
      <c r="V1333" t="str">
        <f>RIGHT(Table1[[#This Row],[Category and Sub-Category]],LEN(Table1[[#This Row],[Category and Sub-Category]])-FIND("/",Table1[[#This Row],[Category and Sub-Category]]))</f>
        <v>wearables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 s="12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>((Table1[[#This Row],[deadline]]/60)/60/24)+DATE(1970,1,1)</f>
        <v>42762.060277777782</v>
      </c>
      <c r="K1334">
        <v>1482888408</v>
      </c>
      <c r="L1334" s="11">
        <f>((Table1[[#This Row],[launched_at]]/60)/60/24)+DATE(1970,1,1)</f>
        <v>42732.060277777782</v>
      </c>
      <c r="M1334">
        <f>MONTH(Table1[[#This Row],[Date Created Conversion]])</f>
        <v>12</v>
      </c>
      <c r="N1334">
        <f>YEAR(Table1[[#This Row],[Date Created Conversion]])</f>
        <v>2016</v>
      </c>
      <c r="O1334" t="b">
        <v>0</v>
      </c>
      <c r="P1334">
        <v>0</v>
      </c>
      <c r="Q1334" t="b">
        <v>0</v>
      </c>
      <c r="R1334" t="s">
        <v>8273</v>
      </c>
      <c r="S1334" s="6">
        <f>Table1[[#This Row],[pledged]]/Table1[[#This Row],[goal]]</f>
        <v>0</v>
      </c>
      <c r="T1334" s="8" t="str">
        <f>IF(Table1[[#This Row],[pledged]]=0,"no backers",Table1[[#This Row],[pledged]]/Table1[[#This Row],[backers_count]])</f>
        <v>no backers</v>
      </c>
      <c r="U1334" t="str">
        <f>LEFT(Table1[[#This Row],[Category and Sub-Category]],FIND("/",Table1[[#This Row],[Category and Sub-Category]])-1)</f>
        <v>technology</v>
      </c>
      <c r="V1334" t="str">
        <f>RIGHT(Table1[[#This Row],[Category and Sub-Category]],LEN(Table1[[#This Row],[Category and Sub-Category]])-FIND("/",Table1[[#This Row],[Category and Sub-Category]]))</f>
        <v>wearables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 s="12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>((Table1[[#This Row],[deadline]]/60)/60/24)+DATE(1970,1,1)</f>
        <v>41836.106770833336</v>
      </c>
      <c r="K1335">
        <v>1402886025</v>
      </c>
      <c r="L1335" s="11">
        <f>((Table1[[#This Row],[launched_at]]/60)/60/24)+DATE(1970,1,1)</f>
        <v>41806.106770833336</v>
      </c>
      <c r="M1335">
        <f>MONTH(Table1[[#This Row],[Date Created Conversion]])</f>
        <v>6</v>
      </c>
      <c r="N1335">
        <f>YEAR(Table1[[#This Row],[Date Created Conversion]])</f>
        <v>2014</v>
      </c>
      <c r="O1335" t="b">
        <v>0</v>
      </c>
      <c r="P1335">
        <v>0</v>
      </c>
      <c r="Q1335" t="b">
        <v>0</v>
      </c>
      <c r="R1335" t="s">
        <v>8273</v>
      </c>
      <c r="S1335" s="6">
        <f>Table1[[#This Row],[pledged]]/Table1[[#This Row],[goal]]</f>
        <v>0</v>
      </c>
      <c r="T1335" s="8" t="str">
        <f>IF(Table1[[#This Row],[pledged]]=0,"no backers",Table1[[#This Row],[pledged]]/Table1[[#This Row],[backers_count]])</f>
        <v>no backers</v>
      </c>
      <c r="U1335" t="str">
        <f>LEFT(Table1[[#This Row],[Category and Sub-Category]],FIND("/",Table1[[#This Row],[Category and Sub-Category]])-1)</f>
        <v>technology</v>
      </c>
      <c r="V1335" t="str">
        <f>RIGHT(Table1[[#This Row],[Category and Sub-Category]],LEN(Table1[[#This Row],[Category and Sub-Category]])-FIND("/",Table1[[#This Row],[Category and Sub-Category]]))</f>
        <v>wearables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 s="12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>((Table1[[#This Row],[deadline]]/60)/60/24)+DATE(1970,1,1)</f>
        <v>42440.774155092593</v>
      </c>
      <c r="K1336">
        <v>1455129287</v>
      </c>
      <c r="L1336" s="11">
        <f>((Table1[[#This Row],[launched_at]]/60)/60/24)+DATE(1970,1,1)</f>
        <v>42410.774155092593</v>
      </c>
      <c r="M1336">
        <f>MONTH(Table1[[#This Row],[Date Created Conversion]])</f>
        <v>2</v>
      </c>
      <c r="N1336">
        <f>YEAR(Table1[[#This Row],[Date Created Conversion]])</f>
        <v>2016</v>
      </c>
      <c r="O1336" t="b">
        <v>0</v>
      </c>
      <c r="P1336">
        <v>276</v>
      </c>
      <c r="Q1336" t="b">
        <v>0</v>
      </c>
      <c r="R1336" t="s">
        <v>8273</v>
      </c>
      <c r="S1336" s="6">
        <f>Table1[[#This Row],[pledged]]/Table1[[#This Row],[goal]]</f>
        <v>0.10754135338345865</v>
      </c>
      <c r="T1336" s="8">
        <f>IF(Table1[[#This Row],[pledged]]=0,"no backers",Table1[[#This Row],[pledged]]/Table1[[#This Row],[backers_count]])</f>
        <v>51.822463768115945</v>
      </c>
      <c r="U1336" t="str">
        <f>LEFT(Table1[[#This Row],[Category and Sub-Category]],FIND("/",Table1[[#This Row],[Category and Sub-Category]])-1)</f>
        <v>technology</v>
      </c>
      <c r="V1336" t="str">
        <f>RIGHT(Table1[[#This Row],[Category and Sub-Category]],LEN(Table1[[#This Row],[Category and Sub-Category]])-FIND("/",Table1[[#This Row],[Category and Sub-Category]]))</f>
        <v>wearables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 s="12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>((Table1[[#This Row],[deadline]]/60)/60/24)+DATE(1970,1,1)</f>
        <v>42343.936365740738</v>
      </c>
      <c r="K1337">
        <v>1446762502</v>
      </c>
      <c r="L1337" s="11">
        <f>((Table1[[#This Row],[launched_at]]/60)/60/24)+DATE(1970,1,1)</f>
        <v>42313.936365740738</v>
      </c>
      <c r="M1337">
        <f>MONTH(Table1[[#This Row],[Date Created Conversion]])</f>
        <v>11</v>
      </c>
      <c r="N1337">
        <f>YEAR(Table1[[#This Row],[Date Created Conversion]])</f>
        <v>2015</v>
      </c>
      <c r="O1337" t="b">
        <v>0</v>
      </c>
      <c r="P1337">
        <v>16</v>
      </c>
      <c r="Q1337" t="b">
        <v>0</v>
      </c>
      <c r="R1337" t="s">
        <v>8273</v>
      </c>
      <c r="S1337" s="6">
        <f>Table1[[#This Row],[pledged]]/Table1[[#This Row],[goal]]</f>
        <v>0.1976</v>
      </c>
      <c r="T1337" s="8">
        <f>IF(Table1[[#This Row],[pledged]]=0,"no backers",Table1[[#This Row],[pledged]]/Table1[[#This Row],[backers_count]])</f>
        <v>308.75</v>
      </c>
      <c r="U1337" t="str">
        <f>LEFT(Table1[[#This Row],[Category and Sub-Category]],FIND("/",Table1[[#This Row],[Category and Sub-Category]])-1)</f>
        <v>technology</v>
      </c>
      <c r="V1337" t="str">
        <f>RIGHT(Table1[[#This Row],[Category and Sub-Category]],LEN(Table1[[#This Row],[Category and Sub-Category]])-FIND("/",Table1[[#This Row],[Category and Sub-Category]]))</f>
        <v>wearables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 s="12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>((Table1[[#This Row],[deadline]]/60)/60/24)+DATE(1970,1,1)</f>
        <v>41990.863750000004</v>
      </c>
      <c r="K1338">
        <v>1415825028</v>
      </c>
      <c r="L1338" s="11">
        <f>((Table1[[#This Row],[launched_at]]/60)/60/24)+DATE(1970,1,1)</f>
        <v>41955.863750000004</v>
      </c>
      <c r="M1338">
        <f>MONTH(Table1[[#This Row],[Date Created Conversion]])</f>
        <v>11</v>
      </c>
      <c r="N1338">
        <f>YEAR(Table1[[#This Row],[Date Created Conversion]])</f>
        <v>2014</v>
      </c>
      <c r="O1338" t="b">
        <v>0</v>
      </c>
      <c r="P1338">
        <v>224</v>
      </c>
      <c r="Q1338" t="b">
        <v>0</v>
      </c>
      <c r="R1338" t="s">
        <v>8273</v>
      </c>
      <c r="S1338" s="6">
        <f>Table1[[#This Row],[pledged]]/Table1[[#This Row],[goal]]</f>
        <v>0.84946999999999995</v>
      </c>
      <c r="T1338" s="8">
        <f>IF(Table1[[#This Row],[pledged]]=0,"no backers",Table1[[#This Row],[pledged]]/Table1[[#This Row],[backers_count]])</f>
        <v>379.22767857142856</v>
      </c>
      <c r="U1338" t="str">
        <f>LEFT(Table1[[#This Row],[Category and Sub-Category]],FIND("/",Table1[[#This Row],[Category and Sub-Category]])-1)</f>
        <v>technology</v>
      </c>
      <c r="V1338" t="str">
        <f>RIGHT(Table1[[#This Row],[Category and Sub-Category]],LEN(Table1[[#This Row],[Category and Sub-Category]])-FIND("/",Table1[[#This Row],[Category and Sub-Category]]))</f>
        <v>wearables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 s="12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>((Table1[[#This Row],[deadline]]/60)/60/24)+DATE(1970,1,1)</f>
        <v>42797.577303240745</v>
      </c>
      <c r="K1339">
        <v>1485957079</v>
      </c>
      <c r="L1339" s="11">
        <f>((Table1[[#This Row],[launched_at]]/60)/60/24)+DATE(1970,1,1)</f>
        <v>42767.577303240745</v>
      </c>
      <c r="M1339">
        <f>MONTH(Table1[[#This Row],[Date Created Conversion]])</f>
        <v>2</v>
      </c>
      <c r="N1339">
        <f>YEAR(Table1[[#This Row],[Date Created Conversion]])</f>
        <v>2017</v>
      </c>
      <c r="O1339" t="b">
        <v>0</v>
      </c>
      <c r="P1339">
        <v>140</v>
      </c>
      <c r="Q1339" t="b">
        <v>0</v>
      </c>
      <c r="R1339" t="s">
        <v>8273</v>
      </c>
      <c r="S1339" s="6">
        <f>Table1[[#This Row],[pledged]]/Table1[[#This Row],[goal]]</f>
        <v>0.49381999999999998</v>
      </c>
      <c r="T1339" s="8">
        <f>IF(Table1[[#This Row],[pledged]]=0,"no backers",Table1[[#This Row],[pledged]]/Table1[[#This Row],[backers_count]])</f>
        <v>176.36428571428573</v>
      </c>
      <c r="U1339" t="str">
        <f>LEFT(Table1[[#This Row],[Category and Sub-Category]],FIND("/",Table1[[#This Row],[Category and Sub-Category]])-1)</f>
        <v>technology</v>
      </c>
      <c r="V1339" t="str">
        <f>RIGHT(Table1[[#This Row],[Category and Sub-Category]],LEN(Table1[[#This Row],[Category and Sub-Category]])-FIND("/",Table1[[#This Row],[Category and Sub-Category]]))</f>
        <v>wearables</v>
      </c>
    </row>
    <row r="1340" spans="1:22" ht="57.6" x14ac:dyDescent="0.3">
      <c r="A1340">
        <v>1338</v>
      </c>
      <c r="B1340" s="3" t="s">
        <v>1339</v>
      </c>
      <c r="C1340" s="3" t="s">
        <v>5448</v>
      </c>
      <c r="D1340" s="12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>((Table1[[#This Row],[deadline]]/60)/60/24)+DATE(1970,1,1)</f>
        <v>42218.803622685184</v>
      </c>
      <c r="K1340">
        <v>1435951033</v>
      </c>
      <c r="L1340" s="11">
        <f>((Table1[[#This Row],[launched_at]]/60)/60/24)+DATE(1970,1,1)</f>
        <v>42188.803622685184</v>
      </c>
      <c r="M1340">
        <f>MONTH(Table1[[#This Row],[Date Created Conversion]])</f>
        <v>7</v>
      </c>
      <c r="N1340">
        <f>YEAR(Table1[[#This Row],[Date Created Conversion]])</f>
        <v>2015</v>
      </c>
      <c r="O1340" t="b">
        <v>0</v>
      </c>
      <c r="P1340">
        <v>15</v>
      </c>
      <c r="Q1340" t="b">
        <v>0</v>
      </c>
      <c r="R1340" t="s">
        <v>8273</v>
      </c>
      <c r="S1340" s="6">
        <f>Table1[[#This Row],[pledged]]/Table1[[#This Row],[goal]]</f>
        <v>3.3033333333333331E-2</v>
      </c>
      <c r="T1340" s="8">
        <f>IF(Table1[[#This Row],[pledged]]=0,"no backers",Table1[[#This Row],[pledged]]/Table1[[#This Row],[backers_count]])</f>
        <v>66.066666666666663</v>
      </c>
      <c r="U1340" t="str">
        <f>LEFT(Table1[[#This Row],[Category and Sub-Category]],FIND("/",Table1[[#This Row],[Category and Sub-Category]])-1)</f>
        <v>technology</v>
      </c>
      <c r="V1340" t="str">
        <f>RIGHT(Table1[[#This Row],[Category and Sub-Category]],LEN(Table1[[#This Row],[Category and Sub-Category]])-FIND("/",Table1[[#This Row],[Category and Sub-Category]]))</f>
        <v>wearables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 s="12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>((Table1[[#This Row],[deadline]]/60)/60/24)+DATE(1970,1,1)</f>
        <v>41981.688831018517</v>
      </c>
      <c r="K1341">
        <v>1414164715</v>
      </c>
      <c r="L1341" s="11">
        <f>((Table1[[#This Row],[launched_at]]/60)/60/24)+DATE(1970,1,1)</f>
        <v>41936.647164351853</v>
      </c>
      <c r="M1341">
        <f>MONTH(Table1[[#This Row],[Date Created Conversion]])</f>
        <v>10</v>
      </c>
      <c r="N1341">
        <f>YEAR(Table1[[#This Row],[Date Created Conversion]])</f>
        <v>2014</v>
      </c>
      <c r="O1341" t="b">
        <v>0</v>
      </c>
      <c r="P1341">
        <v>37</v>
      </c>
      <c r="Q1341" t="b">
        <v>0</v>
      </c>
      <c r="R1341" t="s">
        <v>8273</v>
      </c>
      <c r="S1341" s="6">
        <f>Table1[[#This Row],[pledged]]/Table1[[#This Row],[goal]]</f>
        <v>6.6339999999999996E-2</v>
      </c>
      <c r="T1341" s="8">
        <f>IF(Table1[[#This Row],[pledged]]=0,"no backers",Table1[[#This Row],[pledged]]/Table1[[#This Row],[backers_count]])</f>
        <v>89.648648648648646</v>
      </c>
      <c r="U1341" t="str">
        <f>LEFT(Table1[[#This Row],[Category and Sub-Category]],FIND("/",Table1[[#This Row],[Category and Sub-Category]])-1)</f>
        <v>technology</v>
      </c>
      <c r="V1341" t="str">
        <f>RIGHT(Table1[[#This Row],[Category and Sub-Category]],LEN(Table1[[#This Row],[Category and Sub-Category]])-FIND("/",Table1[[#This Row],[Category and Sub-Category]]))</f>
        <v>wearables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 s="1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>((Table1[[#This Row],[deadline]]/60)/60/24)+DATE(1970,1,1)</f>
        <v>41866.595520833333</v>
      </c>
      <c r="K1342">
        <v>1405520253</v>
      </c>
      <c r="L1342" s="11">
        <f>((Table1[[#This Row],[launched_at]]/60)/60/24)+DATE(1970,1,1)</f>
        <v>41836.595520833333</v>
      </c>
      <c r="M1342">
        <f>MONTH(Table1[[#This Row],[Date Created Conversion]])</f>
        <v>7</v>
      </c>
      <c r="N1342">
        <f>YEAR(Table1[[#This Row],[Date Created Conversion]])</f>
        <v>2014</v>
      </c>
      <c r="O1342" t="b">
        <v>0</v>
      </c>
      <c r="P1342">
        <v>0</v>
      </c>
      <c r="Q1342" t="b">
        <v>0</v>
      </c>
      <c r="R1342" t="s">
        <v>8273</v>
      </c>
      <c r="S1342" s="6">
        <f>Table1[[#This Row],[pledged]]/Table1[[#This Row],[goal]]</f>
        <v>0</v>
      </c>
      <c r="T1342" s="8" t="str">
        <f>IF(Table1[[#This Row],[pledged]]=0,"no backers",Table1[[#This Row],[pledged]]/Table1[[#This Row],[backers_count]])</f>
        <v>no backers</v>
      </c>
      <c r="U1342" t="str">
        <f>LEFT(Table1[[#This Row],[Category and Sub-Category]],FIND("/",Table1[[#This Row],[Category and Sub-Category]])-1)</f>
        <v>technology</v>
      </c>
      <c r="V1342" t="str">
        <f>RIGHT(Table1[[#This Row],[Category and Sub-Category]],LEN(Table1[[#This Row],[Category and Sub-Category]])-FIND("/",Table1[[#This Row],[Category and Sub-Category]]))</f>
        <v>wearables</v>
      </c>
    </row>
    <row r="1343" spans="1:22" ht="57.6" x14ac:dyDescent="0.3">
      <c r="A1343">
        <v>1341</v>
      </c>
      <c r="B1343" s="3" t="s">
        <v>1342</v>
      </c>
      <c r="C1343" s="3" t="s">
        <v>5451</v>
      </c>
      <c r="D1343" s="12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>((Table1[[#This Row],[deadline]]/60)/60/24)+DATE(1970,1,1)</f>
        <v>42644.624039351853</v>
      </c>
      <c r="K1343">
        <v>1472569117</v>
      </c>
      <c r="L1343" s="11">
        <f>((Table1[[#This Row],[launched_at]]/60)/60/24)+DATE(1970,1,1)</f>
        <v>42612.624039351853</v>
      </c>
      <c r="M1343">
        <f>MONTH(Table1[[#This Row],[Date Created Conversion]])</f>
        <v>8</v>
      </c>
      <c r="N1343">
        <f>YEAR(Table1[[#This Row],[Date Created Conversion]])</f>
        <v>2016</v>
      </c>
      <c r="O1343" t="b">
        <v>0</v>
      </c>
      <c r="P1343">
        <v>46</v>
      </c>
      <c r="Q1343" t="b">
        <v>0</v>
      </c>
      <c r="R1343" t="s">
        <v>8273</v>
      </c>
      <c r="S1343" s="6">
        <f>Table1[[#This Row],[pledged]]/Table1[[#This Row],[goal]]</f>
        <v>0.7036</v>
      </c>
      <c r="T1343" s="8">
        <f>IF(Table1[[#This Row],[pledged]]=0,"no backers",Table1[[#This Row],[pledged]]/Table1[[#This Row],[backers_count]])</f>
        <v>382.39130434782606</v>
      </c>
      <c r="U1343" t="str">
        <f>LEFT(Table1[[#This Row],[Category and Sub-Category]],FIND("/",Table1[[#This Row],[Category and Sub-Category]])-1)</f>
        <v>technology</v>
      </c>
      <c r="V1343" t="str">
        <f>RIGHT(Table1[[#This Row],[Category and Sub-Category]],LEN(Table1[[#This Row],[Category and Sub-Category]])-FIND("/",Table1[[#This Row],[Category and Sub-Category]]))</f>
        <v>wearables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 s="12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>((Table1[[#This Row],[deadline]]/60)/60/24)+DATE(1970,1,1)</f>
        <v>42202.816423611104</v>
      </c>
      <c r="K1344">
        <v>1434569739</v>
      </c>
      <c r="L1344" s="11">
        <f>((Table1[[#This Row],[launched_at]]/60)/60/24)+DATE(1970,1,1)</f>
        <v>42172.816423611104</v>
      </c>
      <c r="M1344">
        <f>MONTH(Table1[[#This Row],[Date Created Conversion]])</f>
        <v>6</v>
      </c>
      <c r="N1344">
        <f>YEAR(Table1[[#This Row],[Date Created Conversion]])</f>
        <v>2015</v>
      </c>
      <c r="O1344" t="b">
        <v>0</v>
      </c>
      <c r="P1344">
        <v>1</v>
      </c>
      <c r="Q1344" t="b">
        <v>0</v>
      </c>
      <c r="R1344" t="s">
        <v>8273</v>
      </c>
      <c r="S1344" s="6">
        <f>Table1[[#This Row],[pledged]]/Table1[[#This Row],[goal]]</f>
        <v>2E-3</v>
      </c>
      <c r="T1344" s="8">
        <f>IF(Table1[[#This Row],[pledged]]=0,"no backers",Table1[[#This Row],[pledged]]/Table1[[#This Row],[backers_count]])</f>
        <v>100</v>
      </c>
      <c r="U1344" t="str">
        <f>LEFT(Table1[[#This Row],[Category and Sub-Category]],FIND("/",Table1[[#This Row],[Category and Sub-Category]])-1)</f>
        <v>technology</v>
      </c>
      <c r="V1344" t="str">
        <f>RIGHT(Table1[[#This Row],[Category and Sub-Category]],LEN(Table1[[#This Row],[Category and Sub-Category]])-FIND("/",Table1[[#This Row],[Category and Sub-Category]]))</f>
        <v>wearables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 s="12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>((Table1[[#This Row],[deadline]]/60)/60/24)+DATE(1970,1,1)</f>
        <v>42601.165972222225</v>
      </c>
      <c r="K1345">
        <v>1466512683</v>
      </c>
      <c r="L1345" s="11">
        <f>((Table1[[#This Row],[launched_at]]/60)/60/24)+DATE(1970,1,1)</f>
        <v>42542.526423611111</v>
      </c>
      <c r="M1345">
        <f>MONTH(Table1[[#This Row],[Date Created Conversion]])</f>
        <v>6</v>
      </c>
      <c r="N1345">
        <f>YEAR(Table1[[#This Row],[Date Created Conversion]])</f>
        <v>2016</v>
      </c>
      <c r="O1345" t="b">
        <v>0</v>
      </c>
      <c r="P1345">
        <v>323</v>
      </c>
      <c r="Q1345" t="b">
        <v>0</v>
      </c>
      <c r="R1345" t="s">
        <v>8273</v>
      </c>
      <c r="S1345" s="6">
        <f>Table1[[#This Row],[pledged]]/Table1[[#This Row],[goal]]</f>
        <v>1.02298</v>
      </c>
      <c r="T1345" s="8">
        <f>IF(Table1[[#This Row],[pledged]]=0,"no backers",Table1[[#This Row],[pledged]]/Table1[[#This Row],[backers_count]])</f>
        <v>158.35603715170279</v>
      </c>
      <c r="U1345" t="str">
        <f>LEFT(Table1[[#This Row],[Category and Sub-Category]],FIND("/",Table1[[#This Row],[Category and Sub-Category]])-1)</f>
        <v>technology</v>
      </c>
      <c r="V1345" t="str">
        <f>RIGHT(Table1[[#This Row],[Category and Sub-Category]],LEN(Table1[[#This Row],[Category and Sub-Category]])-FIND("/",Table1[[#This Row],[Category and Sub-Category]]))</f>
        <v>wearables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 s="12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>((Table1[[#This Row],[deadline]]/60)/60/24)+DATE(1970,1,1)</f>
        <v>42551.789803240739</v>
      </c>
      <c r="K1346">
        <v>1464807439</v>
      </c>
      <c r="L1346" s="11">
        <f>((Table1[[#This Row],[launched_at]]/60)/60/24)+DATE(1970,1,1)</f>
        <v>42522.789803240739</v>
      </c>
      <c r="M1346">
        <f>MONTH(Table1[[#This Row],[Date Created Conversion]])</f>
        <v>6</v>
      </c>
      <c r="N1346">
        <f>YEAR(Table1[[#This Row],[Date Created Conversion]])</f>
        <v>2016</v>
      </c>
      <c r="O1346" t="b">
        <v>0</v>
      </c>
      <c r="P1346">
        <v>139</v>
      </c>
      <c r="Q1346" t="b">
        <v>1</v>
      </c>
      <c r="R1346" t="s">
        <v>8274</v>
      </c>
      <c r="S1346" s="6">
        <f>Table1[[#This Row],[pledged]]/Table1[[#This Row],[goal]]</f>
        <v>3.7773333333333334</v>
      </c>
      <c r="T1346" s="8">
        <f>IF(Table1[[#This Row],[pledged]]=0,"no backers",Table1[[#This Row],[pledged]]/Table1[[#This Row],[backers_count]])</f>
        <v>40.762589928057551</v>
      </c>
      <c r="U1346" t="str">
        <f>LEFT(Table1[[#This Row],[Category and Sub-Category]],FIND("/",Table1[[#This Row],[Category and Sub-Category]])-1)</f>
        <v>publishing</v>
      </c>
      <c r="V1346" t="str">
        <f>RIGHT(Table1[[#This Row],[Category and Sub-Category]],LEN(Table1[[#This Row],[Category and Sub-Category]])-FIND("/",Table1[[#This Row],[Category and Sub-Category]]))</f>
        <v>nonfiction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 s="12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>((Table1[[#This Row],[deadline]]/60)/60/24)+DATE(1970,1,1)</f>
        <v>41834.814340277779</v>
      </c>
      <c r="K1347">
        <v>1402342359</v>
      </c>
      <c r="L1347" s="11">
        <f>((Table1[[#This Row],[launched_at]]/60)/60/24)+DATE(1970,1,1)</f>
        <v>41799.814340277779</v>
      </c>
      <c r="M1347">
        <f>MONTH(Table1[[#This Row],[Date Created Conversion]])</f>
        <v>6</v>
      </c>
      <c r="N1347">
        <f>YEAR(Table1[[#This Row],[Date Created Conversion]])</f>
        <v>2014</v>
      </c>
      <c r="O1347" t="b">
        <v>0</v>
      </c>
      <c r="P1347">
        <v>7</v>
      </c>
      <c r="Q1347" t="b">
        <v>1</v>
      </c>
      <c r="R1347" t="s">
        <v>8274</v>
      </c>
      <c r="S1347" s="6">
        <f>Table1[[#This Row],[pledged]]/Table1[[#This Row],[goal]]</f>
        <v>1.25</v>
      </c>
      <c r="T1347" s="8">
        <f>IF(Table1[[#This Row],[pledged]]=0,"no backers",Table1[[#This Row],[pledged]]/Table1[[#This Row],[backers_count]])</f>
        <v>53.571428571428569</v>
      </c>
      <c r="U1347" t="str">
        <f>LEFT(Table1[[#This Row],[Category and Sub-Category]],FIND("/",Table1[[#This Row],[Category and Sub-Category]])-1)</f>
        <v>publishing</v>
      </c>
      <c r="V1347" t="str">
        <f>RIGHT(Table1[[#This Row],[Category and Sub-Category]],LEN(Table1[[#This Row],[Category and Sub-Category]])-FIND("/",Table1[[#This Row],[Category and Sub-Category]]))</f>
        <v>nonfiction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 s="12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>((Table1[[#This Row],[deadline]]/60)/60/24)+DATE(1970,1,1)</f>
        <v>41452.075821759259</v>
      </c>
      <c r="K1348">
        <v>1369705751</v>
      </c>
      <c r="L1348" s="11">
        <f>((Table1[[#This Row],[launched_at]]/60)/60/24)+DATE(1970,1,1)</f>
        <v>41422.075821759259</v>
      </c>
      <c r="M1348">
        <f>MONTH(Table1[[#This Row],[Date Created Conversion]])</f>
        <v>5</v>
      </c>
      <c r="N1348">
        <f>YEAR(Table1[[#This Row],[Date Created Conversion]])</f>
        <v>2013</v>
      </c>
      <c r="O1348" t="b">
        <v>0</v>
      </c>
      <c r="P1348">
        <v>149</v>
      </c>
      <c r="Q1348" t="b">
        <v>1</v>
      </c>
      <c r="R1348" t="s">
        <v>8274</v>
      </c>
      <c r="S1348" s="6">
        <f>Table1[[#This Row],[pledged]]/Table1[[#This Row],[goal]]</f>
        <v>1.473265306122449</v>
      </c>
      <c r="T1348" s="8">
        <f>IF(Table1[[#This Row],[pledged]]=0,"no backers",Table1[[#This Row],[pledged]]/Table1[[#This Row],[backers_count]])</f>
        <v>48.449664429530202</v>
      </c>
      <c r="U1348" t="str">
        <f>LEFT(Table1[[#This Row],[Category and Sub-Category]],FIND("/",Table1[[#This Row],[Category and Sub-Category]])-1)</f>
        <v>publishing</v>
      </c>
      <c r="V1348" t="str">
        <f>RIGHT(Table1[[#This Row],[Category and Sub-Category]],LEN(Table1[[#This Row],[Category and Sub-Category]])-FIND("/",Table1[[#This Row],[Category and Sub-Category]]))</f>
        <v>nonfiction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 s="12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>((Table1[[#This Row],[deadline]]/60)/60/24)+DATE(1970,1,1)</f>
        <v>42070.638020833328</v>
      </c>
      <c r="K1349">
        <v>1423149525</v>
      </c>
      <c r="L1349" s="11">
        <f>((Table1[[#This Row],[launched_at]]/60)/60/24)+DATE(1970,1,1)</f>
        <v>42040.638020833328</v>
      </c>
      <c r="M1349">
        <f>MONTH(Table1[[#This Row],[Date Created Conversion]])</f>
        <v>2</v>
      </c>
      <c r="N1349">
        <f>YEAR(Table1[[#This Row],[Date Created Conversion]])</f>
        <v>2015</v>
      </c>
      <c r="O1349" t="b">
        <v>0</v>
      </c>
      <c r="P1349">
        <v>31</v>
      </c>
      <c r="Q1349" t="b">
        <v>1</v>
      </c>
      <c r="R1349" t="s">
        <v>8274</v>
      </c>
      <c r="S1349" s="6">
        <f>Table1[[#This Row],[pledged]]/Table1[[#This Row],[goal]]</f>
        <v>1.022</v>
      </c>
      <c r="T1349" s="8">
        <f>IF(Table1[[#This Row],[pledged]]=0,"no backers",Table1[[#This Row],[pledged]]/Table1[[#This Row],[backers_count]])</f>
        <v>82.41935483870968</v>
      </c>
      <c r="U1349" t="str">
        <f>LEFT(Table1[[#This Row],[Category and Sub-Category]],FIND("/",Table1[[#This Row],[Category and Sub-Category]])-1)</f>
        <v>publishing</v>
      </c>
      <c r="V1349" t="str">
        <f>RIGHT(Table1[[#This Row],[Category and Sub-Category]],LEN(Table1[[#This Row],[Category and Sub-Category]])-FIND("/",Table1[[#This Row],[Category and Sub-Category]]))</f>
        <v>nonfiction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 s="12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>((Table1[[#This Row],[deadline]]/60)/60/24)+DATE(1970,1,1)</f>
        <v>41991.506168981476</v>
      </c>
      <c r="K1350">
        <v>1416485333</v>
      </c>
      <c r="L1350" s="11">
        <f>((Table1[[#This Row],[launched_at]]/60)/60/24)+DATE(1970,1,1)</f>
        <v>41963.506168981476</v>
      </c>
      <c r="M1350">
        <f>MONTH(Table1[[#This Row],[Date Created Conversion]])</f>
        <v>11</v>
      </c>
      <c r="N1350">
        <f>YEAR(Table1[[#This Row],[Date Created Conversion]])</f>
        <v>2014</v>
      </c>
      <c r="O1350" t="b">
        <v>0</v>
      </c>
      <c r="P1350">
        <v>26</v>
      </c>
      <c r="Q1350" t="b">
        <v>1</v>
      </c>
      <c r="R1350" t="s">
        <v>8274</v>
      </c>
      <c r="S1350" s="6">
        <f>Table1[[#This Row],[pledged]]/Table1[[#This Row],[goal]]</f>
        <v>1.018723404255319</v>
      </c>
      <c r="T1350" s="8">
        <f>IF(Table1[[#This Row],[pledged]]=0,"no backers",Table1[[#This Row],[pledged]]/Table1[[#This Row],[backers_count]])</f>
        <v>230.19230769230768</v>
      </c>
      <c r="U1350" t="str">
        <f>LEFT(Table1[[#This Row],[Category and Sub-Category]],FIND("/",Table1[[#This Row],[Category and Sub-Category]])-1)</f>
        <v>publishing</v>
      </c>
      <c r="V1350" t="str">
        <f>RIGHT(Table1[[#This Row],[Category and Sub-Category]],LEN(Table1[[#This Row],[Category and Sub-Category]])-FIND("/",Table1[[#This Row],[Category and Sub-Category]]))</f>
        <v>nonfiction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 s="12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>((Table1[[#This Row],[deadline]]/60)/60/24)+DATE(1970,1,1)</f>
        <v>42354.290972222225</v>
      </c>
      <c r="K1351">
        <v>1447055935</v>
      </c>
      <c r="L1351" s="11">
        <f>((Table1[[#This Row],[launched_at]]/60)/60/24)+DATE(1970,1,1)</f>
        <v>42317.33258101852</v>
      </c>
      <c r="M1351">
        <f>MONTH(Table1[[#This Row],[Date Created Conversion]])</f>
        <v>11</v>
      </c>
      <c r="N1351">
        <f>YEAR(Table1[[#This Row],[Date Created Conversion]])</f>
        <v>2015</v>
      </c>
      <c r="O1351" t="b">
        <v>0</v>
      </c>
      <c r="P1351">
        <v>172</v>
      </c>
      <c r="Q1351" t="b">
        <v>1</v>
      </c>
      <c r="R1351" t="s">
        <v>8274</v>
      </c>
      <c r="S1351" s="6">
        <f>Table1[[#This Row],[pledged]]/Table1[[#This Row],[goal]]</f>
        <v>2.0419999999999998</v>
      </c>
      <c r="T1351" s="8">
        <f>IF(Table1[[#This Row],[pledged]]=0,"no backers",Table1[[#This Row],[pledged]]/Table1[[#This Row],[backers_count]])</f>
        <v>59.360465116279073</v>
      </c>
      <c r="U1351" t="str">
        <f>LEFT(Table1[[#This Row],[Category and Sub-Category]],FIND("/",Table1[[#This Row],[Category and Sub-Category]])-1)</f>
        <v>publishing</v>
      </c>
      <c r="V1351" t="str">
        <f>RIGHT(Table1[[#This Row],[Category and Sub-Category]],LEN(Table1[[#This Row],[Category and Sub-Category]])-FIND("/",Table1[[#This Row],[Category and Sub-Category]]))</f>
        <v>nonfiction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 s="1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>((Table1[[#This Row],[deadline]]/60)/60/24)+DATE(1970,1,1)</f>
        <v>42364.013124999998</v>
      </c>
      <c r="K1352">
        <v>1448497134</v>
      </c>
      <c r="L1352" s="11">
        <f>((Table1[[#This Row],[launched_at]]/60)/60/24)+DATE(1970,1,1)</f>
        <v>42334.013124999998</v>
      </c>
      <c r="M1352">
        <f>MONTH(Table1[[#This Row],[Date Created Conversion]])</f>
        <v>11</v>
      </c>
      <c r="N1352">
        <f>YEAR(Table1[[#This Row],[Date Created Conversion]])</f>
        <v>2015</v>
      </c>
      <c r="O1352" t="b">
        <v>0</v>
      </c>
      <c r="P1352">
        <v>78</v>
      </c>
      <c r="Q1352" t="b">
        <v>1</v>
      </c>
      <c r="R1352" t="s">
        <v>8274</v>
      </c>
      <c r="S1352" s="6">
        <f>Table1[[#This Row],[pledged]]/Table1[[#This Row],[goal]]</f>
        <v>1.0405</v>
      </c>
      <c r="T1352" s="8">
        <f>IF(Table1[[#This Row],[pledged]]=0,"no backers",Table1[[#This Row],[pledged]]/Table1[[#This Row],[backers_count]])</f>
        <v>66.698717948717942</v>
      </c>
      <c r="U1352" t="str">
        <f>LEFT(Table1[[#This Row],[Category and Sub-Category]],FIND("/",Table1[[#This Row],[Category and Sub-Category]])-1)</f>
        <v>publishing</v>
      </c>
      <c r="V1352" t="str">
        <f>RIGHT(Table1[[#This Row],[Category and Sub-Category]],LEN(Table1[[#This Row],[Category and Sub-Category]])-FIND("/",Table1[[#This Row],[Category and Sub-Category]]))</f>
        <v>nonfiction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 s="12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>((Table1[[#This Row],[deadline]]/60)/60/24)+DATE(1970,1,1)</f>
        <v>42412.74009259259</v>
      </c>
      <c r="K1353">
        <v>1452707144</v>
      </c>
      <c r="L1353" s="11">
        <f>((Table1[[#This Row],[launched_at]]/60)/60/24)+DATE(1970,1,1)</f>
        <v>42382.74009259259</v>
      </c>
      <c r="M1353">
        <f>MONTH(Table1[[#This Row],[Date Created Conversion]])</f>
        <v>1</v>
      </c>
      <c r="N1353">
        <f>YEAR(Table1[[#This Row],[Date Created Conversion]])</f>
        <v>2016</v>
      </c>
      <c r="O1353" t="b">
        <v>0</v>
      </c>
      <c r="P1353">
        <v>120</v>
      </c>
      <c r="Q1353" t="b">
        <v>1</v>
      </c>
      <c r="R1353" t="s">
        <v>8274</v>
      </c>
      <c r="S1353" s="6">
        <f>Table1[[#This Row],[pledged]]/Table1[[#This Row],[goal]]</f>
        <v>1.0126500000000001</v>
      </c>
      <c r="T1353" s="8">
        <f>IF(Table1[[#This Row],[pledged]]=0,"no backers",Table1[[#This Row],[pledged]]/Table1[[#This Row],[backers_count]])</f>
        <v>168.77500000000001</v>
      </c>
      <c r="U1353" t="str">
        <f>LEFT(Table1[[#This Row],[Category and Sub-Category]],FIND("/",Table1[[#This Row],[Category and Sub-Category]])-1)</f>
        <v>publishing</v>
      </c>
      <c r="V1353" t="str">
        <f>RIGHT(Table1[[#This Row],[Category and Sub-Category]],LEN(Table1[[#This Row],[Category and Sub-Category]])-FIND("/",Table1[[#This Row],[Category and Sub-Category]]))</f>
        <v>nonfiction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 s="12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>((Table1[[#This Row],[deadline]]/60)/60/24)+DATE(1970,1,1)</f>
        <v>42252.165972222225</v>
      </c>
      <c r="K1354">
        <v>1436968366</v>
      </c>
      <c r="L1354" s="11">
        <f>((Table1[[#This Row],[launched_at]]/60)/60/24)+DATE(1970,1,1)</f>
        <v>42200.578310185185</v>
      </c>
      <c r="M1354">
        <f>MONTH(Table1[[#This Row],[Date Created Conversion]])</f>
        <v>7</v>
      </c>
      <c r="N1354">
        <f>YEAR(Table1[[#This Row],[Date Created Conversion]])</f>
        <v>2015</v>
      </c>
      <c r="O1354" t="b">
        <v>0</v>
      </c>
      <c r="P1354">
        <v>227</v>
      </c>
      <c r="Q1354" t="b">
        <v>1</v>
      </c>
      <c r="R1354" t="s">
        <v>8274</v>
      </c>
      <c r="S1354" s="6">
        <f>Table1[[#This Row],[pledged]]/Table1[[#This Row],[goal]]</f>
        <v>1.3613999999999999</v>
      </c>
      <c r="T1354" s="8">
        <f>IF(Table1[[#This Row],[pledged]]=0,"no backers",Table1[[#This Row],[pledged]]/Table1[[#This Row],[backers_count]])</f>
        <v>59.973568281938327</v>
      </c>
      <c r="U1354" t="str">
        <f>LEFT(Table1[[#This Row],[Category and Sub-Category]],FIND("/",Table1[[#This Row],[Category and Sub-Category]])-1)</f>
        <v>publishing</v>
      </c>
      <c r="V1354" t="str">
        <f>RIGHT(Table1[[#This Row],[Category and Sub-Category]],LEN(Table1[[#This Row],[Category and Sub-Category]])-FIND("/",Table1[[#This Row],[Category and Sub-Category]]))</f>
        <v>nonfiction</v>
      </c>
    </row>
    <row r="1355" spans="1:22" ht="43.2" x14ac:dyDescent="0.3">
      <c r="A1355">
        <v>1353</v>
      </c>
      <c r="B1355" s="3" t="s">
        <v>1354</v>
      </c>
      <c r="C1355" s="3" t="s">
        <v>5463</v>
      </c>
      <c r="D1355" s="12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>((Table1[[#This Row],[deadline]]/60)/60/24)+DATE(1970,1,1)</f>
        <v>41344</v>
      </c>
      <c r="K1355">
        <v>1359946188</v>
      </c>
      <c r="L1355" s="11">
        <f>((Table1[[#This Row],[launched_at]]/60)/60/24)+DATE(1970,1,1)</f>
        <v>41309.11791666667</v>
      </c>
      <c r="M1355">
        <f>MONTH(Table1[[#This Row],[Date Created Conversion]])</f>
        <v>2</v>
      </c>
      <c r="N1355">
        <f>YEAR(Table1[[#This Row],[Date Created Conversion]])</f>
        <v>2013</v>
      </c>
      <c r="O1355" t="b">
        <v>0</v>
      </c>
      <c r="P1355">
        <v>42</v>
      </c>
      <c r="Q1355" t="b">
        <v>1</v>
      </c>
      <c r="R1355" t="s">
        <v>8274</v>
      </c>
      <c r="S1355" s="6">
        <f>Table1[[#This Row],[pledged]]/Table1[[#This Row],[goal]]</f>
        <v>1.3360000000000001</v>
      </c>
      <c r="T1355" s="8">
        <f>IF(Table1[[#This Row],[pledged]]=0,"no backers",Table1[[#This Row],[pledged]]/Table1[[#This Row],[backers_count]])</f>
        <v>31.80952380952381</v>
      </c>
      <c r="U1355" t="str">
        <f>LEFT(Table1[[#This Row],[Category and Sub-Category]],FIND("/",Table1[[#This Row],[Category and Sub-Category]])-1)</f>
        <v>publishing</v>
      </c>
      <c r="V1355" t="str">
        <f>RIGHT(Table1[[#This Row],[Category and Sub-Category]],LEN(Table1[[#This Row],[Category and Sub-Category]])-FIND("/",Table1[[#This Row],[Category and Sub-Category]]))</f>
        <v>nonfiction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 s="12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>((Table1[[#This Row],[deadline]]/60)/60/24)+DATE(1970,1,1)</f>
        <v>42532.807627314818</v>
      </c>
      <c r="K1356">
        <v>1463080979</v>
      </c>
      <c r="L1356" s="11">
        <f>((Table1[[#This Row],[launched_at]]/60)/60/24)+DATE(1970,1,1)</f>
        <v>42502.807627314818</v>
      </c>
      <c r="M1356">
        <f>MONTH(Table1[[#This Row],[Date Created Conversion]])</f>
        <v>5</v>
      </c>
      <c r="N1356">
        <f>YEAR(Table1[[#This Row],[Date Created Conversion]])</f>
        <v>2016</v>
      </c>
      <c r="O1356" t="b">
        <v>0</v>
      </c>
      <c r="P1356">
        <v>64</v>
      </c>
      <c r="Q1356" t="b">
        <v>1</v>
      </c>
      <c r="R1356" t="s">
        <v>8274</v>
      </c>
      <c r="S1356" s="6">
        <f>Table1[[#This Row],[pledged]]/Table1[[#This Row],[goal]]</f>
        <v>1.3025</v>
      </c>
      <c r="T1356" s="8">
        <f>IF(Table1[[#This Row],[pledged]]=0,"no backers",Table1[[#This Row],[pledged]]/Table1[[#This Row],[backers_count]])</f>
        <v>24.421875</v>
      </c>
      <c r="U1356" t="str">
        <f>LEFT(Table1[[#This Row],[Category and Sub-Category]],FIND("/",Table1[[#This Row],[Category and Sub-Category]])-1)</f>
        <v>publishing</v>
      </c>
      <c r="V1356" t="str">
        <f>RIGHT(Table1[[#This Row],[Category and Sub-Category]],LEN(Table1[[#This Row],[Category and Sub-Category]])-FIND("/",Table1[[#This Row],[Category and Sub-Category]]))</f>
        <v>nonfiction</v>
      </c>
    </row>
    <row r="1357" spans="1:22" ht="57.6" x14ac:dyDescent="0.3">
      <c r="A1357">
        <v>1355</v>
      </c>
      <c r="B1357" s="3" t="s">
        <v>1356</v>
      </c>
      <c r="C1357" s="3" t="s">
        <v>5465</v>
      </c>
      <c r="D1357" s="12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>((Table1[[#This Row],[deadline]]/60)/60/24)+DATE(1970,1,1)</f>
        <v>41243.416666666664</v>
      </c>
      <c r="K1357">
        <v>1351663605</v>
      </c>
      <c r="L1357" s="11">
        <f>((Table1[[#This Row],[launched_at]]/60)/60/24)+DATE(1970,1,1)</f>
        <v>41213.254687499997</v>
      </c>
      <c r="M1357">
        <f>MONTH(Table1[[#This Row],[Date Created Conversion]])</f>
        <v>10</v>
      </c>
      <c r="N1357">
        <f>YEAR(Table1[[#This Row],[Date Created Conversion]])</f>
        <v>2012</v>
      </c>
      <c r="O1357" t="b">
        <v>0</v>
      </c>
      <c r="P1357">
        <v>121</v>
      </c>
      <c r="Q1357" t="b">
        <v>1</v>
      </c>
      <c r="R1357" t="s">
        <v>8274</v>
      </c>
      <c r="S1357" s="6">
        <f>Table1[[#This Row],[pledged]]/Table1[[#This Row],[goal]]</f>
        <v>1.2267999999999999</v>
      </c>
      <c r="T1357" s="8">
        <f>IF(Table1[[#This Row],[pledged]]=0,"no backers",Table1[[#This Row],[pledged]]/Table1[[#This Row],[backers_count]])</f>
        <v>25.347107438016529</v>
      </c>
      <c r="U1357" t="str">
        <f>LEFT(Table1[[#This Row],[Category and Sub-Category]],FIND("/",Table1[[#This Row],[Category and Sub-Category]])-1)</f>
        <v>publishing</v>
      </c>
      <c r="V1357" t="str">
        <f>RIGHT(Table1[[#This Row],[Category and Sub-Category]],LEN(Table1[[#This Row],[Category and Sub-Category]])-FIND("/",Table1[[#This Row],[Category and Sub-Category]]))</f>
        <v>nonfiction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 s="12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>((Table1[[#This Row],[deadline]]/60)/60/24)+DATE(1970,1,1)</f>
        <v>41460.038888888892</v>
      </c>
      <c r="K1358">
        <v>1370393760</v>
      </c>
      <c r="L1358" s="11">
        <f>((Table1[[#This Row],[launched_at]]/60)/60/24)+DATE(1970,1,1)</f>
        <v>41430.038888888892</v>
      </c>
      <c r="M1358">
        <f>MONTH(Table1[[#This Row],[Date Created Conversion]])</f>
        <v>6</v>
      </c>
      <c r="N1358">
        <f>YEAR(Table1[[#This Row],[Date Created Conversion]])</f>
        <v>2013</v>
      </c>
      <c r="O1358" t="b">
        <v>0</v>
      </c>
      <c r="P1358">
        <v>87</v>
      </c>
      <c r="Q1358" t="b">
        <v>1</v>
      </c>
      <c r="R1358" t="s">
        <v>8274</v>
      </c>
      <c r="S1358" s="6">
        <f>Table1[[#This Row],[pledged]]/Table1[[#This Row],[goal]]</f>
        <v>1.8281058823529412</v>
      </c>
      <c r="T1358" s="8">
        <f>IF(Table1[[#This Row],[pledged]]=0,"no backers",Table1[[#This Row],[pledged]]/Table1[[#This Row],[backers_count]])</f>
        <v>71.443218390804603</v>
      </c>
      <c r="U1358" t="str">
        <f>LEFT(Table1[[#This Row],[Category and Sub-Category]],FIND("/",Table1[[#This Row],[Category and Sub-Category]])-1)</f>
        <v>publishing</v>
      </c>
      <c r="V1358" t="str">
        <f>RIGHT(Table1[[#This Row],[Category and Sub-Category]],LEN(Table1[[#This Row],[Category and Sub-Category]])-FIND("/",Table1[[#This Row],[Category and Sub-Category]]))</f>
        <v>nonfiction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 s="12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>((Table1[[#This Row],[deadline]]/60)/60/24)+DATE(1970,1,1)</f>
        <v>41334.249305555553</v>
      </c>
      <c r="K1359">
        <v>1359587137</v>
      </c>
      <c r="L1359" s="11">
        <f>((Table1[[#This Row],[launched_at]]/60)/60/24)+DATE(1970,1,1)</f>
        <v>41304.962233796294</v>
      </c>
      <c r="M1359">
        <f>MONTH(Table1[[#This Row],[Date Created Conversion]])</f>
        <v>1</v>
      </c>
      <c r="N1359">
        <f>YEAR(Table1[[#This Row],[Date Created Conversion]])</f>
        <v>2013</v>
      </c>
      <c r="O1359" t="b">
        <v>0</v>
      </c>
      <c r="P1359">
        <v>65</v>
      </c>
      <c r="Q1359" t="b">
        <v>1</v>
      </c>
      <c r="R1359" t="s">
        <v>8274</v>
      </c>
      <c r="S1359" s="6">
        <f>Table1[[#This Row],[pledged]]/Table1[[#This Row],[goal]]</f>
        <v>1.2529999999999999</v>
      </c>
      <c r="T1359" s="8">
        <f>IF(Table1[[#This Row],[pledged]]=0,"no backers",Table1[[#This Row],[pledged]]/Table1[[#This Row],[backers_count]])</f>
        <v>38.553846153846152</v>
      </c>
      <c r="U1359" t="str">
        <f>LEFT(Table1[[#This Row],[Category and Sub-Category]],FIND("/",Table1[[#This Row],[Category and Sub-Category]])-1)</f>
        <v>publishing</v>
      </c>
      <c r="V1359" t="str">
        <f>RIGHT(Table1[[#This Row],[Category and Sub-Category]],LEN(Table1[[#This Row],[Category and Sub-Category]])-FIND("/",Table1[[#This Row],[Category and Sub-Category]]))</f>
        <v>nonfiction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 s="12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>((Table1[[#This Row],[deadline]]/60)/60/24)+DATE(1970,1,1)</f>
        <v>40719.570868055554</v>
      </c>
      <c r="K1360">
        <v>1306417323</v>
      </c>
      <c r="L1360" s="11">
        <f>((Table1[[#This Row],[launched_at]]/60)/60/24)+DATE(1970,1,1)</f>
        <v>40689.570868055554</v>
      </c>
      <c r="M1360">
        <f>MONTH(Table1[[#This Row],[Date Created Conversion]])</f>
        <v>5</v>
      </c>
      <c r="N1360">
        <f>YEAR(Table1[[#This Row],[Date Created Conversion]])</f>
        <v>2011</v>
      </c>
      <c r="O1360" t="b">
        <v>0</v>
      </c>
      <c r="P1360">
        <v>49</v>
      </c>
      <c r="Q1360" t="b">
        <v>1</v>
      </c>
      <c r="R1360" t="s">
        <v>8274</v>
      </c>
      <c r="S1360" s="6">
        <f>Table1[[#This Row],[pledged]]/Table1[[#This Row],[goal]]</f>
        <v>1.1166666666666667</v>
      </c>
      <c r="T1360" s="8">
        <f>IF(Table1[[#This Row],[pledged]]=0,"no backers",Table1[[#This Row],[pledged]]/Table1[[#This Row],[backers_count]])</f>
        <v>68.367346938775512</v>
      </c>
      <c r="U1360" t="str">
        <f>LEFT(Table1[[#This Row],[Category and Sub-Category]],FIND("/",Table1[[#This Row],[Category and Sub-Category]])-1)</f>
        <v>publishing</v>
      </c>
      <c r="V1360" t="str">
        <f>RIGHT(Table1[[#This Row],[Category and Sub-Category]],LEN(Table1[[#This Row],[Category and Sub-Category]])-FIND("/",Table1[[#This Row],[Category and Sub-Category]]))</f>
        <v>nonfiction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 s="12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>((Table1[[#This Row],[deadline]]/60)/60/24)+DATE(1970,1,1)</f>
        <v>40730.814699074072</v>
      </c>
      <c r="K1361">
        <v>1304623990</v>
      </c>
      <c r="L1361" s="11">
        <f>((Table1[[#This Row],[launched_at]]/60)/60/24)+DATE(1970,1,1)</f>
        <v>40668.814699074072</v>
      </c>
      <c r="M1361">
        <f>MONTH(Table1[[#This Row],[Date Created Conversion]])</f>
        <v>5</v>
      </c>
      <c r="N1361">
        <f>YEAR(Table1[[#This Row],[Date Created Conversion]])</f>
        <v>2011</v>
      </c>
      <c r="O1361" t="b">
        <v>0</v>
      </c>
      <c r="P1361">
        <v>19</v>
      </c>
      <c r="Q1361" t="b">
        <v>1</v>
      </c>
      <c r="R1361" t="s">
        <v>8274</v>
      </c>
      <c r="S1361" s="6">
        <f>Table1[[#This Row],[pledged]]/Table1[[#This Row],[goal]]</f>
        <v>1.1575757575757575</v>
      </c>
      <c r="T1361" s="8">
        <f>IF(Table1[[#This Row],[pledged]]=0,"no backers",Table1[[#This Row],[pledged]]/Table1[[#This Row],[backers_count]])</f>
        <v>40.210526315789473</v>
      </c>
      <c r="U1361" t="str">
        <f>LEFT(Table1[[#This Row],[Category and Sub-Category]],FIND("/",Table1[[#This Row],[Category and Sub-Category]])-1)</f>
        <v>publishing</v>
      </c>
      <c r="V1361" t="str">
        <f>RIGHT(Table1[[#This Row],[Category and Sub-Category]],LEN(Table1[[#This Row],[Category and Sub-Category]])-FIND("/",Table1[[#This Row],[Category and Sub-Category]]))</f>
        <v>nonfiction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 s="1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>((Table1[[#This Row],[deadline]]/60)/60/24)+DATE(1970,1,1)</f>
        <v>41123.900694444441</v>
      </c>
      <c r="K1362">
        <v>1341524220</v>
      </c>
      <c r="L1362" s="11">
        <f>((Table1[[#This Row],[launched_at]]/60)/60/24)+DATE(1970,1,1)</f>
        <v>41095.900694444441</v>
      </c>
      <c r="M1362">
        <f>MONTH(Table1[[#This Row],[Date Created Conversion]])</f>
        <v>7</v>
      </c>
      <c r="N1362">
        <f>YEAR(Table1[[#This Row],[Date Created Conversion]])</f>
        <v>2012</v>
      </c>
      <c r="O1362" t="b">
        <v>0</v>
      </c>
      <c r="P1362">
        <v>81</v>
      </c>
      <c r="Q1362" t="b">
        <v>1</v>
      </c>
      <c r="R1362" t="s">
        <v>8274</v>
      </c>
      <c r="S1362" s="6">
        <f>Table1[[#This Row],[pledged]]/Table1[[#This Row],[goal]]</f>
        <v>1.732</v>
      </c>
      <c r="T1362" s="8">
        <f>IF(Table1[[#This Row],[pledged]]=0,"no backers",Table1[[#This Row],[pledged]]/Table1[[#This Row],[backers_count]])</f>
        <v>32.074074074074076</v>
      </c>
      <c r="U1362" t="str">
        <f>LEFT(Table1[[#This Row],[Category and Sub-Category]],FIND("/",Table1[[#This Row],[Category and Sub-Category]])-1)</f>
        <v>publishing</v>
      </c>
      <c r="V1362" t="str">
        <f>RIGHT(Table1[[#This Row],[Category and Sub-Category]],LEN(Table1[[#This Row],[Category and Sub-Category]])-FIND("/",Table1[[#This Row],[Category and Sub-Category]]))</f>
        <v>nonfiction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 s="12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>((Table1[[#This Row],[deadline]]/60)/60/24)+DATE(1970,1,1)</f>
        <v>41811.717268518521</v>
      </c>
      <c r="K1363">
        <v>1400778772</v>
      </c>
      <c r="L1363" s="11">
        <f>((Table1[[#This Row],[launched_at]]/60)/60/24)+DATE(1970,1,1)</f>
        <v>41781.717268518521</v>
      </c>
      <c r="M1363">
        <f>MONTH(Table1[[#This Row],[Date Created Conversion]])</f>
        <v>5</v>
      </c>
      <c r="N1363">
        <f>YEAR(Table1[[#This Row],[Date Created Conversion]])</f>
        <v>2014</v>
      </c>
      <c r="O1363" t="b">
        <v>0</v>
      </c>
      <c r="P1363">
        <v>264</v>
      </c>
      <c r="Q1363" t="b">
        <v>1</v>
      </c>
      <c r="R1363" t="s">
        <v>8274</v>
      </c>
      <c r="S1363" s="6">
        <f>Table1[[#This Row],[pledged]]/Table1[[#This Row],[goal]]</f>
        <v>1.2598333333333334</v>
      </c>
      <c r="T1363" s="8">
        <f>IF(Table1[[#This Row],[pledged]]=0,"no backers",Table1[[#This Row],[pledged]]/Table1[[#This Row],[backers_count]])</f>
        <v>28.632575757575758</v>
      </c>
      <c r="U1363" t="str">
        <f>LEFT(Table1[[#This Row],[Category and Sub-Category]],FIND("/",Table1[[#This Row],[Category and Sub-Category]])-1)</f>
        <v>publishing</v>
      </c>
      <c r="V1363" t="str">
        <f>RIGHT(Table1[[#This Row],[Category and Sub-Category]],LEN(Table1[[#This Row],[Category and Sub-Category]])-FIND("/",Table1[[#This Row],[Category and Sub-Category]]))</f>
        <v>nonfiction</v>
      </c>
    </row>
    <row r="1364" spans="1:22" ht="43.2" x14ac:dyDescent="0.3">
      <c r="A1364">
        <v>1362</v>
      </c>
      <c r="B1364" s="3" t="s">
        <v>1363</v>
      </c>
      <c r="C1364" s="3" t="s">
        <v>5472</v>
      </c>
      <c r="D1364" s="12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>((Table1[[#This Row],[deadline]]/60)/60/24)+DATE(1970,1,1)</f>
        <v>41524.934386574074</v>
      </c>
      <c r="K1364">
        <v>1373408731</v>
      </c>
      <c r="L1364" s="11">
        <f>((Table1[[#This Row],[launched_at]]/60)/60/24)+DATE(1970,1,1)</f>
        <v>41464.934386574074</v>
      </c>
      <c r="M1364">
        <f>MONTH(Table1[[#This Row],[Date Created Conversion]])</f>
        <v>7</v>
      </c>
      <c r="N1364">
        <f>YEAR(Table1[[#This Row],[Date Created Conversion]])</f>
        <v>2013</v>
      </c>
      <c r="O1364" t="b">
        <v>0</v>
      </c>
      <c r="P1364">
        <v>25</v>
      </c>
      <c r="Q1364" t="b">
        <v>1</v>
      </c>
      <c r="R1364" t="s">
        <v>8274</v>
      </c>
      <c r="S1364" s="6">
        <f>Table1[[#This Row],[pledged]]/Table1[[#This Row],[goal]]</f>
        <v>1.091</v>
      </c>
      <c r="T1364" s="8">
        <f>IF(Table1[[#This Row],[pledged]]=0,"no backers",Table1[[#This Row],[pledged]]/Table1[[#This Row],[backers_count]])</f>
        <v>43.64</v>
      </c>
      <c r="U1364" t="str">
        <f>LEFT(Table1[[#This Row],[Category and Sub-Category]],FIND("/",Table1[[#This Row],[Category and Sub-Category]])-1)</f>
        <v>publishing</v>
      </c>
      <c r="V1364" t="str">
        <f>RIGHT(Table1[[#This Row],[Category and Sub-Category]],LEN(Table1[[#This Row],[Category and Sub-Category]])-FIND("/",Table1[[#This Row],[Category and Sub-Category]]))</f>
        <v>nonfiction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 s="12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>((Table1[[#This Row],[deadline]]/60)/60/24)+DATE(1970,1,1)</f>
        <v>42415.332638888889</v>
      </c>
      <c r="K1365">
        <v>1453925727</v>
      </c>
      <c r="L1365" s="11">
        <f>((Table1[[#This Row],[launched_at]]/60)/60/24)+DATE(1970,1,1)</f>
        <v>42396.8440625</v>
      </c>
      <c r="M1365">
        <f>MONTH(Table1[[#This Row],[Date Created Conversion]])</f>
        <v>1</v>
      </c>
      <c r="N1365">
        <f>YEAR(Table1[[#This Row],[Date Created Conversion]])</f>
        <v>2016</v>
      </c>
      <c r="O1365" t="b">
        <v>0</v>
      </c>
      <c r="P1365">
        <v>5</v>
      </c>
      <c r="Q1365" t="b">
        <v>1</v>
      </c>
      <c r="R1365" t="s">
        <v>8274</v>
      </c>
      <c r="S1365" s="6">
        <f>Table1[[#This Row],[pledged]]/Table1[[#This Row],[goal]]</f>
        <v>1</v>
      </c>
      <c r="T1365" s="8">
        <f>IF(Table1[[#This Row],[pledged]]=0,"no backers",Table1[[#This Row],[pledged]]/Table1[[#This Row],[backers_count]])</f>
        <v>40</v>
      </c>
      <c r="U1365" t="str">
        <f>LEFT(Table1[[#This Row],[Category and Sub-Category]],FIND("/",Table1[[#This Row],[Category and Sub-Category]])-1)</f>
        <v>publishing</v>
      </c>
      <c r="V1365" t="str">
        <f>RIGHT(Table1[[#This Row],[Category and Sub-Category]],LEN(Table1[[#This Row],[Category and Sub-Category]])-FIND("/",Table1[[#This Row],[Category and Sub-Category]]))</f>
        <v>nonfiction</v>
      </c>
    </row>
    <row r="1366" spans="1:22" ht="57.6" x14ac:dyDescent="0.3">
      <c r="A1366">
        <v>1364</v>
      </c>
      <c r="B1366" s="3" t="s">
        <v>1365</v>
      </c>
      <c r="C1366" s="3" t="s">
        <v>5474</v>
      </c>
      <c r="D1366" s="12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>((Table1[[#This Row],[deadline]]/60)/60/24)+DATE(1970,1,1)</f>
        <v>42011.6956712963</v>
      </c>
      <c r="K1366">
        <v>1415464906</v>
      </c>
      <c r="L1366" s="11">
        <f>((Table1[[#This Row],[launched_at]]/60)/60/24)+DATE(1970,1,1)</f>
        <v>41951.695671296293</v>
      </c>
      <c r="M1366">
        <f>MONTH(Table1[[#This Row],[Date Created Conversion]])</f>
        <v>11</v>
      </c>
      <c r="N1366">
        <f>YEAR(Table1[[#This Row],[Date Created Conversion]])</f>
        <v>2014</v>
      </c>
      <c r="O1366" t="b">
        <v>0</v>
      </c>
      <c r="P1366">
        <v>144</v>
      </c>
      <c r="Q1366" t="b">
        <v>1</v>
      </c>
      <c r="R1366" t="s">
        <v>8276</v>
      </c>
      <c r="S1366" s="6">
        <f>Table1[[#This Row],[pledged]]/Table1[[#This Row],[goal]]</f>
        <v>1.1864285714285714</v>
      </c>
      <c r="T1366" s="8">
        <f>IF(Table1[[#This Row],[pledged]]=0,"no backers",Table1[[#This Row],[pledged]]/Table1[[#This Row],[backers_count]])</f>
        <v>346.04166666666669</v>
      </c>
      <c r="U1366" t="str">
        <f>LEFT(Table1[[#This Row],[Category and Sub-Category]],FIND("/",Table1[[#This Row],[Category and Sub-Category]])-1)</f>
        <v>music</v>
      </c>
      <c r="V1366" t="str">
        <f>RIGHT(Table1[[#This Row],[Category and Sub-Category]],LEN(Table1[[#This Row],[Category and Sub-Category]])-FIND("/",Table1[[#This Row],[Category and Sub-Category]]))</f>
        <v>rock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 s="12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>((Table1[[#This Row],[deadline]]/60)/60/24)+DATE(1970,1,1)</f>
        <v>42079.691574074073</v>
      </c>
      <c r="K1367">
        <v>1423935352</v>
      </c>
      <c r="L1367" s="11">
        <f>((Table1[[#This Row],[launched_at]]/60)/60/24)+DATE(1970,1,1)</f>
        <v>42049.733240740738</v>
      </c>
      <c r="M1367">
        <f>MONTH(Table1[[#This Row],[Date Created Conversion]])</f>
        <v>2</v>
      </c>
      <c r="N1367">
        <f>YEAR(Table1[[#This Row],[Date Created Conversion]])</f>
        <v>2015</v>
      </c>
      <c r="O1367" t="b">
        <v>0</v>
      </c>
      <c r="P1367">
        <v>92</v>
      </c>
      <c r="Q1367" t="b">
        <v>1</v>
      </c>
      <c r="R1367" t="s">
        <v>8276</v>
      </c>
      <c r="S1367" s="6">
        <f>Table1[[#This Row],[pledged]]/Table1[[#This Row],[goal]]</f>
        <v>1.0026666666666666</v>
      </c>
      <c r="T1367" s="8">
        <f>IF(Table1[[#This Row],[pledged]]=0,"no backers",Table1[[#This Row],[pledged]]/Table1[[#This Row],[backers_count]])</f>
        <v>81.739130434782609</v>
      </c>
      <c r="U1367" t="str">
        <f>LEFT(Table1[[#This Row],[Category and Sub-Category]],FIND("/",Table1[[#This Row],[Category and Sub-Category]])-1)</f>
        <v>music</v>
      </c>
      <c r="V1367" t="str">
        <f>RIGHT(Table1[[#This Row],[Category and Sub-Category]],LEN(Table1[[#This Row],[Category and Sub-Category]])-FIND("/",Table1[[#This Row],[Category and Sub-Category]]))</f>
        <v>rock</v>
      </c>
    </row>
    <row r="1368" spans="1:22" x14ac:dyDescent="0.3">
      <c r="A1368">
        <v>1366</v>
      </c>
      <c r="B1368" s="3" t="s">
        <v>1367</v>
      </c>
      <c r="C1368" s="3" t="s">
        <v>5476</v>
      </c>
      <c r="D1368" s="12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>((Table1[[#This Row],[deadline]]/60)/60/24)+DATE(1970,1,1)</f>
        <v>41970.037766203706</v>
      </c>
      <c r="K1368">
        <v>1413158063</v>
      </c>
      <c r="L1368" s="11">
        <f>((Table1[[#This Row],[launched_at]]/60)/60/24)+DATE(1970,1,1)</f>
        <v>41924.996099537035</v>
      </c>
      <c r="M1368">
        <f>MONTH(Table1[[#This Row],[Date Created Conversion]])</f>
        <v>10</v>
      </c>
      <c r="N1368">
        <f>YEAR(Table1[[#This Row],[Date Created Conversion]])</f>
        <v>2014</v>
      </c>
      <c r="O1368" t="b">
        <v>0</v>
      </c>
      <c r="P1368">
        <v>147</v>
      </c>
      <c r="Q1368" t="b">
        <v>1</v>
      </c>
      <c r="R1368" t="s">
        <v>8276</v>
      </c>
      <c r="S1368" s="6">
        <f>Table1[[#This Row],[pledged]]/Table1[[#This Row],[goal]]</f>
        <v>1.2648920000000001</v>
      </c>
      <c r="T1368" s="8">
        <f>IF(Table1[[#This Row],[pledged]]=0,"no backers",Table1[[#This Row],[pledged]]/Table1[[#This Row],[backers_count]])</f>
        <v>64.535306122448986</v>
      </c>
      <c r="U1368" t="str">
        <f>LEFT(Table1[[#This Row],[Category and Sub-Category]],FIND("/",Table1[[#This Row],[Category and Sub-Category]])-1)</f>
        <v>music</v>
      </c>
      <c r="V1368" t="str">
        <f>RIGHT(Table1[[#This Row],[Category and Sub-Category]],LEN(Table1[[#This Row],[Category and Sub-Category]])-FIND("/",Table1[[#This Row],[Category and Sub-Category]]))</f>
        <v>rock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 s="12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>((Table1[[#This Row],[deadline]]/60)/60/24)+DATE(1970,1,1)</f>
        <v>42322.044560185182</v>
      </c>
      <c r="K1369">
        <v>1444867450</v>
      </c>
      <c r="L1369" s="11">
        <f>((Table1[[#This Row],[launched_at]]/60)/60/24)+DATE(1970,1,1)</f>
        <v>42292.002893518518</v>
      </c>
      <c r="M1369">
        <f>MONTH(Table1[[#This Row],[Date Created Conversion]])</f>
        <v>10</v>
      </c>
      <c r="N1369">
        <f>YEAR(Table1[[#This Row],[Date Created Conversion]])</f>
        <v>2015</v>
      </c>
      <c r="O1369" t="b">
        <v>0</v>
      </c>
      <c r="P1369">
        <v>90</v>
      </c>
      <c r="Q1369" t="b">
        <v>1</v>
      </c>
      <c r="R1369" t="s">
        <v>8276</v>
      </c>
      <c r="S1369" s="6">
        <f>Table1[[#This Row],[pledged]]/Table1[[#This Row],[goal]]</f>
        <v>1.1426000000000001</v>
      </c>
      <c r="T1369" s="8">
        <f>IF(Table1[[#This Row],[pledged]]=0,"no backers",Table1[[#This Row],[pledged]]/Table1[[#This Row],[backers_count]])</f>
        <v>63.477777777777774</v>
      </c>
      <c r="U1369" t="str">
        <f>LEFT(Table1[[#This Row],[Category and Sub-Category]],FIND("/",Table1[[#This Row],[Category and Sub-Category]])-1)</f>
        <v>music</v>
      </c>
      <c r="V1369" t="str">
        <f>RIGHT(Table1[[#This Row],[Category and Sub-Category]],LEN(Table1[[#This Row],[Category and Sub-Category]])-FIND("/",Table1[[#This Row],[Category and Sub-Category]]))</f>
        <v>rock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 s="12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>((Table1[[#This Row],[deadline]]/60)/60/24)+DATE(1970,1,1)</f>
        <v>42170.190902777773</v>
      </c>
      <c r="K1370">
        <v>1432269294</v>
      </c>
      <c r="L1370" s="11">
        <f>((Table1[[#This Row],[launched_at]]/60)/60/24)+DATE(1970,1,1)</f>
        <v>42146.190902777773</v>
      </c>
      <c r="M1370">
        <f>MONTH(Table1[[#This Row],[Date Created Conversion]])</f>
        <v>5</v>
      </c>
      <c r="N1370">
        <f>YEAR(Table1[[#This Row],[Date Created Conversion]])</f>
        <v>2015</v>
      </c>
      <c r="O1370" t="b">
        <v>0</v>
      </c>
      <c r="P1370">
        <v>87</v>
      </c>
      <c r="Q1370" t="b">
        <v>1</v>
      </c>
      <c r="R1370" t="s">
        <v>8276</v>
      </c>
      <c r="S1370" s="6">
        <f>Table1[[#This Row],[pledged]]/Table1[[#This Row],[goal]]</f>
        <v>1.107</v>
      </c>
      <c r="T1370" s="8">
        <f>IF(Table1[[#This Row],[pledged]]=0,"no backers",Table1[[#This Row],[pledged]]/Table1[[#This Row],[backers_count]])</f>
        <v>63.620689655172413</v>
      </c>
      <c r="U1370" t="str">
        <f>LEFT(Table1[[#This Row],[Category and Sub-Category]],FIND("/",Table1[[#This Row],[Category and Sub-Category]])-1)</f>
        <v>music</v>
      </c>
      <c r="V1370" t="str">
        <f>RIGHT(Table1[[#This Row],[Category and Sub-Category]],LEN(Table1[[#This Row],[Category and Sub-Category]])-FIND("/",Table1[[#This Row],[Category and Sub-Category]]))</f>
        <v>rock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 s="12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>((Table1[[#This Row],[deadline]]/60)/60/24)+DATE(1970,1,1)</f>
        <v>41740.594282407408</v>
      </c>
      <c r="K1371">
        <v>1394633746</v>
      </c>
      <c r="L1371" s="11">
        <f>((Table1[[#This Row],[launched_at]]/60)/60/24)+DATE(1970,1,1)</f>
        <v>41710.594282407408</v>
      </c>
      <c r="M1371">
        <f>MONTH(Table1[[#This Row],[Date Created Conversion]])</f>
        <v>3</v>
      </c>
      <c r="N1371">
        <f>YEAR(Table1[[#This Row],[Date Created Conversion]])</f>
        <v>2014</v>
      </c>
      <c r="O1371" t="b">
        <v>0</v>
      </c>
      <c r="P1371">
        <v>406</v>
      </c>
      <c r="Q1371" t="b">
        <v>1</v>
      </c>
      <c r="R1371" t="s">
        <v>8276</v>
      </c>
      <c r="S1371" s="6">
        <f>Table1[[#This Row],[pledged]]/Table1[[#This Row],[goal]]</f>
        <v>1.0534805315203954</v>
      </c>
      <c r="T1371" s="8">
        <f>IF(Table1[[#This Row],[pledged]]=0,"no backers",Table1[[#This Row],[pledged]]/Table1[[#This Row],[backers_count]])</f>
        <v>83.967068965517228</v>
      </c>
      <c r="U1371" t="str">
        <f>LEFT(Table1[[#This Row],[Category and Sub-Category]],FIND("/",Table1[[#This Row],[Category and Sub-Category]])-1)</f>
        <v>music</v>
      </c>
      <c r="V1371" t="str">
        <f>RIGHT(Table1[[#This Row],[Category and Sub-Category]],LEN(Table1[[#This Row],[Category and Sub-Category]])-FIND("/",Table1[[#This Row],[Category and Sub-Category]]))</f>
        <v>rock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 s="1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>((Table1[[#This Row],[deadline]]/60)/60/24)+DATE(1970,1,1)</f>
        <v>41563.00335648148</v>
      </c>
      <c r="K1372">
        <v>1380585890</v>
      </c>
      <c r="L1372" s="11">
        <f>((Table1[[#This Row],[launched_at]]/60)/60/24)+DATE(1970,1,1)</f>
        <v>41548.00335648148</v>
      </c>
      <c r="M1372">
        <f>MONTH(Table1[[#This Row],[Date Created Conversion]])</f>
        <v>10</v>
      </c>
      <c r="N1372">
        <f>YEAR(Table1[[#This Row],[Date Created Conversion]])</f>
        <v>2013</v>
      </c>
      <c r="O1372" t="b">
        <v>0</v>
      </c>
      <c r="P1372">
        <v>20</v>
      </c>
      <c r="Q1372" t="b">
        <v>1</v>
      </c>
      <c r="R1372" t="s">
        <v>8276</v>
      </c>
      <c r="S1372" s="6">
        <f>Table1[[#This Row],[pledged]]/Table1[[#This Row],[goal]]</f>
        <v>1.0366666666666666</v>
      </c>
      <c r="T1372" s="8">
        <f>IF(Table1[[#This Row],[pledged]]=0,"no backers",Table1[[#This Row],[pledged]]/Table1[[#This Row],[backers_count]])</f>
        <v>77.75</v>
      </c>
      <c r="U1372" t="str">
        <f>LEFT(Table1[[#This Row],[Category and Sub-Category]],FIND("/",Table1[[#This Row],[Category and Sub-Category]])-1)</f>
        <v>music</v>
      </c>
      <c r="V1372" t="str">
        <f>RIGHT(Table1[[#This Row],[Category and Sub-Category]],LEN(Table1[[#This Row],[Category and Sub-Category]])-FIND("/",Table1[[#This Row],[Category and Sub-Category]]))</f>
        <v>rock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 s="12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>((Table1[[#This Row],[deadline]]/60)/60/24)+DATE(1970,1,1)</f>
        <v>42131.758587962962</v>
      </c>
      <c r="K1373">
        <v>1428430342</v>
      </c>
      <c r="L1373" s="11">
        <f>((Table1[[#This Row],[launched_at]]/60)/60/24)+DATE(1970,1,1)</f>
        <v>42101.758587962962</v>
      </c>
      <c r="M1373">
        <f>MONTH(Table1[[#This Row],[Date Created Conversion]])</f>
        <v>4</v>
      </c>
      <c r="N1373">
        <f>YEAR(Table1[[#This Row],[Date Created Conversion]])</f>
        <v>2015</v>
      </c>
      <c r="O1373" t="b">
        <v>0</v>
      </c>
      <c r="P1373">
        <v>70</v>
      </c>
      <c r="Q1373" t="b">
        <v>1</v>
      </c>
      <c r="R1373" t="s">
        <v>8276</v>
      </c>
      <c r="S1373" s="6">
        <f>Table1[[#This Row],[pledged]]/Table1[[#This Row],[goal]]</f>
        <v>1.0708672667523933</v>
      </c>
      <c r="T1373" s="8">
        <f>IF(Table1[[#This Row],[pledged]]=0,"no backers",Table1[[#This Row],[pledged]]/Table1[[#This Row],[backers_count]])</f>
        <v>107.07142857142857</v>
      </c>
      <c r="U1373" t="str">
        <f>LEFT(Table1[[#This Row],[Category and Sub-Category]],FIND("/",Table1[[#This Row],[Category and Sub-Category]])-1)</f>
        <v>music</v>
      </c>
      <c r="V1373" t="str">
        <f>RIGHT(Table1[[#This Row],[Category and Sub-Category]],LEN(Table1[[#This Row],[Category and Sub-Category]])-FIND("/",Table1[[#This Row],[Category and Sub-Category]]))</f>
        <v>rock</v>
      </c>
    </row>
    <row r="1374" spans="1:22" x14ac:dyDescent="0.3">
      <c r="A1374">
        <v>1372</v>
      </c>
      <c r="B1374" s="3" t="s">
        <v>1373</v>
      </c>
      <c r="C1374" s="3" t="s">
        <v>5482</v>
      </c>
      <c r="D1374" s="12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>((Table1[[#This Row],[deadline]]/60)/60/24)+DATE(1970,1,1)</f>
        <v>41102.739953703705</v>
      </c>
      <c r="K1374">
        <v>1339523132</v>
      </c>
      <c r="L1374" s="11">
        <f>((Table1[[#This Row],[launched_at]]/60)/60/24)+DATE(1970,1,1)</f>
        <v>41072.739953703705</v>
      </c>
      <c r="M1374">
        <f>MONTH(Table1[[#This Row],[Date Created Conversion]])</f>
        <v>6</v>
      </c>
      <c r="N1374">
        <f>YEAR(Table1[[#This Row],[Date Created Conversion]])</f>
        <v>2012</v>
      </c>
      <c r="O1374" t="b">
        <v>0</v>
      </c>
      <c r="P1374">
        <v>16</v>
      </c>
      <c r="Q1374" t="b">
        <v>1</v>
      </c>
      <c r="R1374" t="s">
        <v>8276</v>
      </c>
      <c r="S1374" s="6">
        <f>Table1[[#This Row],[pledged]]/Table1[[#This Row],[goal]]</f>
        <v>1.24</v>
      </c>
      <c r="T1374" s="8">
        <f>IF(Table1[[#This Row],[pledged]]=0,"no backers",Table1[[#This Row],[pledged]]/Table1[[#This Row],[backers_count]])</f>
        <v>38.75</v>
      </c>
      <c r="U1374" t="str">
        <f>LEFT(Table1[[#This Row],[Category and Sub-Category]],FIND("/",Table1[[#This Row],[Category and Sub-Category]])-1)</f>
        <v>music</v>
      </c>
      <c r="V1374" t="str">
        <f>RIGHT(Table1[[#This Row],[Category and Sub-Category]],LEN(Table1[[#This Row],[Category and Sub-Category]])-FIND("/",Table1[[#This Row],[Category and Sub-Category]]))</f>
        <v>rock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 s="12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>((Table1[[#This Row],[deadline]]/60)/60/24)+DATE(1970,1,1)</f>
        <v>42734.95177083333</v>
      </c>
      <c r="K1375">
        <v>1480546233</v>
      </c>
      <c r="L1375" s="11">
        <f>((Table1[[#This Row],[launched_at]]/60)/60/24)+DATE(1970,1,1)</f>
        <v>42704.95177083333</v>
      </c>
      <c r="M1375">
        <f>MONTH(Table1[[#This Row],[Date Created Conversion]])</f>
        <v>11</v>
      </c>
      <c r="N1375">
        <f>YEAR(Table1[[#This Row],[Date Created Conversion]])</f>
        <v>2016</v>
      </c>
      <c r="O1375" t="b">
        <v>0</v>
      </c>
      <c r="P1375">
        <v>52</v>
      </c>
      <c r="Q1375" t="b">
        <v>1</v>
      </c>
      <c r="R1375" t="s">
        <v>8276</v>
      </c>
      <c r="S1375" s="6">
        <f>Table1[[#This Row],[pledged]]/Table1[[#This Row],[goal]]</f>
        <v>1.0501</v>
      </c>
      <c r="T1375" s="8">
        <f>IF(Table1[[#This Row],[pledged]]=0,"no backers",Table1[[#This Row],[pledged]]/Table1[[#This Row],[backers_count]])</f>
        <v>201.94230769230768</v>
      </c>
      <c r="U1375" t="str">
        <f>LEFT(Table1[[#This Row],[Category and Sub-Category]],FIND("/",Table1[[#This Row],[Category and Sub-Category]])-1)</f>
        <v>music</v>
      </c>
      <c r="V1375" t="str">
        <f>RIGHT(Table1[[#This Row],[Category and Sub-Category]],LEN(Table1[[#This Row],[Category and Sub-Category]])-FIND("/",Table1[[#This Row],[Category and Sub-Category]]))</f>
        <v>rock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 s="12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>((Table1[[#This Row],[deadline]]/60)/60/24)+DATE(1970,1,1)</f>
        <v>42454.12023148148</v>
      </c>
      <c r="K1376">
        <v>1456285988</v>
      </c>
      <c r="L1376" s="11">
        <f>((Table1[[#This Row],[launched_at]]/60)/60/24)+DATE(1970,1,1)</f>
        <v>42424.161898148144</v>
      </c>
      <c r="M1376">
        <f>MONTH(Table1[[#This Row],[Date Created Conversion]])</f>
        <v>2</v>
      </c>
      <c r="N1376">
        <f>YEAR(Table1[[#This Row],[Date Created Conversion]])</f>
        <v>2016</v>
      </c>
      <c r="O1376" t="b">
        <v>0</v>
      </c>
      <c r="P1376">
        <v>66</v>
      </c>
      <c r="Q1376" t="b">
        <v>1</v>
      </c>
      <c r="R1376" t="s">
        <v>8276</v>
      </c>
      <c r="S1376" s="6">
        <f>Table1[[#This Row],[pledged]]/Table1[[#This Row],[goal]]</f>
        <v>1.8946666666666667</v>
      </c>
      <c r="T1376" s="8">
        <f>IF(Table1[[#This Row],[pledged]]=0,"no backers",Table1[[#This Row],[pledged]]/Table1[[#This Row],[backers_count]])</f>
        <v>43.060606060606062</v>
      </c>
      <c r="U1376" t="str">
        <f>LEFT(Table1[[#This Row],[Category and Sub-Category]],FIND("/",Table1[[#This Row],[Category and Sub-Category]])-1)</f>
        <v>music</v>
      </c>
      <c r="V1376" t="str">
        <f>RIGHT(Table1[[#This Row],[Category and Sub-Category]],LEN(Table1[[#This Row],[Category and Sub-Category]])-FIND("/",Table1[[#This Row],[Category and Sub-Category]]))</f>
        <v>rock</v>
      </c>
    </row>
    <row r="1377" spans="1:22" ht="57.6" x14ac:dyDescent="0.3">
      <c r="A1377">
        <v>1375</v>
      </c>
      <c r="B1377" s="3" t="s">
        <v>1376</v>
      </c>
      <c r="C1377" s="3" t="s">
        <v>5485</v>
      </c>
      <c r="D1377" s="12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>((Table1[[#This Row],[deadline]]/60)/60/24)+DATE(1970,1,1)</f>
        <v>42750.066192129627</v>
      </c>
      <c r="K1377">
        <v>1481852119</v>
      </c>
      <c r="L1377" s="11">
        <f>((Table1[[#This Row],[launched_at]]/60)/60/24)+DATE(1970,1,1)</f>
        <v>42720.066192129627</v>
      </c>
      <c r="M1377">
        <f>MONTH(Table1[[#This Row],[Date Created Conversion]])</f>
        <v>12</v>
      </c>
      <c r="N1377">
        <f>YEAR(Table1[[#This Row],[Date Created Conversion]])</f>
        <v>2016</v>
      </c>
      <c r="O1377" t="b">
        <v>0</v>
      </c>
      <c r="P1377">
        <v>109</v>
      </c>
      <c r="Q1377" t="b">
        <v>1</v>
      </c>
      <c r="R1377" t="s">
        <v>8276</v>
      </c>
      <c r="S1377" s="6">
        <f>Table1[[#This Row],[pledged]]/Table1[[#This Row],[goal]]</f>
        <v>1.7132499999999999</v>
      </c>
      <c r="T1377" s="8">
        <f>IF(Table1[[#This Row],[pledged]]=0,"no backers",Table1[[#This Row],[pledged]]/Table1[[#This Row],[backers_count]])</f>
        <v>62.871559633027523</v>
      </c>
      <c r="U1377" t="str">
        <f>LEFT(Table1[[#This Row],[Category and Sub-Category]],FIND("/",Table1[[#This Row],[Category and Sub-Category]])-1)</f>
        <v>music</v>
      </c>
      <c r="V1377" t="str">
        <f>RIGHT(Table1[[#This Row],[Category and Sub-Category]],LEN(Table1[[#This Row],[Category and Sub-Category]])-FIND("/",Table1[[#This Row],[Category and Sub-Category]]))</f>
        <v>rock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 s="12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>((Table1[[#This Row],[deadline]]/60)/60/24)+DATE(1970,1,1)</f>
        <v>42707.710717592592</v>
      </c>
      <c r="K1378">
        <v>1478189006</v>
      </c>
      <c r="L1378" s="11">
        <f>((Table1[[#This Row],[launched_at]]/60)/60/24)+DATE(1970,1,1)</f>
        <v>42677.669050925921</v>
      </c>
      <c r="M1378">
        <f>MONTH(Table1[[#This Row],[Date Created Conversion]])</f>
        <v>11</v>
      </c>
      <c r="N1378">
        <f>YEAR(Table1[[#This Row],[Date Created Conversion]])</f>
        <v>2016</v>
      </c>
      <c r="O1378" t="b">
        <v>0</v>
      </c>
      <c r="P1378">
        <v>168</v>
      </c>
      <c r="Q1378" t="b">
        <v>1</v>
      </c>
      <c r="R1378" t="s">
        <v>8276</v>
      </c>
      <c r="S1378" s="6">
        <f>Table1[[#This Row],[pledged]]/Table1[[#This Row],[goal]]</f>
        <v>2.5248648648648651</v>
      </c>
      <c r="T1378" s="8">
        <f>IF(Table1[[#This Row],[pledged]]=0,"no backers",Table1[[#This Row],[pledged]]/Table1[[#This Row],[backers_count]])</f>
        <v>55.607142857142854</v>
      </c>
      <c r="U1378" t="str">
        <f>LEFT(Table1[[#This Row],[Category and Sub-Category]],FIND("/",Table1[[#This Row],[Category and Sub-Category]])-1)</f>
        <v>music</v>
      </c>
      <c r="V1378" t="str">
        <f>RIGHT(Table1[[#This Row],[Category and Sub-Category]],LEN(Table1[[#This Row],[Category and Sub-Category]])-FIND("/",Table1[[#This Row],[Category and Sub-Category]]))</f>
        <v>rock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 s="12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>((Table1[[#This Row],[deadline]]/60)/60/24)+DATE(1970,1,1)</f>
        <v>42769.174305555556</v>
      </c>
      <c r="K1379">
        <v>1484198170</v>
      </c>
      <c r="L1379" s="11">
        <f>((Table1[[#This Row],[launched_at]]/60)/60/24)+DATE(1970,1,1)</f>
        <v>42747.219560185185</v>
      </c>
      <c r="M1379">
        <f>MONTH(Table1[[#This Row],[Date Created Conversion]])</f>
        <v>1</v>
      </c>
      <c r="N1379">
        <f>YEAR(Table1[[#This Row],[Date Created Conversion]])</f>
        <v>2017</v>
      </c>
      <c r="O1379" t="b">
        <v>0</v>
      </c>
      <c r="P1379">
        <v>31</v>
      </c>
      <c r="Q1379" t="b">
        <v>1</v>
      </c>
      <c r="R1379" t="s">
        <v>8276</v>
      </c>
      <c r="S1379" s="6">
        <f>Table1[[#This Row],[pledged]]/Table1[[#This Row],[goal]]</f>
        <v>1.1615384615384616</v>
      </c>
      <c r="T1379" s="8">
        <f>IF(Table1[[#This Row],[pledged]]=0,"no backers",Table1[[#This Row],[pledged]]/Table1[[#This Row],[backers_count]])</f>
        <v>48.70967741935484</v>
      </c>
      <c r="U1379" t="str">
        <f>LEFT(Table1[[#This Row],[Category and Sub-Category]],FIND("/",Table1[[#This Row],[Category and Sub-Category]])-1)</f>
        <v>music</v>
      </c>
      <c r="V1379" t="str">
        <f>RIGHT(Table1[[#This Row],[Category and Sub-Category]],LEN(Table1[[#This Row],[Category and Sub-Category]])-FIND("/",Table1[[#This Row],[Category and Sub-Category]]))</f>
        <v>rock</v>
      </c>
    </row>
    <row r="1380" spans="1:22" x14ac:dyDescent="0.3">
      <c r="A1380">
        <v>1378</v>
      </c>
      <c r="B1380" s="3" t="s">
        <v>1379</v>
      </c>
      <c r="C1380" s="3" t="s">
        <v>5488</v>
      </c>
      <c r="D1380" s="12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>((Table1[[#This Row],[deadline]]/60)/60/24)+DATE(1970,1,1)</f>
        <v>42583.759374999994</v>
      </c>
      <c r="K1380">
        <v>1468779210</v>
      </c>
      <c r="L1380" s="11">
        <f>((Table1[[#This Row],[launched_at]]/60)/60/24)+DATE(1970,1,1)</f>
        <v>42568.759374999994</v>
      </c>
      <c r="M1380">
        <f>MONTH(Table1[[#This Row],[Date Created Conversion]])</f>
        <v>7</v>
      </c>
      <c r="N1380">
        <f>YEAR(Table1[[#This Row],[Date Created Conversion]])</f>
        <v>2016</v>
      </c>
      <c r="O1380" t="b">
        <v>0</v>
      </c>
      <c r="P1380">
        <v>133</v>
      </c>
      <c r="Q1380" t="b">
        <v>1</v>
      </c>
      <c r="R1380" t="s">
        <v>8276</v>
      </c>
      <c r="S1380" s="6">
        <f>Table1[[#This Row],[pledged]]/Table1[[#This Row],[goal]]</f>
        <v>2.0335000000000001</v>
      </c>
      <c r="T1380" s="8">
        <f>IF(Table1[[#This Row],[pledged]]=0,"no backers",Table1[[#This Row],[pledged]]/Table1[[#This Row],[backers_count]])</f>
        <v>30.578947368421051</v>
      </c>
      <c r="U1380" t="str">
        <f>LEFT(Table1[[#This Row],[Category and Sub-Category]],FIND("/",Table1[[#This Row],[Category and Sub-Category]])-1)</f>
        <v>music</v>
      </c>
      <c r="V1380" t="str">
        <f>RIGHT(Table1[[#This Row],[Category and Sub-Category]],LEN(Table1[[#This Row],[Category and Sub-Category]])-FIND("/",Table1[[#This Row],[Category and Sub-Category]]))</f>
        <v>rock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 s="12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>((Table1[[#This Row],[deadline]]/60)/60/24)+DATE(1970,1,1)</f>
        <v>42160.491620370376</v>
      </c>
      <c r="K1381">
        <v>1430912876</v>
      </c>
      <c r="L1381" s="11">
        <f>((Table1[[#This Row],[launched_at]]/60)/60/24)+DATE(1970,1,1)</f>
        <v>42130.491620370376</v>
      </c>
      <c r="M1381">
        <f>MONTH(Table1[[#This Row],[Date Created Conversion]])</f>
        <v>5</v>
      </c>
      <c r="N1381">
        <f>YEAR(Table1[[#This Row],[Date Created Conversion]])</f>
        <v>2015</v>
      </c>
      <c r="O1381" t="b">
        <v>0</v>
      </c>
      <c r="P1381">
        <v>151</v>
      </c>
      <c r="Q1381" t="b">
        <v>1</v>
      </c>
      <c r="R1381" t="s">
        <v>8276</v>
      </c>
      <c r="S1381" s="6">
        <f>Table1[[#This Row],[pledged]]/Table1[[#This Row],[goal]]</f>
        <v>1.1160000000000001</v>
      </c>
      <c r="T1381" s="8">
        <f>IF(Table1[[#This Row],[pledged]]=0,"no backers",Table1[[#This Row],[pledged]]/Table1[[#This Row],[backers_count]])</f>
        <v>73.907284768211923</v>
      </c>
      <c r="U1381" t="str">
        <f>LEFT(Table1[[#This Row],[Category and Sub-Category]],FIND("/",Table1[[#This Row],[Category and Sub-Category]])-1)</f>
        <v>music</v>
      </c>
      <c r="V1381" t="str">
        <f>RIGHT(Table1[[#This Row],[Category and Sub-Category]],LEN(Table1[[#This Row],[Category and Sub-Category]])-FIND("/",Table1[[#This Row],[Category and Sub-Category]]))</f>
        <v>rock</v>
      </c>
    </row>
    <row r="1382" spans="1:22" ht="43.2" x14ac:dyDescent="0.3">
      <c r="A1382">
        <v>1380</v>
      </c>
      <c r="B1382" s="3" t="s">
        <v>1381</v>
      </c>
      <c r="C1382" s="3" t="s">
        <v>5490</v>
      </c>
      <c r="D1382" s="1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>((Table1[[#This Row],[deadline]]/60)/60/24)+DATE(1970,1,1)</f>
        <v>42164.083333333328</v>
      </c>
      <c r="K1382">
        <v>1431886706</v>
      </c>
      <c r="L1382" s="11">
        <f>((Table1[[#This Row],[launched_at]]/60)/60/24)+DATE(1970,1,1)</f>
        <v>42141.762800925921</v>
      </c>
      <c r="M1382">
        <f>MONTH(Table1[[#This Row],[Date Created Conversion]])</f>
        <v>5</v>
      </c>
      <c r="N1382">
        <f>YEAR(Table1[[#This Row],[Date Created Conversion]])</f>
        <v>2015</v>
      </c>
      <c r="O1382" t="b">
        <v>0</v>
      </c>
      <c r="P1382">
        <v>5</v>
      </c>
      <c r="Q1382" t="b">
        <v>1</v>
      </c>
      <c r="R1382" t="s">
        <v>8276</v>
      </c>
      <c r="S1382" s="6">
        <f>Table1[[#This Row],[pledged]]/Table1[[#This Row],[goal]]</f>
        <v>4.24</v>
      </c>
      <c r="T1382" s="8">
        <f>IF(Table1[[#This Row],[pledged]]=0,"no backers",Table1[[#This Row],[pledged]]/Table1[[#This Row],[backers_count]])</f>
        <v>21.2</v>
      </c>
      <c r="U1382" t="str">
        <f>LEFT(Table1[[#This Row],[Category and Sub-Category]],FIND("/",Table1[[#This Row],[Category and Sub-Category]])-1)</f>
        <v>music</v>
      </c>
      <c r="V1382" t="str">
        <f>RIGHT(Table1[[#This Row],[Category and Sub-Category]],LEN(Table1[[#This Row],[Category and Sub-Category]])-FIND("/",Table1[[#This Row],[Category and Sub-Category]]))</f>
        <v>rock</v>
      </c>
    </row>
    <row r="1383" spans="1:22" ht="57.6" x14ac:dyDescent="0.3">
      <c r="A1383">
        <v>1381</v>
      </c>
      <c r="B1383" s="3" t="s">
        <v>1382</v>
      </c>
      <c r="C1383" s="3" t="s">
        <v>5491</v>
      </c>
      <c r="D1383" s="12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>((Table1[[#This Row],[deadline]]/60)/60/24)+DATE(1970,1,1)</f>
        <v>42733.214409722219</v>
      </c>
      <c r="K1383">
        <v>1480396125</v>
      </c>
      <c r="L1383" s="11">
        <f>((Table1[[#This Row],[launched_at]]/60)/60/24)+DATE(1970,1,1)</f>
        <v>42703.214409722219</v>
      </c>
      <c r="M1383">
        <f>MONTH(Table1[[#This Row],[Date Created Conversion]])</f>
        <v>11</v>
      </c>
      <c r="N1383">
        <f>YEAR(Table1[[#This Row],[Date Created Conversion]])</f>
        <v>2016</v>
      </c>
      <c r="O1383" t="b">
        <v>0</v>
      </c>
      <c r="P1383">
        <v>73</v>
      </c>
      <c r="Q1383" t="b">
        <v>1</v>
      </c>
      <c r="R1383" t="s">
        <v>8276</v>
      </c>
      <c r="S1383" s="6">
        <f>Table1[[#This Row],[pledged]]/Table1[[#This Row],[goal]]</f>
        <v>1.071</v>
      </c>
      <c r="T1383" s="8">
        <f>IF(Table1[[#This Row],[pledged]]=0,"no backers",Table1[[#This Row],[pledged]]/Table1[[#This Row],[backers_count]])</f>
        <v>73.356164383561648</v>
      </c>
      <c r="U1383" t="str">
        <f>LEFT(Table1[[#This Row],[Category and Sub-Category]],FIND("/",Table1[[#This Row],[Category and Sub-Category]])-1)</f>
        <v>music</v>
      </c>
      <c r="V1383" t="str">
        <f>RIGHT(Table1[[#This Row],[Category and Sub-Category]],LEN(Table1[[#This Row],[Category and Sub-Category]])-FIND("/",Table1[[#This Row],[Category and Sub-Category]]))</f>
        <v>rock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 s="12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>((Table1[[#This Row],[deadline]]/60)/60/24)+DATE(1970,1,1)</f>
        <v>41400.800185185188</v>
      </c>
      <c r="K1384">
        <v>1365275536</v>
      </c>
      <c r="L1384" s="11">
        <f>((Table1[[#This Row],[launched_at]]/60)/60/24)+DATE(1970,1,1)</f>
        <v>41370.800185185188</v>
      </c>
      <c r="M1384">
        <f>MONTH(Table1[[#This Row],[Date Created Conversion]])</f>
        <v>4</v>
      </c>
      <c r="N1384">
        <f>YEAR(Table1[[#This Row],[Date Created Conversion]])</f>
        <v>2013</v>
      </c>
      <c r="O1384" t="b">
        <v>0</v>
      </c>
      <c r="P1384">
        <v>148</v>
      </c>
      <c r="Q1384" t="b">
        <v>1</v>
      </c>
      <c r="R1384" t="s">
        <v>8276</v>
      </c>
      <c r="S1384" s="6">
        <f>Table1[[#This Row],[pledged]]/Table1[[#This Row],[goal]]</f>
        <v>1.043625</v>
      </c>
      <c r="T1384" s="8">
        <f>IF(Table1[[#This Row],[pledged]]=0,"no backers",Table1[[#This Row],[pledged]]/Table1[[#This Row],[backers_count]])</f>
        <v>56.412162162162161</v>
      </c>
      <c r="U1384" t="str">
        <f>LEFT(Table1[[#This Row],[Category and Sub-Category]],FIND("/",Table1[[#This Row],[Category and Sub-Category]])-1)</f>
        <v>music</v>
      </c>
      <c r="V1384" t="str">
        <f>RIGHT(Table1[[#This Row],[Category and Sub-Category]],LEN(Table1[[#This Row],[Category and Sub-Category]])-FIND("/",Table1[[#This Row],[Category and Sub-Category]]))</f>
        <v>rock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 s="12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>((Table1[[#This Row],[deadline]]/60)/60/24)+DATE(1970,1,1)</f>
        <v>42727.074976851851</v>
      </c>
      <c r="K1385">
        <v>1480729678</v>
      </c>
      <c r="L1385" s="11">
        <f>((Table1[[#This Row],[launched_at]]/60)/60/24)+DATE(1970,1,1)</f>
        <v>42707.074976851851</v>
      </c>
      <c r="M1385">
        <f>MONTH(Table1[[#This Row],[Date Created Conversion]])</f>
        <v>12</v>
      </c>
      <c r="N1385">
        <f>YEAR(Table1[[#This Row],[Date Created Conversion]])</f>
        <v>2016</v>
      </c>
      <c r="O1385" t="b">
        <v>0</v>
      </c>
      <c r="P1385">
        <v>93</v>
      </c>
      <c r="Q1385" t="b">
        <v>1</v>
      </c>
      <c r="R1385" t="s">
        <v>8276</v>
      </c>
      <c r="S1385" s="6">
        <f>Table1[[#This Row],[pledged]]/Table1[[#This Row],[goal]]</f>
        <v>2.124090909090909</v>
      </c>
      <c r="T1385" s="8">
        <f>IF(Table1[[#This Row],[pledged]]=0,"no backers",Table1[[#This Row],[pledged]]/Table1[[#This Row],[backers_count]])</f>
        <v>50.247311827956992</v>
      </c>
      <c r="U1385" t="str">
        <f>LEFT(Table1[[#This Row],[Category and Sub-Category]],FIND("/",Table1[[#This Row],[Category and Sub-Category]])-1)</f>
        <v>music</v>
      </c>
      <c r="V1385" t="str">
        <f>RIGHT(Table1[[#This Row],[Category and Sub-Category]],LEN(Table1[[#This Row],[Category and Sub-Category]])-FIND("/",Table1[[#This Row],[Category and Sub-Category]]))</f>
        <v>rock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 s="12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>((Table1[[#This Row],[deadline]]/60)/60/24)+DATE(1970,1,1)</f>
        <v>42190.735208333332</v>
      </c>
      <c r="K1386">
        <v>1433525922</v>
      </c>
      <c r="L1386" s="11">
        <f>((Table1[[#This Row],[launched_at]]/60)/60/24)+DATE(1970,1,1)</f>
        <v>42160.735208333332</v>
      </c>
      <c r="M1386">
        <f>MONTH(Table1[[#This Row],[Date Created Conversion]])</f>
        <v>6</v>
      </c>
      <c r="N1386">
        <f>YEAR(Table1[[#This Row],[Date Created Conversion]])</f>
        <v>2015</v>
      </c>
      <c r="O1386" t="b">
        <v>0</v>
      </c>
      <c r="P1386">
        <v>63</v>
      </c>
      <c r="Q1386" t="b">
        <v>1</v>
      </c>
      <c r="R1386" t="s">
        <v>8276</v>
      </c>
      <c r="S1386" s="6">
        <f>Table1[[#This Row],[pledged]]/Table1[[#This Row],[goal]]</f>
        <v>1.2408571428571429</v>
      </c>
      <c r="T1386" s="8">
        <f>IF(Table1[[#This Row],[pledged]]=0,"no backers",Table1[[#This Row],[pledged]]/Table1[[#This Row],[backers_count]])</f>
        <v>68.936507936507937</v>
      </c>
      <c r="U1386" t="str">
        <f>LEFT(Table1[[#This Row],[Category and Sub-Category]],FIND("/",Table1[[#This Row],[Category and Sub-Category]])-1)</f>
        <v>music</v>
      </c>
      <c r="V1386" t="str">
        <f>RIGHT(Table1[[#This Row],[Category and Sub-Category]],LEN(Table1[[#This Row],[Category and Sub-Category]])-FIND("/",Table1[[#This Row],[Category and Sub-Category]]))</f>
        <v>rock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 s="12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>((Table1[[#This Row],[deadline]]/60)/60/24)+DATE(1970,1,1)</f>
        <v>42489.507638888885</v>
      </c>
      <c r="K1387">
        <v>1457109121</v>
      </c>
      <c r="L1387" s="11">
        <f>((Table1[[#This Row],[launched_at]]/60)/60/24)+DATE(1970,1,1)</f>
        <v>42433.688900462963</v>
      </c>
      <c r="M1387">
        <f>MONTH(Table1[[#This Row],[Date Created Conversion]])</f>
        <v>3</v>
      </c>
      <c r="N1387">
        <f>YEAR(Table1[[#This Row],[Date Created Conversion]])</f>
        <v>2016</v>
      </c>
      <c r="O1387" t="b">
        <v>0</v>
      </c>
      <c r="P1387">
        <v>134</v>
      </c>
      <c r="Q1387" t="b">
        <v>1</v>
      </c>
      <c r="R1387" t="s">
        <v>8276</v>
      </c>
      <c r="S1387" s="6">
        <f>Table1[[#This Row],[pledged]]/Table1[[#This Row],[goal]]</f>
        <v>1.10406125</v>
      </c>
      <c r="T1387" s="8">
        <f>IF(Table1[[#This Row],[pledged]]=0,"no backers",Table1[[#This Row],[pledged]]/Table1[[#This Row],[backers_count]])</f>
        <v>65.914104477611943</v>
      </c>
      <c r="U1387" t="str">
        <f>LEFT(Table1[[#This Row],[Category and Sub-Category]],FIND("/",Table1[[#This Row],[Category and Sub-Category]])-1)</f>
        <v>music</v>
      </c>
      <c r="V1387" t="str">
        <f>RIGHT(Table1[[#This Row],[Category and Sub-Category]],LEN(Table1[[#This Row],[Category and Sub-Category]])-FIND("/",Table1[[#This Row],[Category and Sub-Category]]))</f>
        <v>rock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 s="12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>((Table1[[#This Row],[deadline]]/60)/60/24)+DATE(1970,1,1)</f>
        <v>42214.646863425922</v>
      </c>
      <c r="K1388">
        <v>1435591889</v>
      </c>
      <c r="L1388" s="11">
        <f>((Table1[[#This Row],[launched_at]]/60)/60/24)+DATE(1970,1,1)</f>
        <v>42184.646863425922</v>
      </c>
      <c r="M1388">
        <f>MONTH(Table1[[#This Row],[Date Created Conversion]])</f>
        <v>6</v>
      </c>
      <c r="N1388">
        <f>YEAR(Table1[[#This Row],[Date Created Conversion]])</f>
        <v>2015</v>
      </c>
      <c r="O1388" t="b">
        <v>0</v>
      </c>
      <c r="P1388">
        <v>14</v>
      </c>
      <c r="Q1388" t="b">
        <v>1</v>
      </c>
      <c r="R1388" t="s">
        <v>8276</v>
      </c>
      <c r="S1388" s="6">
        <f>Table1[[#This Row],[pledged]]/Table1[[#This Row],[goal]]</f>
        <v>2.1875</v>
      </c>
      <c r="T1388" s="8">
        <f>IF(Table1[[#This Row],[pledged]]=0,"no backers",Table1[[#This Row],[pledged]]/Table1[[#This Row],[backers_count]])</f>
        <v>62.5</v>
      </c>
      <c r="U1388" t="str">
        <f>LEFT(Table1[[#This Row],[Category and Sub-Category]],FIND("/",Table1[[#This Row],[Category and Sub-Category]])-1)</f>
        <v>music</v>
      </c>
      <c r="V1388" t="str">
        <f>RIGHT(Table1[[#This Row],[Category and Sub-Category]],LEN(Table1[[#This Row],[Category and Sub-Category]])-FIND("/",Table1[[#This Row],[Category and Sub-Category]]))</f>
        <v>rock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 s="12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>((Table1[[#This Row],[deadline]]/60)/60/24)+DATE(1970,1,1)</f>
        <v>42158.1875</v>
      </c>
      <c r="K1389">
        <v>1430604395</v>
      </c>
      <c r="L1389" s="11">
        <f>((Table1[[#This Row],[launched_at]]/60)/60/24)+DATE(1970,1,1)</f>
        <v>42126.92123842593</v>
      </c>
      <c r="M1389">
        <f>MONTH(Table1[[#This Row],[Date Created Conversion]])</f>
        <v>5</v>
      </c>
      <c r="N1389">
        <f>YEAR(Table1[[#This Row],[Date Created Conversion]])</f>
        <v>2015</v>
      </c>
      <c r="O1389" t="b">
        <v>0</v>
      </c>
      <c r="P1389">
        <v>78</v>
      </c>
      <c r="Q1389" t="b">
        <v>1</v>
      </c>
      <c r="R1389" t="s">
        <v>8276</v>
      </c>
      <c r="S1389" s="6">
        <f>Table1[[#This Row],[pledged]]/Table1[[#This Row],[goal]]</f>
        <v>1.36625</v>
      </c>
      <c r="T1389" s="8">
        <f>IF(Table1[[#This Row],[pledged]]=0,"no backers",Table1[[#This Row],[pledged]]/Table1[[#This Row],[backers_count]])</f>
        <v>70.064102564102569</v>
      </c>
      <c r="U1389" t="str">
        <f>LEFT(Table1[[#This Row],[Category and Sub-Category]],FIND("/",Table1[[#This Row],[Category and Sub-Category]])-1)</f>
        <v>music</v>
      </c>
      <c r="V1389" t="str">
        <f>RIGHT(Table1[[#This Row],[Category and Sub-Category]],LEN(Table1[[#This Row],[Category and Sub-Category]])-FIND("/",Table1[[#This Row],[Category and Sub-Category]]))</f>
        <v>rock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 s="12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>((Table1[[#This Row],[deadline]]/60)/60/24)+DATE(1970,1,1)</f>
        <v>42660.676388888889</v>
      </c>
      <c r="K1390">
        <v>1474469117</v>
      </c>
      <c r="L1390" s="11">
        <f>((Table1[[#This Row],[launched_at]]/60)/60/24)+DATE(1970,1,1)</f>
        <v>42634.614780092597</v>
      </c>
      <c r="M1390">
        <f>MONTH(Table1[[#This Row],[Date Created Conversion]])</f>
        <v>9</v>
      </c>
      <c r="N1390">
        <f>YEAR(Table1[[#This Row],[Date Created Conversion]])</f>
        <v>2016</v>
      </c>
      <c r="O1390" t="b">
        <v>0</v>
      </c>
      <c r="P1390">
        <v>112</v>
      </c>
      <c r="Q1390" t="b">
        <v>1</v>
      </c>
      <c r="R1390" t="s">
        <v>8276</v>
      </c>
      <c r="S1390" s="6">
        <f>Table1[[#This Row],[pledged]]/Table1[[#This Row],[goal]]</f>
        <v>1.348074</v>
      </c>
      <c r="T1390" s="8">
        <f>IF(Table1[[#This Row],[pledged]]=0,"no backers",Table1[[#This Row],[pledged]]/Table1[[#This Row],[backers_count]])</f>
        <v>60.181874999999998</v>
      </c>
      <c r="U1390" t="str">
        <f>LEFT(Table1[[#This Row],[Category and Sub-Category]],FIND("/",Table1[[#This Row],[Category and Sub-Category]])-1)</f>
        <v>music</v>
      </c>
      <c r="V1390" t="str">
        <f>RIGHT(Table1[[#This Row],[Category and Sub-Category]],LEN(Table1[[#This Row],[Category and Sub-Category]])-FIND("/",Table1[[#This Row],[Category and Sub-Category]]))</f>
        <v>rock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 s="12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>((Table1[[#This Row],[deadline]]/60)/60/24)+DATE(1970,1,1)</f>
        <v>42595.480983796297</v>
      </c>
      <c r="K1391">
        <v>1468495957</v>
      </c>
      <c r="L1391" s="11">
        <f>((Table1[[#This Row],[launched_at]]/60)/60/24)+DATE(1970,1,1)</f>
        <v>42565.480983796297</v>
      </c>
      <c r="M1391">
        <f>MONTH(Table1[[#This Row],[Date Created Conversion]])</f>
        <v>7</v>
      </c>
      <c r="N1391">
        <f>YEAR(Table1[[#This Row],[Date Created Conversion]])</f>
        <v>2016</v>
      </c>
      <c r="O1391" t="b">
        <v>0</v>
      </c>
      <c r="P1391">
        <v>34</v>
      </c>
      <c r="Q1391" t="b">
        <v>1</v>
      </c>
      <c r="R1391" t="s">
        <v>8276</v>
      </c>
      <c r="S1391" s="6">
        <f>Table1[[#This Row],[pledged]]/Table1[[#This Row],[goal]]</f>
        <v>1.454</v>
      </c>
      <c r="T1391" s="8">
        <f>IF(Table1[[#This Row],[pledged]]=0,"no backers",Table1[[#This Row],[pledged]]/Table1[[#This Row],[backers_count]])</f>
        <v>21.382352941176471</v>
      </c>
      <c r="U1391" t="str">
        <f>LEFT(Table1[[#This Row],[Category and Sub-Category]],FIND("/",Table1[[#This Row],[Category and Sub-Category]])-1)</f>
        <v>music</v>
      </c>
      <c r="V1391" t="str">
        <f>RIGHT(Table1[[#This Row],[Category and Sub-Category]],LEN(Table1[[#This Row],[Category and Sub-Category]])-FIND("/",Table1[[#This Row],[Category and Sub-Category]]))</f>
        <v>rock</v>
      </c>
    </row>
    <row r="1392" spans="1:22" ht="43.2" x14ac:dyDescent="0.3">
      <c r="A1392">
        <v>1390</v>
      </c>
      <c r="B1392" s="3" t="s">
        <v>1391</v>
      </c>
      <c r="C1392" s="3" t="s">
        <v>5500</v>
      </c>
      <c r="D1392" s="1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>((Table1[[#This Row],[deadline]]/60)/60/24)+DATE(1970,1,1)</f>
        <v>42121.716666666667</v>
      </c>
      <c r="K1392">
        <v>1427224606</v>
      </c>
      <c r="L1392" s="11">
        <f>((Table1[[#This Row],[launched_at]]/60)/60/24)+DATE(1970,1,1)</f>
        <v>42087.803310185183</v>
      </c>
      <c r="M1392">
        <f>MONTH(Table1[[#This Row],[Date Created Conversion]])</f>
        <v>3</v>
      </c>
      <c r="N1392">
        <f>YEAR(Table1[[#This Row],[Date Created Conversion]])</f>
        <v>2015</v>
      </c>
      <c r="O1392" t="b">
        <v>0</v>
      </c>
      <c r="P1392">
        <v>19</v>
      </c>
      <c r="Q1392" t="b">
        <v>1</v>
      </c>
      <c r="R1392" t="s">
        <v>8276</v>
      </c>
      <c r="S1392" s="6">
        <f>Table1[[#This Row],[pledged]]/Table1[[#This Row],[goal]]</f>
        <v>1.0910714285714285</v>
      </c>
      <c r="T1392" s="8">
        <f>IF(Table1[[#This Row],[pledged]]=0,"no backers",Table1[[#This Row],[pledged]]/Table1[[#This Row],[backers_count]])</f>
        <v>160.78947368421052</v>
      </c>
      <c r="U1392" t="str">
        <f>LEFT(Table1[[#This Row],[Category and Sub-Category]],FIND("/",Table1[[#This Row],[Category and Sub-Category]])-1)</f>
        <v>music</v>
      </c>
      <c r="V1392" t="str">
        <f>RIGHT(Table1[[#This Row],[Category and Sub-Category]],LEN(Table1[[#This Row],[Category and Sub-Category]])-FIND("/",Table1[[#This Row],[Category and Sub-Category]]))</f>
        <v>rock</v>
      </c>
    </row>
    <row r="1393" spans="1:22" ht="43.2" x14ac:dyDescent="0.3">
      <c r="A1393">
        <v>1391</v>
      </c>
      <c r="B1393" s="3" t="s">
        <v>1392</v>
      </c>
      <c r="C1393" s="3" t="s">
        <v>5501</v>
      </c>
      <c r="D1393" s="12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>((Table1[[#This Row],[deadline]]/60)/60/24)+DATE(1970,1,1)</f>
        <v>42238.207638888889</v>
      </c>
      <c r="K1393">
        <v>1436369818</v>
      </c>
      <c r="L1393" s="11">
        <f>((Table1[[#This Row],[launched_at]]/60)/60/24)+DATE(1970,1,1)</f>
        <v>42193.650671296295</v>
      </c>
      <c r="M1393">
        <f>MONTH(Table1[[#This Row],[Date Created Conversion]])</f>
        <v>7</v>
      </c>
      <c r="N1393">
        <f>YEAR(Table1[[#This Row],[Date Created Conversion]])</f>
        <v>2015</v>
      </c>
      <c r="O1393" t="b">
        <v>0</v>
      </c>
      <c r="P1393">
        <v>13</v>
      </c>
      <c r="Q1393" t="b">
        <v>1</v>
      </c>
      <c r="R1393" t="s">
        <v>8276</v>
      </c>
      <c r="S1393" s="6">
        <f>Table1[[#This Row],[pledged]]/Table1[[#This Row],[goal]]</f>
        <v>1.1020000000000001</v>
      </c>
      <c r="T1393" s="8">
        <f>IF(Table1[[#This Row],[pledged]]=0,"no backers",Table1[[#This Row],[pledged]]/Table1[[#This Row],[backers_count]])</f>
        <v>42.384615384615387</v>
      </c>
      <c r="U1393" t="str">
        <f>LEFT(Table1[[#This Row],[Category and Sub-Category]],FIND("/",Table1[[#This Row],[Category and Sub-Category]])-1)</f>
        <v>music</v>
      </c>
      <c r="V1393" t="str">
        <f>RIGHT(Table1[[#This Row],[Category and Sub-Category]],LEN(Table1[[#This Row],[Category and Sub-Category]])-FIND("/",Table1[[#This Row],[Category and Sub-Category]]))</f>
        <v>rock</v>
      </c>
    </row>
    <row r="1394" spans="1:22" ht="43.2" x14ac:dyDescent="0.3">
      <c r="A1394">
        <v>1392</v>
      </c>
      <c r="B1394" s="3" t="s">
        <v>1393</v>
      </c>
      <c r="C1394" s="3" t="s">
        <v>5502</v>
      </c>
      <c r="D1394" s="12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>((Table1[[#This Row],[deadline]]/60)/60/24)+DATE(1970,1,1)</f>
        <v>42432.154930555553</v>
      </c>
      <c r="K1394">
        <v>1454298186</v>
      </c>
      <c r="L1394" s="11">
        <f>((Table1[[#This Row],[launched_at]]/60)/60/24)+DATE(1970,1,1)</f>
        <v>42401.154930555553</v>
      </c>
      <c r="M1394">
        <f>MONTH(Table1[[#This Row],[Date Created Conversion]])</f>
        <v>2</v>
      </c>
      <c r="N1394">
        <f>YEAR(Table1[[#This Row],[Date Created Conversion]])</f>
        <v>2016</v>
      </c>
      <c r="O1394" t="b">
        <v>0</v>
      </c>
      <c r="P1394">
        <v>104</v>
      </c>
      <c r="Q1394" t="b">
        <v>1</v>
      </c>
      <c r="R1394" t="s">
        <v>8276</v>
      </c>
      <c r="S1394" s="6">
        <f>Table1[[#This Row],[pledged]]/Table1[[#This Row],[goal]]</f>
        <v>1.1364000000000001</v>
      </c>
      <c r="T1394" s="8">
        <f>IF(Table1[[#This Row],[pledged]]=0,"no backers",Table1[[#This Row],[pledged]]/Table1[[#This Row],[backers_count]])</f>
        <v>27.317307692307693</v>
      </c>
      <c r="U1394" t="str">
        <f>LEFT(Table1[[#This Row],[Category and Sub-Category]],FIND("/",Table1[[#This Row],[Category and Sub-Category]])-1)</f>
        <v>music</v>
      </c>
      <c r="V1394" t="str">
        <f>RIGHT(Table1[[#This Row],[Category and Sub-Category]],LEN(Table1[[#This Row],[Category and Sub-Category]])-FIND("/",Table1[[#This Row],[Category and Sub-Category]]))</f>
        <v>rock</v>
      </c>
    </row>
    <row r="1395" spans="1:22" x14ac:dyDescent="0.3">
      <c r="A1395">
        <v>1393</v>
      </c>
      <c r="B1395" s="3" t="s">
        <v>1394</v>
      </c>
      <c r="C1395" s="3" t="s">
        <v>5503</v>
      </c>
      <c r="D1395" s="12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>((Table1[[#This Row],[deadline]]/60)/60/24)+DATE(1970,1,1)</f>
        <v>42583.681979166664</v>
      </c>
      <c r="K1395">
        <v>1467476523</v>
      </c>
      <c r="L1395" s="11">
        <f>((Table1[[#This Row],[launched_at]]/60)/60/24)+DATE(1970,1,1)</f>
        <v>42553.681979166664</v>
      </c>
      <c r="M1395">
        <f>MONTH(Table1[[#This Row],[Date Created Conversion]])</f>
        <v>7</v>
      </c>
      <c r="N1395">
        <f>YEAR(Table1[[#This Row],[Date Created Conversion]])</f>
        <v>2016</v>
      </c>
      <c r="O1395" t="b">
        <v>0</v>
      </c>
      <c r="P1395">
        <v>52</v>
      </c>
      <c r="Q1395" t="b">
        <v>1</v>
      </c>
      <c r="R1395" t="s">
        <v>8276</v>
      </c>
      <c r="S1395" s="6">
        <f>Table1[[#This Row],[pledged]]/Table1[[#This Row],[goal]]</f>
        <v>1.0235000000000001</v>
      </c>
      <c r="T1395" s="8">
        <f>IF(Table1[[#This Row],[pledged]]=0,"no backers",Table1[[#This Row],[pledged]]/Table1[[#This Row],[backers_count]])</f>
        <v>196.82692307692307</v>
      </c>
      <c r="U1395" t="str">
        <f>LEFT(Table1[[#This Row],[Category and Sub-Category]],FIND("/",Table1[[#This Row],[Category and Sub-Category]])-1)</f>
        <v>music</v>
      </c>
      <c r="V1395" t="str">
        <f>RIGHT(Table1[[#This Row],[Category and Sub-Category]],LEN(Table1[[#This Row],[Category and Sub-Category]])-FIND("/",Table1[[#This Row],[Category and Sub-Category]]))</f>
        <v>rock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 s="12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>((Table1[[#This Row],[deadline]]/60)/60/24)+DATE(1970,1,1)</f>
        <v>42795.125</v>
      </c>
      <c r="K1396">
        <v>1484623726</v>
      </c>
      <c r="L1396" s="11">
        <f>((Table1[[#This Row],[launched_at]]/60)/60/24)+DATE(1970,1,1)</f>
        <v>42752.144976851851</v>
      </c>
      <c r="M1396">
        <f>MONTH(Table1[[#This Row],[Date Created Conversion]])</f>
        <v>1</v>
      </c>
      <c r="N1396">
        <f>YEAR(Table1[[#This Row],[Date Created Conversion]])</f>
        <v>2017</v>
      </c>
      <c r="O1396" t="b">
        <v>0</v>
      </c>
      <c r="P1396">
        <v>17</v>
      </c>
      <c r="Q1396" t="b">
        <v>1</v>
      </c>
      <c r="R1396" t="s">
        <v>8276</v>
      </c>
      <c r="S1396" s="6">
        <f>Table1[[#This Row],[pledged]]/Table1[[#This Row],[goal]]</f>
        <v>1.2213333333333334</v>
      </c>
      <c r="T1396" s="8">
        <f>IF(Table1[[#This Row],[pledged]]=0,"no backers",Table1[[#This Row],[pledged]]/Table1[[#This Row],[backers_count]])</f>
        <v>53.882352941176471</v>
      </c>
      <c r="U1396" t="str">
        <f>LEFT(Table1[[#This Row],[Category and Sub-Category]],FIND("/",Table1[[#This Row],[Category and Sub-Category]])-1)</f>
        <v>music</v>
      </c>
      <c r="V1396" t="str">
        <f>RIGHT(Table1[[#This Row],[Category and Sub-Category]],LEN(Table1[[#This Row],[Category and Sub-Category]])-FIND("/",Table1[[#This Row],[Category and Sub-Category]]))</f>
        <v>rock</v>
      </c>
    </row>
    <row r="1397" spans="1:22" x14ac:dyDescent="0.3">
      <c r="A1397">
        <v>1395</v>
      </c>
      <c r="B1397" s="3" t="s">
        <v>1396</v>
      </c>
      <c r="C1397" s="3" t="s">
        <v>5505</v>
      </c>
      <c r="D1397" s="12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>((Table1[[#This Row],[deadline]]/60)/60/24)+DATE(1970,1,1)</f>
        <v>42749.90834490741</v>
      </c>
      <c r="K1397">
        <v>1481838481</v>
      </c>
      <c r="L1397" s="11">
        <f>((Table1[[#This Row],[launched_at]]/60)/60/24)+DATE(1970,1,1)</f>
        <v>42719.90834490741</v>
      </c>
      <c r="M1397">
        <f>MONTH(Table1[[#This Row],[Date Created Conversion]])</f>
        <v>12</v>
      </c>
      <c r="N1397">
        <f>YEAR(Table1[[#This Row],[Date Created Conversion]])</f>
        <v>2016</v>
      </c>
      <c r="O1397" t="b">
        <v>0</v>
      </c>
      <c r="P1397">
        <v>82</v>
      </c>
      <c r="Q1397" t="b">
        <v>1</v>
      </c>
      <c r="R1397" t="s">
        <v>8276</v>
      </c>
      <c r="S1397" s="6">
        <f>Table1[[#This Row],[pledged]]/Table1[[#This Row],[goal]]</f>
        <v>1.1188571428571428</v>
      </c>
      <c r="T1397" s="8">
        <f>IF(Table1[[#This Row],[pledged]]=0,"no backers",Table1[[#This Row],[pledged]]/Table1[[#This Row],[backers_count]])</f>
        <v>47.756097560975611</v>
      </c>
      <c r="U1397" t="str">
        <f>LEFT(Table1[[#This Row],[Category and Sub-Category]],FIND("/",Table1[[#This Row],[Category and Sub-Category]])-1)</f>
        <v>music</v>
      </c>
      <c r="V1397" t="str">
        <f>RIGHT(Table1[[#This Row],[Category and Sub-Category]],LEN(Table1[[#This Row],[Category and Sub-Category]])-FIND("/",Table1[[#This Row],[Category and Sub-Category]]))</f>
        <v>rock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 s="12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>((Table1[[#This Row],[deadline]]/60)/60/24)+DATE(1970,1,1)</f>
        <v>42048.99863425926</v>
      </c>
      <c r="K1398">
        <v>1421279882</v>
      </c>
      <c r="L1398" s="11">
        <f>((Table1[[#This Row],[launched_at]]/60)/60/24)+DATE(1970,1,1)</f>
        <v>42018.99863425926</v>
      </c>
      <c r="M1398">
        <f>MONTH(Table1[[#This Row],[Date Created Conversion]])</f>
        <v>1</v>
      </c>
      <c r="N1398">
        <f>YEAR(Table1[[#This Row],[Date Created Conversion]])</f>
        <v>2015</v>
      </c>
      <c r="O1398" t="b">
        <v>0</v>
      </c>
      <c r="P1398">
        <v>73</v>
      </c>
      <c r="Q1398" t="b">
        <v>1</v>
      </c>
      <c r="R1398" t="s">
        <v>8276</v>
      </c>
      <c r="S1398" s="6">
        <f>Table1[[#This Row],[pledged]]/Table1[[#This Row],[goal]]</f>
        <v>1.073</v>
      </c>
      <c r="T1398" s="8">
        <f>IF(Table1[[#This Row],[pledged]]=0,"no backers",Table1[[#This Row],[pledged]]/Table1[[#This Row],[backers_count]])</f>
        <v>88.191780821917803</v>
      </c>
      <c r="U1398" t="str">
        <f>LEFT(Table1[[#This Row],[Category and Sub-Category]],FIND("/",Table1[[#This Row],[Category and Sub-Category]])-1)</f>
        <v>music</v>
      </c>
      <c r="V1398" t="str">
        <f>RIGHT(Table1[[#This Row],[Category and Sub-Category]],LEN(Table1[[#This Row],[Category and Sub-Category]])-FIND("/",Table1[[#This Row],[Category and Sub-Category]]))</f>
        <v>rock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 s="12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>((Table1[[#This Row],[deadline]]/60)/60/24)+DATE(1970,1,1)</f>
        <v>42670.888194444444</v>
      </c>
      <c r="K1399">
        <v>1475013710</v>
      </c>
      <c r="L1399" s="11">
        <f>((Table1[[#This Row],[launched_at]]/60)/60/24)+DATE(1970,1,1)</f>
        <v>42640.917939814812</v>
      </c>
      <c r="M1399">
        <f>MONTH(Table1[[#This Row],[Date Created Conversion]])</f>
        <v>9</v>
      </c>
      <c r="N1399">
        <f>YEAR(Table1[[#This Row],[Date Created Conversion]])</f>
        <v>2016</v>
      </c>
      <c r="O1399" t="b">
        <v>0</v>
      </c>
      <c r="P1399">
        <v>158</v>
      </c>
      <c r="Q1399" t="b">
        <v>1</v>
      </c>
      <c r="R1399" t="s">
        <v>8276</v>
      </c>
      <c r="S1399" s="6">
        <f>Table1[[#This Row],[pledged]]/Table1[[#This Row],[goal]]</f>
        <v>1.1385000000000001</v>
      </c>
      <c r="T1399" s="8">
        <f>IF(Table1[[#This Row],[pledged]]=0,"no backers",Table1[[#This Row],[pledged]]/Table1[[#This Row],[backers_count]])</f>
        <v>72.056962025316452</v>
      </c>
      <c r="U1399" t="str">
        <f>LEFT(Table1[[#This Row],[Category and Sub-Category]],FIND("/",Table1[[#This Row],[Category and Sub-Category]])-1)</f>
        <v>music</v>
      </c>
      <c r="V1399" t="str">
        <f>RIGHT(Table1[[#This Row],[Category and Sub-Category]],LEN(Table1[[#This Row],[Category and Sub-Category]])-FIND("/",Table1[[#This Row],[Category and Sub-Category]]))</f>
        <v>rock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 s="12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>((Table1[[#This Row],[deadline]]/60)/60/24)+DATE(1970,1,1)</f>
        <v>42556.874236111107</v>
      </c>
      <c r="K1400">
        <v>1465160334</v>
      </c>
      <c r="L1400" s="11">
        <f>((Table1[[#This Row],[launched_at]]/60)/60/24)+DATE(1970,1,1)</f>
        <v>42526.874236111107</v>
      </c>
      <c r="M1400">
        <f>MONTH(Table1[[#This Row],[Date Created Conversion]])</f>
        <v>6</v>
      </c>
      <c r="N1400">
        <f>YEAR(Table1[[#This Row],[Date Created Conversion]])</f>
        <v>2016</v>
      </c>
      <c r="O1400" t="b">
        <v>0</v>
      </c>
      <c r="P1400">
        <v>65</v>
      </c>
      <c r="Q1400" t="b">
        <v>1</v>
      </c>
      <c r="R1400" t="s">
        <v>8276</v>
      </c>
      <c r="S1400" s="6">
        <f>Table1[[#This Row],[pledged]]/Table1[[#This Row],[goal]]</f>
        <v>1.0968181818181819</v>
      </c>
      <c r="T1400" s="8">
        <f>IF(Table1[[#This Row],[pledged]]=0,"no backers",Table1[[#This Row],[pledged]]/Table1[[#This Row],[backers_count]])</f>
        <v>74.246153846153845</v>
      </c>
      <c r="U1400" t="str">
        <f>LEFT(Table1[[#This Row],[Category and Sub-Category]],FIND("/",Table1[[#This Row],[Category and Sub-Category]])-1)</f>
        <v>music</v>
      </c>
      <c r="V1400" t="str">
        <f>RIGHT(Table1[[#This Row],[Category and Sub-Category]],LEN(Table1[[#This Row],[Category and Sub-Category]])-FIND("/",Table1[[#This Row],[Category and Sub-Category]]))</f>
        <v>rock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 s="12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>((Table1[[#This Row],[deadline]]/60)/60/24)+DATE(1970,1,1)</f>
        <v>41919.004317129627</v>
      </c>
      <c r="K1401">
        <v>1410048373</v>
      </c>
      <c r="L1401" s="11">
        <f>((Table1[[#This Row],[launched_at]]/60)/60/24)+DATE(1970,1,1)</f>
        <v>41889.004317129627</v>
      </c>
      <c r="M1401">
        <f>MONTH(Table1[[#This Row],[Date Created Conversion]])</f>
        <v>9</v>
      </c>
      <c r="N1401">
        <f>YEAR(Table1[[#This Row],[Date Created Conversion]])</f>
        <v>2014</v>
      </c>
      <c r="O1401" t="b">
        <v>0</v>
      </c>
      <c r="P1401">
        <v>184</v>
      </c>
      <c r="Q1401" t="b">
        <v>1</v>
      </c>
      <c r="R1401" t="s">
        <v>8276</v>
      </c>
      <c r="S1401" s="6">
        <f>Table1[[#This Row],[pledged]]/Table1[[#This Row],[goal]]</f>
        <v>1.2614444444444444</v>
      </c>
      <c r="T1401" s="8">
        <f>IF(Table1[[#This Row],[pledged]]=0,"no backers",Table1[[#This Row],[pledged]]/Table1[[#This Row],[backers_count]])</f>
        <v>61.701086956521742</v>
      </c>
      <c r="U1401" t="str">
        <f>LEFT(Table1[[#This Row],[Category and Sub-Category]],FIND("/",Table1[[#This Row],[Category and Sub-Category]])-1)</f>
        <v>music</v>
      </c>
      <c r="V1401" t="str">
        <f>RIGHT(Table1[[#This Row],[Category and Sub-Category]],LEN(Table1[[#This Row],[Category and Sub-Category]])-FIND("/",Table1[[#This Row],[Category and Sub-Category]]))</f>
        <v>rock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 s="1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>((Table1[[#This Row],[deadline]]/60)/60/24)+DATE(1970,1,1)</f>
        <v>42533.229166666672</v>
      </c>
      <c r="K1402">
        <v>1462695073</v>
      </c>
      <c r="L1402" s="11">
        <f>((Table1[[#This Row],[launched_at]]/60)/60/24)+DATE(1970,1,1)</f>
        <v>42498.341122685189</v>
      </c>
      <c r="M1402">
        <f>MONTH(Table1[[#This Row],[Date Created Conversion]])</f>
        <v>5</v>
      </c>
      <c r="N1402">
        <f>YEAR(Table1[[#This Row],[Date Created Conversion]])</f>
        <v>2016</v>
      </c>
      <c r="O1402" t="b">
        <v>0</v>
      </c>
      <c r="P1402">
        <v>34</v>
      </c>
      <c r="Q1402" t="b">
        <v>1</v>
      </c>
      <c r="R1402" t="s">
        <v>8276</v>
      </c>
      <c r="S1402" s="6">
        <f>Table1[[#This Row],[pledged]]/Table1[[#This Row],[goal]]</f>
        <v>1.6742857142857144</v>
      </c>
      <c r="T1402" s="8">
        <f>IF(Table1[[#This Row],[pledged]]=0,"no backers",Table1[[#This Row],[pledged]]/Table1[[#This Row],[backers_count]])</f>
        <v>17.235294117647058</v>
      </c>
      <c r="U1402" t="str">
        <f>LEFT(Table1[[#This Row],[Category and Sub-Category]],FIND("/",Table1[[#This Row],[Category and Sub-Category]])-1)</f>
        <v>music</v>
      </c>
      <c r="V1402" t="str">
        <f>RIGHT(Table1[[#This Row],[Category and Sub-Category]],LEN(Table1[[#This Row],[Category and Sub-Category]])-FIND("/",Table1[[#This Row],[Category and Sub-Category]]))</f>
        <v>rock</v>
      </c>
    </row>
    <row r="1403" spans="1:22" ht="57.6" x14ac:dyDescent="0.3">
      <c r="A1403">
        <v>1401</v>
      </c>
      <c r="B1403" s="3" t="s">
        <v>1402</v>
      </c>
      <c r="C1403" s="3" t="s">
        <v>5511</v>
      </c>
      <c r="D1403" s="12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>((Table1[[#This Row],[deadline]]/60)/60/24)+DATE(1970,1,1)</f>
        <v>41420.99622685185</v>
      </c>
      <c r="K1403">
        <v>1367798074</v>
      </c>
      <c r="L1403" s="11">
        <f>((Table1[[#This Row],[launched_at]]/60)/60/24)+DATE(1970,1,1)</f>
        <v>41399.99622685185</v>
      </c>
      <c r="M1403">
        <f>MONTH(Table1[[#This Row],[Date Created Conversion]])</f>
        <v>5</v>
      </c>
      <c r="N1403">
        <f>YEAR(Table1[[#This Row],[Date Created Conversion]])</f>
        <v>2013</v>
      </c>
      <c r="O1403" t="b">
        <v>0</v>
      </c>
      <c r="P1403">
        <v>240</v>
      </c>
      <c r="Q1403" t="b">
        <v>1</v>
      </c>
      <c r="R1403" t="s">
        <v>8276</v>
      </c>
      <c r="S1403" s="6">
        <f>Table1[[#This Row],[pledged]]/Table1[[#This Row],[goal]]</f>
        <v>4.9652000000000003</v>
      </c>
      <c r="T1403" s="8">
        <f>IF(Table1[[#This Row],[pledged]]=0,"no backers",Table1[[#This Row],[pledged]]/Table1[[#This Row],[backers_count]])</f>
        <v>51.720833333333331</v>
      </c>
      <c r="U1403" t="str">
        <f>LEFT(Table1[[#This Row],[Category and Sub-Category]],FIND("/",Table1[[#This Row],[Category and Sub-Category]])-1)</f>
        <v>music</v>
      </c>
      <c r="V1403" t="str">
        <f>RIGHT(Table1[[#This Row],[Category and Sub-Category]],LEN(Table1[[#This Row],[Category and Sub-Category]])-FIND("/",Table1[[#This Row],[Category and Sub-Category]]))</f>
        <v>rock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 s="12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>((Table1[[#This Row],[deadline]]/60)/60/24)+DATE(1970,1,1)</f>
        <v>42125.011701388896</v>
      </c>
      <c r="K1404">
        <v>1425259011</v>
      </c>
      <c r="L1404" s="11">
        <f>((Table1[[#This Row],[launched_at]]/60)/60/24)+DATE(1970,1,1)</f>
        <v>42065.053368055553</v>
      </c>
      <c r="M1404">
        <f>MONTH(Table1[[#This Row],[Date Created Conversion]])</f>
        <v>3</v>
      </c>
      <c r="N1404">
        <f>YEAR(Table1[[#This Row],[Date Created Conversion]])</f>
        <v>2015</v>
      </c>
      <c r="O1404" t="b">
        <v>0</v>
      </c>
      <c r="P1404">
        <v>113</v>
      </c>
      <c r="Q1404" t="b">
        <v>1</v>
      </c>
      <c r="R1404" t="s">
        <v>8276</v>
      </c>
      <c r="S1404" s="6">
        <f>Table1[[#This Row],[pledged]]/Table1[[#This Row],[goal]]</f>
        <v>1.0915999999999999</v>
      </c>
      <c r="T1404" s="8">
        <f>IF(Table1[[#This Row],[pledged]]=0,"no backers",Table1[[#This Row],[pledged]]/Table1[[#This Row],[backers_count]])</f>
        <v>24.150442477876105</v>
      </c>
      <c r="U1404" t="str">
        <f>LEFT(Table1[[#This Row],[Category and Sub-Category]],FIND("/",Table1[[#This Row],[Category and Sub-Category]])-1)</f>
        <v>music</v>
      </c>
      <c r="V1404" t="str">
        <f>RIGHT(Table1[[#This Row],[Category and Sub-Category]],LEN(Table1[[#This Row],[Category and Sub-Category]])-FIND("/",Table1[[#This Row],[Category and Sub-Category]]))</f>
        <v>rock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 s="12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>((Table1[[#This Row],[deadline]]/60)/60/24)+DATE(1970,1,1)</f>
        <v>41481.062905092593</v>
      </c>
      <c r="K1405">
        <v>1372210235</v>
      </c>
      <c r="L1405" s="11">
        <f>((Table1[[#This Row],[launched_at]]/60)/60/24)+DATE(1970,1,1)</f>
        <v>41451.062905092593</v>
      </c>
      <c r="M1405">
        <f>MONTH(Table1[[#This Row],[Date Created Conversion]])</f>
        <v>6</v>
      </c>
      <c r="N1405">
        <f>YEAR(Table1[[#This Row],[Date Created Conversion]])</f>
        <v>2013</v>
      </c>
      <c r="O1405" t="b">
        <v>0</v>
      </c>
      <c r="P1405">
        <v>66</v>
      </c>
      <c r="Q1405" t="b">
        <v>1</v>
      </c>
      <c r="R1405" t="s">
        <v>8276</v>
      </c>
      <c r="S1405" s="6">
        <f>Table1[[#This Row],[pledged]]/Table1[[#This Row],[goal]]</f>
        <v>1.0257499999999999</v>
      </c>
      <c r="T1405" s="8">
        <f>IF(Table1[[#This Row],[pledged]]=0,"no backers",Table1[[#This Row],[pledged]]/Table1[[#This Row],[backers_count]])</f>
        <v>62.166666666666664</v>
      </c>
      <c r="U1405" t="str">
        <f>LEFT(Table1[[#This Row],[Category and Sub-Category]],FIND("/",Table1[[#This Row],[Category and Sub-Category]])-1)</f>
        <v>music</v>
      </c>
      <c r="V1405" t="str">
        <f>RIGHT(Table1[[#This Row],[Category and Sub-Category]],LEN(Table1[[#This Row],[Category and Sub-Category]])-FIND("/",Table1[[#This Row],[Category and Sub-Category]]))</f>
        <v>rock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 s="12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>((Table1[[#This Row],[deadline]]/60)/60/24)+DATE(1970,1,1)</f>
        <v>42057.510243055556</v>
      </c>
      <c r="K1406">
        <v>1422447285</v>
      </c>
      <c r="L1406" s="11">
        <f>((Table1[[#This Row],[launched_at]]/60)/60/24)+DATE(1970,1,1)</f>
        <v>42032.510243055556</v>
      </c>
      <c r="M1406">
        <f>MONTH(Table1[[#This Row],[Date Created Conversion]])</f>
        <v>1</v>
      </c>
      <c r="N1406">
        <f>YEAR(Table1[[#This Row],[Date Created Conversion]])</f>
        <v>2015</v>
      </c>
      <c r="O1406" t="b">
        <v>1</v>
      </c>
      <c r="P1406">
        <v>5</v>
      </c>
      <c r="Q1406" t="b">
        <v>0</v>
      </c>
      <c r="R1406" t="s">
        <v>8287</v>
      </c>
      <c r="S1406" s="6">
        <f>Table1[[#This Row],[pledged]]/Table1[[#This Row],[goal]]</f>
        <v>1.6620689655172414E-2</v>
      </c>
      <c r="T1406" s="8">
        <f>IF(Table1[[#This Row],[pledged]]=0,"no backers",Table1[[#This Row],[pledged]]/Table1[[#This Row],[backers_count]])</f>
        <v>48.2</v>
      </c>
      <c r="U1406" t="str">
        <f>LEFT(Table1[[#This Row],[Category and Sub-Category]],FIND("/",Table1[[#This Row],[Category and Sub-Category]])-1)</f>
        <v>publishing</v>
      </c>
      <c r="V1406" t="str">
        <f>RIGHT(Table1[[#This Row],[Category and Sub-Category]],LEN(Table1[[#This Row],[Category and Sub-Category]])-FIND("/",Table1[[#This Row],[Category and Sub-Category]]))</f>
        <v>translations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 s="12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>((Table1[[#This Row],[deadline]]/60)/60/24)+DATE(1970,1,1)</f>
        <v>41971.722233796296</v>
      </c>
      <c r="K1407">
        <v>1414599601</v>
      </c>
      <c r="L1407" s="11">
        <f>((Table1[[#This Row],[launched_at]]/60)/60/24)+DATE(1970,1,1)</f>
        <v>41941.680567129632</v>
      </c>
      <c r="M1407">
        <f>MONTH(Table1[[#This Row],[Date Created Conversion]])</f>
        <v>10</v>
      </c>
      <c r="N1407">
        <f>YEAR(Table1[[#This Row],[Date Created Conversion]])</f>
        <v>2014</v>
      </c>
      <c r="O1407" t="b">
        <v>1</v>
      </c>
      <c r="P1407">
        <v>17</v>
      </c>
      <c r="Q1407" t="b">
        <v>0</v>
      </c>
      <c r="R1407" t="s">
        <v>8287</v>
      </c>
      <c r="S1407" s="6">
        <f>Table1[[#This Row],[pledged]]/Table1[[#This Row],[goal]]</f>
        <v>4.1999999999999997E-3</v>
      </c>
      <c r="T1407" s="8">
        <f>IF(Table1[[#This Row],[pledged]]=0,"no backers",Table1[[#This Row],[pledged]]/Table1[[#This Row],[backers_count]])</f>
        <v>6.1764705882352944</v>
      </c>
      <c r="U1407" t="str">
        <f>LEFT(Table1[[#This Row],[Category and Sub-Category]],FIND("/",Table1[[#This Row],[Category and Sub-Category]])-1)</f>
        <v>publishing</v>
      </c>
      <c r="V1407" t="str">
        <f>RIGHT(Table1[[#This Row],[Category and Sub-Category]],LEN(Table1[[#This Row],[Category and Sub-Category]])-FIND("/",Table1[[#This Row],[Category and Sub-Category]]))</f>
        <v>translations</v>
      </c>
    </row>
    <row r="1408" spans="1:22" x14ac:dyDescent="0.3">
      <c r="A1408">
        <v>1406</v>
      </c>
      <c r="B1408" s="3" t="s">
        <v>1407</v>
      </c>
      <c r="C1408" s="3" t="s">
        <v>5516</v>
      </c>
      <c r="D1408" s="12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>((Table1[[#This Row],[deadline]]/60)/60/24)+DATE(1970,1,1)</f>
        <v>42350.416666666672</v>
      </c>
      <c r="K1408">
        <v>1445336607</v>
      </c>
      <c r="L1408" s="11">
        <f>((Table1[[#This Row],[launched_at]]/60)/60/24)+DATE(1970,1,1)</f>
        <v>42297.432951388888</v>
      </c>
      <c r="M1408">
        <f>MONTH(Table1[[#This Row],[Date Created Conversion]])</f>
        <v>10</v>
      </c>
      <c r="N1408">
        <f>YEAR(Table1[[#This Row],[Date Created Conversion]])</f>
        <v>2015</v>
      </c>
      <c r="O1408" t="b">
        <v>0</v>
      </c>
      <c r="P1408">
        <v>3</v>
      </c>
      <c r="Q1408" t="b">
        <v>0</v>
      </c>
      <c r="R1408" t="s">
        <v>8287</v>
      </c>
      <c r="S1408" s="6">
        <f>Table1[[#This Row],[pledged]]/Table1[[#This Row],[goal]]</f>
        <v>1.25E-3</v>
      </c>
      <c r="T1408" s="8">
        <f>IF(Table1[[#This Row],[pledged]]=0,"no backers",Table1[[#This Row],[pledged]]/Table1[[#This Row],[backers_count]])</f>
        <v>5</v>
      </c>
      <c r="U1408" t="str">
        <f>LEFT(Table1[[#This Row],[Category and Sub-Category]],FIND("/",Table1[[#This Row],[Category and Sub-Category]])-1)</f>
        <v>publishing</v>
      </c>
      <c r="V1408" t="str">
        <f>RIGHT(Table1[[#This Row],[Category and Sub-Category]],LEN(Table1[[#This Row],[Category and Sub-Category]])-FIND("/",Table1[[#This Row],[Category and Sub-Category]]))</f>
        <v>translations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 s="12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>((Table1[[#This Row],[deadline]]/60)/60/24)+DATE(1970,1,1)</f>
        <v>41863.536782407406</v>
      </c>
      <c r="K1409">
        <v>1405687978</v>
      </c>
      <c r="L1409" s="11">
        <f>((Table1[[#This Row],[launched_at]]/60)/60/24)+DATE(1970,1,1)</f>
        <v>41838.536782407406</v>
      </c>
      <c r="M1409">
        <f>MONTH(Table1[[#This Row],[Date Created Conversion]])</f>
        <v>7</v>
      </c>
      <c r="N1409">
        <f>YEAR(Table1[[#This Row],[Date Created Conversion]])</f>
        <v>2014</v>
      </c>
      <c r="O1409" t="b">
        <v>0</v>
      </c>
      <c r="P1409">
        <v>2</v>
      </c>
      <c r="Q1409" t="b">
        <v>0</v>
      </c>
      <c r="R1409" t="s">
        <v>8287</v>
      </c>
      <c r="S1409" s="6">
        <f>Table1[[#This Row],[pledged]]/Table1[[#This Row],[goal]]</f>
        <v>5.0000000000000001E-3</v>
      </c>
      <c r="T1409" s="8">
        <f>IF(Table1[[#This Row],[pledged]]=0,"no backers",Table1[[#This Row],[pledged]]/Table1[[#This Row],[backers_count]])</f>
        <v>7.5</v>
      </c>
      <c r="U1409" t="str">
        <f>LEFT(Table1[[#This Row],[Category and Sub-Category]],FIND("/",Table1[[#This Row],[Category and Sub-Category]])-1)</f>
        <v>publishing</v>
      </c>
      <c r="V1409" t="str">
        <f>RIGHT(Table1[[#This Row],[Category and Sub-Category]],LEN(Table1[[#This Row],[Category and Sub-Category]])-FIND("/",Table1[[#This Row],[Category and Sub-Category]]))</f>
        <v>translations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 s="12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>((Table1[[#This Row],[deadline]]/60)/60/24)+DATE(1970,1,1)</f>
        <v>42321.913842592592</v>
      </c>
      <c r="K1410">
        <v>1444856156</v>
      </c>
      <c r="L1410" s="11">
        <f>((Table1[[#This Row],[launched_at]]/60)/60/24)+DATE(1970,1,1)</f>
        <v>42291.872175925921</v>
      </c>
      <c r="M1410">
        <f>MONTH(Table1[[#This Row],[Date Created Conversion]])</f>
        <v>10</v>
      </c>
      <c r="N1410">
        <f>YEAR(Table1[[#This Row],[Date Created Conversion]])</f>
        <v>2015</v>
      </c>
      <c r="O1410" t="b">
        <v>0</v>
      </c>
      <c r="P1410">
        <v>6</v>
      </c>
      <c r="Q1410" t="b">
        <v>0</v>
      </c>
      <c r="R1410" t="s">
        <v>8287</v>
      </c>
      <c r="S1410" s="6">
        <f>Table1[[#This Row],[pledged]]/Table1[[#This Row],[goal]]</f>
        <v>7.1999999999999995E-2</v>
      </c>
      <c r="T1410" s="8">
        <f>IF(Table1[[#This Row],[pledged]]=0,"no backers",Table1[[#This Row],[pledged]]/Table1[[#This Row],[backers_count]])</f>
        <v>12</v>
      </c>
      <c r="U1410" t="str">
        <f>LEFT(Table1[[#This Row],[Category and Sub-Category]],FIND("/",Table1[[#This Row],[Category and Sub-Category]])-1)</f>
        <v>publishing</v>
      </c>
      <c r="V1410" t="str">
        <f>RIGHT(Table1[[#This Row],[Category and Sub-Category]],LEN(Table1[[#This Row],[Category and Sub-Category]])-FIND("/",Table1[[#This Row],[Category and Sub-Category]]))</f>
        <v>translations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 s="12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>((Table1[[#This Row],[deadline]]/60)/60/24)+DATE(1970,1,1)</f>
        <v>42005.175173611111</v>
      </c>
      <c r="K1411">
        <v>1414897935</v>
      </c>
      <c r="L1411" s="11">
        <f>((Table1[[#This Row],[launched_at]]/60)/60/24)+DATE(1970,1,1)</f>
        <v>41945.133506944447</v>
      </c>
      <c r="M1411">
        <f>MONTH(Table1[[#This Row],[Date Created Conversion]])</f>
        <v>11</v>
      </c>
      <c r="N1411">
        <f>YEAR(Table1[[#This Row],[Date Created Conversion]])</f>
        <v>2014</v>
      </c>
      <c r="O1411" t="b">
        <v>0</v>
      </c>
      <c r="P1411">
        <v>0</v>
      </c>
      <c r="Q1411" t="b">
        <v>0</v>
      </c>
      <c r="R1411" t="s">
        <v>8287</v>
      </c>
      <c r="S1411" s="6">
        <f>Table1[[#This Row],[pledged]]/Table1[[#This Row],[goal]]</f>
        <v>0</v>
      </c>
      <c r="T1411" s="8" t="str">
        <f>IF(Table1[[#This Row],[pledged]]=0,"no backers",Table1[[#This Row],[pledged]]/Table1[[#This Row],[backers_count]])</f>
        <v>no backers</v>
      </c>
      <c r="U1411" t="str">
        <f>LEFT(Table1[[#This Row],[Category and Sub-Category]],FIND("/",Table1[[#This Row],[Category and Sub-Category]])-1)</f>
        <v>publishing</v>
      </c>
      <c r="V1411" t="str">
        <f>RIGHT(Table1[[#This Row],[Category and Sub-Category]],LEN(Table1[[#This Row],[Category and Sub-Category]])-FIND("/",Table1[[#This Row],[Category and Sub-Category]]))</f>
        <v>translations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 s="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>((Table1[[#This Row],[deadline]]/60)/60/24)+DATE(1970,1,1)</f>
        <v>42524.318518518514</v>
      </c>
      <c r="K1412">
        <v>1461051520</v>
      </c>
      <c r="L1412" s="11">
        <f>((Table1[[#This Row],[launched_at]]/60)/60/24)+DATE(1970,1,1)</f>
        <v>42479.318518518514</v>
      </c>
      <c r="M1412">
        <f>MONTH(Table1[[#This Row],[Date Created Conversion]])</f>
        <v>4</v>
      </c>
      <c r="N1412">
        <f>YEAR(Table1[[#This Row],[Date Created Conversion]])</f>
        <v>2016</v>
      </c>
      <c r="O1412" t="b">
        <v>0</v>
      </c>
      <c r="P1412">
        <v>1</v>
      </c>
      <c r="Q1412" t="b">
        <v>0</v>
      </c>
      <c r="R1412" t="s">
        <v>8287</v>
      </c>
      <c r="S1412" s="6">
        <f>Table1[[#This Row],[pledged]]/Table1[[#This Row],[goal]]</f>
        <v>1.6666666666666666E-4</v>
      </c>
      <c r="T1412" s="8">
        <f>IF(Table1[[#This Row],[pledged]]=0,"no backers",Table1[[#This Row],[pledged]]/Table1[[#This Row],[backers_count]])</f>
        <v>1</v>
      </c>
      <c r="U1412" t="str">
        <f>LEFT(Table1[[#This Row],[Category and Sub-Category]],FIND("/",Table1[[#This Row],[Category and Sub-Category]])-1)</f>
        <v>publishing</v>
      </c>
      <c r="V1412" t="str">
        <f>RIGHT(Table1[[#This Row],[Category and Sub-Category]],LEN(Table1[[#This Row],[Category and Sub-Category]])-FIND("/",Table1[[#This Row],[Category and Sub-Category]]))</f>
        <v>translations</v>
      </c>
    </row>
    <row r="1413" spans="1:22" ht="57.6" x14ac:dyDescent="0.3">
      <c r="A1413">
        <v>1411</v>
      </c>
      <c r="B1413" s="3" t="s">
        <v>1412</v>
      </c>
      <c r="C1413" s="3" t="s">
        <v>5521</v>
      </c>
      <c r="D1413" s="12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>((Table1[[#This Row],[deadline]]/60)/60/24)+DATE(1970,1,1)</f>
        <v>42041.059027777781</v>
      </c>
      <c r="K1413">
        <v>1420766700</v>
      </c>
      <c r="L1413" s="11">
        <f>((Table1[[#This Row],[launched_at]]/60)/60/24)+DATE(1970,1,1)</f>
        <v>42013.059027777781</v>
      </c>
      <c r="M1413">
        <f>MONTH(Table1[[#This Row],[Date Created Conversion]])</f>
        <v>1</v>
      </c>
      <c r="N1413">
        <f>YEAR(Table1[[#This Row],[Date Created Conversion]])</f>
        <v>2015</v>
      </c>
      <c r="O1413" t="b">
        <v>0</v>
      </c>
      <c r="P1413">
        <v>3</v>
      </c>
      <c r="Q1413" t="b">
        <v>0</v>
      </c>
      <c r="R1413" t="s">
        <v>8287</v>
      </c>
      <c r="S1413" s="6">
        <f>Table1[[#This Row],[pledged]]/Table1[[#This Row],[goal]]</f>
        <v>2.3333333333333335E-3</v>
      </c>
      <c r="T1413" s="8">
        <f>IF(Table1[[#This Row],[pledged]]=0,"no backers",Table1[[#This Row],[pledged]]/Table1[[#This Row],[backers_count]])</f>
        <v>2.3333333333333335</v>
      </c>
      <c r="U1413" t="str">
        <f>LEFT(Table1[[#This Row],[Category and Sub-Category]],FIND("/",Table1[[#This Row],[Category and Sub-Category]])-1)</f>
        <v>publishing</v>
      </c>
      <c r="V1413" t="str">
        <f>RIGHT(Table1[[#This Row],[Category and Sub-Category]],LEN(Table1[[#This Row],[Category and Sub-Category]])-FIND("/",Table1[[#This Row],[Category and Sub-Category]]))</f>
        <v>translations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 s="12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>((Table1[[#This Row],[deadline]]/60)/60/24)+DATE(1970,1,1)</f>
        <v>41977.063645833332</v>
      </c>
      <c r="K1414">
        <v>1415064699</v>
      </c>
      <c r="L1414" s="11">
        <f>((Table1[[#This Row],[launched_at]]/60)/60/24)+DATE(1970,1,1)</f>
        <v>41947.063645833332</v>
      </c>
      <c r="M1414">
        <f>MONTH(Table1[[#This Row],[Date Created Conversion]])</f>
        <v>11</v>
      </c>
      <c r="N1414">
        <f>YEAR(Table1[[#This Row],[Date Created Conversion]])</f>
        <v>2014</v>
      </c>
      <c r="O1414" t="b">
        <v>0</v>
      </c>
      <c r="P1414">
        <v>13</v>
      </c>
      <c r="Q1414" t="b">
        <v>0</v>
      </c>
      <c r="R1414" t="s">
        <v>8287</v>
      </c>
      <c r="S1414" s="6">
        <f>Table1[[#This Row],[pledged]]/Table1[[#This Row],[goal]]</f>
        <v>4.5714285714285714E-2</v>
      </c>
      <c r="T1414" s="8">
        <f>IF(Table1[[#This Row],[pledged]]=0,"no backers",Table1[[#This Row],[pledged]]/Table1[[#This Row],[backers_count]])</f>
        <v>24.615384615384617</v>
      </c>
      <c r="U1414" t="str">
        <f>LEFT(Table1[[#This Row],[Category and Sub-Category]],FIND("/",Table1[[#This Row],[Category and Sub-Category]])-1)</f>
        <v>publishing</v>
      </c>
      <c r="V1414" t="str">
        <f>RIGHT(Table1[[#This Row],[Category and Sub-Category]],LEN(Table1[[#This Row],[Category and Sub-Category]])-FIND("/",Table1[[#This Row],[Category and Sub-Category]]))</f>
        <v>translations</v>
      </c>
    </row>
    <row r="1415" spans="1:22" ht="57.6" x14ac:dyDescent="0.3">
      <c r="A1415">
        <v>1413</v>
      </c>
      <c r="B1415" s="3" t="s">
        <v>1414</v>
      </c>
      <c r="C1415" s="3" t="s">
        <v>5523</v>
      </c>
      <c r="D1415" s="12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>((Table1[[#This Row],[deadline]]/60)/60/24)+DATE(1970,1,1)</f>
        <v>42420.437152777777</v>
      </c>
      <c r="K1415">
        <v>1450780170</v>
      </c>
      <c r="L1415" s="11">
        <f>((Table1[[#This Row],[launched_at]]/60)/60/24)+DATE(1970,1,1)</f>
        <v>42360.437152777777</v>
      </c>
      <c r="M1415">
        <f>MONTH(Table1[[#This Row],[Date Created Conversion]])</f>
        <v>12</v>
      </c>
      <c r="N1415">
        <f>YEAR(Table1[[#This Row],[Date Created Conversion]])</f>
        <v>2015</v>
      </c>
      <c r="O1415" t="b">
        <v>0</v>
      </c>
      <c r="P1415">
        <v>1</v>
      </c>
      <c r="Q1415" t="b">
        <v>0</v>
      </c>
      <c r="R1415" t="s">
        <v>8287</v>
      </c>
      <c r="S1415" s="6">
        <f>Table1[[#This Row],[pledged]]/Table1[[#This Row],[goal]]</f>
        <v>0.05</v>
      </c>
      <c r="T1415" s="8">
        <f>IF(Table1[[#This Row],[pledged]]=0,"no backers",Table1[[#This Row],[pledged]]/Table1[[#This Row],[backers_count]])</f>
        <v>100</v>
      </c>
      <c r="U1415" t="str">
        <f>LEFT(Table1[[#This Row],[Category and Sub-Category]],FIND("/",Table1[[#This Row],[Category and Sub-Category]])-1)</f>
        <v>publishing</v>
      </c>
      <c r="V1415" t="str">
        <f>RIGHT(Table1[[#This Row],[Category and Sub-Category]],LEN(Table1[[#This Row],[Category and Sub-Category]])-FIND("/",Table1[[#This Row],[Category and Sub-Category]]))</f>
        <v>translations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 s="12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>((Table1[[#This Row],[deadline]]/60)/60/24)+DATE(1970,1,1)</f>
        <v>42738.25309027778</v>
      </c>
      <c r="K1416">
        <v>1480831467</v>
      </c>
      <c r="L1416" s="11">
        <f>((Table1[[#This Row],[launched_at]]/60)/60/24)+DATE(1970,1,1)</f>
        <v>42708.25309027778</v>
      </c>
      <c r="M1416">
        <f>MONTH(Table1[[#This Row],[Date Created Conversion]])</f>
        <v>12</v>
      </c>
      <c r="N1416">
        <f>YEAR(Table1[[#This Row],[Date Created Conversion]])</f>
        <v>2016</v>
      </c>
      <c r="O1416" t="b">
        <v>0</v>
      </c>
      <c r="P1416">
        <v>1</v>
      </c>
      <c r="Q1416" t="b">
        <v>0</v>
      </c>
      <c r="R1416" t="s">
        <v>8287</v>
      </c>
      <c r="S1416" s="6">
        <f>Table1[[#This Row],[pledged]]/Table1[[#This Row],[goal]]</f>
        <v>2E-3</v>
      </c>
      <c r="T1416" s="8">
        <f>IF(Table1[[#This Row],[pledged]]=0,"no backers",Table1[[#This Row],[pledged]]/Table1[[#This Row],[backers_count]])</f>
        <v>1</v>
      </c>
      <c r="U1416" t="str">
        <f>LEFT(Table1[[#This Row],[Category and Sub-Category]],FIND("/",Table1[[#This Row],[Category and Sub-Category]])-1)</f>
        <v>publishing</v>
      </c>
      <c r="V1416" t="str">
        <f>RIGHT(Table1[[#This Row],[Category and Sub-Category]],LEN(Table1[[#This Row],[Category and Sub-Category]])-FIND("/",Table1[[#This Row],[Category and Sub-Category]]))</f>
        <v>translations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 s="12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>((Table1[[#This Row],[deadline]]/60)/60/24)+DATE(1970,1,1)</f>
        <v>42232.675821759258</v>
      </c>
      <c r="K1417">
        <v>1436285591</v>
      </c>
      <c r="L1417" s="11">
        <f>((Table1[[#This Row],[launched_at]]/60)/60/24)+DATE(1970,1,1)</f>
        <v>42192.675821759258</v>
      </c>
      <c r="M1417">
        <f>MONTH(Table1[[#This Row],[Date Created Conversion]])</f>
        <v>7</v>
      </c>
      <c r="N1417">
        <f>YEAR(Table1[[#This Row],[Date Created Conversion]])</f>
        <v>2015</v>
      </c>
      <c r="O1417" t="b">
        <v>0</v>
      </c>
      <c r="P1417">
        <v>9</v>
      </c>
      <c r="Q1417" t="b">
        <v>0</v>
      </c>
      <c r="R1417" t="s">
        <v>8287</v>
      </c>
      <c r="S1417" s="6">
        <f>Table1[[#This Row],[pledged]]/Table1[[#This Row],[goal]]</f>
        <v>0.18181818181818182</v>
      </c>
      <c r="T1417" s="8">
        <f>IF(Table1[[#This Row],[pledged]]=0,"no backers",Table1[[#This Row],[pledged]]/Table1[[#This Row],[backers_count]])</f>
        <v>88.888888888888886</v>
      </c>
      <c r="U1417" t="str">
        <f>LEFT(Table1[[#This Row],[Category and Sub-Category]],FIND("/",Table1[[#This Row],[Category and Sub-Category]])-1)</f>
        <v>publishing</v>
      </c>
      <c r="V1417" t="str">
        <f>RIGHT(Table1[[#This Row],[Category and Sub-Category]],LEN(Table1[[#This Row],[Category and Sub-Category]])-FIND("/",Table1[[#This Row],[Category and Sub-Category]]))</f>
        <v>translations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 s="12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>((Table1[[#This Row],[deadline]]/60)/60/24)+DATE(1970,1,1)</f>
        <v>42329.967812499999</v>
      </c>
      <c r="K1418">
        <v>1445552019</v>
      </c>
      <c r="L1418" s="11">
        <f>((Table1[[#This Row],[launched_at]]/60)/60/24)+DATE(1970,1,1)</f>
        <v>42299.926145833335</v>
      </c>
      <c r="M1418">
        <f>MONTH(Table1[[#This Row],[Date Created Conversion]])</f>
        <v>10</v>
      </c>
      <c r="N1418">
        <f>YEAR(Table1[[#This Row],[Date Created Conversion]])</f>
        <v>2015</v>
      </c>
      <c r="O1418" t="b">
        <v>0</v>
      </c>
      <c r="P1418">
        <v>0</v>
      </c>
      <c r="Q1418" t="b">
        <v>0</v>
      </c>
      <c r="R1418" t="s">
        <v>8287</v>
      </c>
      <c r="S1418" s="6">
        <f>Table1[[#This Row],[pledged]]/Table1[[#This Row],[goal]]</f>
        <v>0</v>
      </c>
      <c r="T1418" s="8" t="str">
        <f>IF(Table1[[#This Row],[pledged]]=0,"no backers",Table1[[#This Row],[pledged]]/Table1[[#This Row],[backers_count]])</f>
        <v>no backers</v>
      </c>
      <c r="U1418" t="str">
        <f>LEFT(Table1[[#This Row],[Category and Sub-Category]],FIND("/",Table1[[#This Row],[Category and Sub-Category]])-1)</f>
        <v>publishing</v>
      </c>
      <c r="V1418" t="str">
        <f>RIGHT(Table1[[#This Row],[Category and Sub-Category]],LEN(Table1[[#This Row],[Category and Sub-Category]])-FIND("/",Table1[[#This Row],[Category and Sub-Category]]))</f>
        <v>translations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 s="12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>((Table1[[#This Row],[deadline]]/60)/60/24)+DATE(1970,1,1)</f>
        <v>42262.465972222228</v>
      </c>
      <c r="K1419">
        <v>1439696174</v>
      </c>
      <c r="L1419" s="11">
        <f>((Table1[[#This Row],[launched_at]]/60)/60/24)+DATE(1970,1,1)</f>
        <v>42232.15016203704</v>
      </c>
      <c r="M1419">
        <f>MONTH(Table1[[#This Row],[Date Created Conversion]])</f>
        <v>8</v>
      </c>
      <c r="N1419">
        <f>YEAR(Table1[[#This Row],[Date Created Conversion]])</f>
        <v>2015</v>
      </c>
      <c r="O1419" t="b">
        <v>0</v>
      </c>
      <c r="P1419">
        <v>2</v>
      </c>
      <c r="Q1419" t="b">
        <v>0</v>
      </c>
      <c r="R1419" t="s">
        <v>8287</v>
      </c>
      <c r="S1419" s="6">
        <f>Table1[[#This Row],[pledged]]/Table1[[#This Row],[goal]]</f>
        <v>1.2222222222222223E-2</v>
      </c>
      <c r="T1419" s="8">
        <f>IF(Table1[[#This Row],[pledged]]=0,"no backers",Table1[[#This Row],[pledged]]/Table1[[#This Row],[backers_count]])</f>
        <v>27.5</v>
      </c>
      <c r="U1419" t="str">
        <f>LEFT(Table1[[#This Row],[Category and Sub-Category]],FIND("/",Table1[[#This Row],[Category and Sub-Category]])-1)</f>
        <v>publishing</v>
      </c>
      <c r="V1419" t="str">
        <f>RIGHT(Table1[[#This Row],[Category and Sub-Category]],LEN(Table1[[#This Row],[Category and Sub-Category]])-FIND("/",Table1[[#This Row],[Category and Sub-Category]]))</f>
        <v>translations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 s="12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>((Table1[[#This Row],[deadline]]/60)/60/24)+DATE(1970,1,1)</f>
        <v>42425.456412037034</v>
      </c>
      <c r="K1420">
        <v>1453805834</v>
      </c>
      <c r="L1420" s="11">
        <f>((Table1[[#This Row],[launched_at]]/60)/60/24)+DATE(1970,1,1)</f>
        <v>42395.456412037034</v>
      </c>
      <c r="M1420">
        <f>MONTH(Table1[[#This Row],[Date Created Conversion]])</f>
        <v>1</v>
      </c>
      <c r="N1420">
        <f>YEAR(Table1[[#This Row],[Date Created Conversion]])</f>
        <v>2016</v>
      </c>
      <c r="O1420" t="b">
        <v>0</v>
      </c>
      <c r="P1420">
        <v>1</v>
      </c>
      <c r="Q1420" t="b">
        <v>0</v>
      </c>
      <c r="R1420" t="s">
        <v>8287</v>
      </c>
      <c r="S1420" s="6">
        <f>Table1[[#This Row],[pledged]]/Table1[[#This Row],[goal]]</f>
        <v>2E-3</v>
      </c>
      <c r="T1420" s="8">
        <f>IF(Table1[[#This Row],[pledged]]=0,"no backers",Table1[[#This Row],[pledged]]/Table1[[#This Row],[backers_count]])</f>
        <v>6</v>
      </c>
      <c r="U1420" t="str">
        <f>LEFT(Table1[[#This Row],[Category and Sub-Category]],FIND("/",Table1[[#This Row],[Category and Sub-Category]])-1)</f>
        <v>publishing</v>
      </c>
      <c r="V1420" t="str">
        <f>RIGHT(Table1[[#This Row],[Category and Sub-Category]],LEN(Table1[[#This Row],[Category and Sub-Category]])-FIND("/",Table1[[#This Row],[Category and Sub-Category]]))</f>
        <v>translations</v>
      </c>
    </row>
    <row r="1421" spans="1:22" ht="57.6" x14ac:dyDescent="0.3">
      <c r="A1421">
        <v>1419</v>
      </c>
      <c r="B1421" s="3" t="s">
        <v>1420</v>
      </c>
      <c r="C1421" s="3" t="s">
        <v>5529</v>
      </c>
      <c r="D1421" s="12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>((Table1[[#This Row],[deadline]]/60)/60/24)+DATE(1970,1,1)</f>
        <v>42652.456238425926</v>
      </c>
      <c r="K1421">
        <v>1473418619</v>
      </c>
      <c r="L1421" s="11">
        <f>((Table1[[#This Row],[launched_at]]/60)/60/24)+DATE(1970,1,1)</f>
        <v>42622.456238425926</v>
      </c>
      <c r="M1421">
        <f>MONTH(Table1[[#This Row],[Date Created Conversion]])</f>
        <v>9</v>
      </c>
      <c r="N1421">
        <f>YEAR(Table1[[#This Row],[Date Created Conversion]])</f>
        <v>2016</v>
      </c>
      <c r="O1421" t="b">
        <v>0</v>
      </c>
      <c r="P1421">
        <v>10</v>
      </c>
      <c r="Q1421" t="b">
        <v>0</v>
      </c>
      <c r="R1421" t="s">
        <v>8287</v>
      </c>
      <c r="S1421" s="6">
        <f>Table1[[#This Row],[pledged]]/Table1[[#This Row],[goal]]</f>
        <v>7.0634920634920634E-2</v>
      </c>
      <c r="T1421" s="8">
        <f>IF(Table1[[#This Row],[pledged]]=0,"no backers",Table1[[#This Row],[pledged]]/Table1[[#This Row],[backers_count]])</f>
        <v>44.5</v>
      </c>
      <c r="U1421" t="str">
        <f>LEFT(Table1[[#This Row],[Category and Sub-Category]],FIND("/",Table1[[#This Row],[Category and Sub-Category]])-1)</f>
        <v>publishing</v>
      </c>
      <c r="V1421" t="str">
        <f>RIGHT(Table1[[#This Row],[Category and Sub-Category]],LEN(Table1[[#This Row],[Category and Sub-Category]])-FIND("/",Table1[[#This Row],[Category and Sub-Category]]))</f>
        <v>translations</v>
      </c>
    </row>
    <row r="1422" spans="1:22" ht="28.8" x14ac:dyDescent="0.3">
      <c r="A1422">
        <v>1420</v>
      </c>
      <c r="B1422" s="3" t="s">
        <v>1421</v>
      </c>
      <c r="C1422" s="3" t="s">
        <v>5530</v>
      </c>
      <c r="D1422" s="1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>((Table1[[#This Row],[deadline]]/60)/60/24)+DATE(1970,1,1)</f>
        <v>42549.667662037042</v>
      </c>
      <c r="K1422">
        <v>1464969686</v>
      </c>
      <c r="L1422" s="11">
        <f>((Table1[[#This Row],[launched_at]]/60)/60/24)+DATE(1970,1,1)</f>
        <v>42524.667662037042</v>
      </c>
      <c r="M1422">
        <f>MONTH(Table1[[#This Row],[Date Created Conversion]])</f>
        <v>6</v>
      </c>
      <c r="N1422">
        <f>YEAR(Table1[[#This Row],[Date Created Conversion]])</f>
        <v>2016</v>
      </c>
      <c r="O1422" t="b">
        <v>0</v>
      </c>
      <c r="P1422">
        <v>3</v>
      </c>
      <c r="Q1422" t="b">
        <v>0</v>
      </c>
      <c r="R1422" t="s">
        <v>8287</v>
      </c>
      <c r="S1422" s="6">
        <f>Table1[[#This Row],[pledged]]/Table1[[#This Row],[goal]]</f>
        <v>2.7272727272727271E-2</v>
      </c>
      <c r="T1422" s="8">
        <f>IF(Table1[[#This Row],[pledged]]=0,"no backers",Table1[[#This Row],[pledged]]/Table1[[#This Row],[backers_count]])</f>
        <v>1</v>
      </c>
      <c r="U1422" t="str">
        <f>LEFT(Table1[[#This Row],[Category and Sub-Category]],FIND("/",Table1[[#This Row],[Category and Sub-Category]])-1)</f>
        <v>publishing</v>
      </c>
      <c r="V1422" t="str">
        <f>RIGHT(Table1[[#This Row],[Category and Sub-Category]],LEN(Table1[[#This Row],[Category and Sub-Category]])-FIND("/",Table1[[#This Row],[Category and Sub-Category]]))</f>
        <v>translations</v>
      </c>
    </row>
    <row r="1423" spans="1:22" ht="57.6" x14ac:dyDescent="0.3">
      <c r="A1423">
        <v>1421</v>
      </c>
      <c r="B1423" s="3" t="s">
        <v>1422</v>
      </c>
      <c r="C1423" s="3" t="s">
        <v>5531</v>
      </c>
      <c r="D1423" s="12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>((Table1[[#This Row],[deadline]]/60)/60/24)+DATE(1970,1,1)</f>
        <v>42043.915613425925</v>
      </c>
      <c r="K1423">
        <v>1420840709</v>
      </c>
      <c r="L1423" s="11">
        <f>((Table1[[#This Row],[launched_at]]/60)/60/24)+DATE(1970,1,1)</f>
        <v>42013.915613425925</v>
      </c>
      <c r="M1423">
        <f>MONTH(Table1[[#This Row],[Date Created Conversion]])</f>
        <v>1</v>
      </c>
      <c r="N1423">
        <f>YEAR(Table1[[#This Row],[Date Created Conversion]])</f>
        <v>2015</v>
      </c>
      <c r="O1423" t="b">
        <v>0</v>
      </c>
      <c r="P1423">
        <v>2</v>
      </c>
      <c r="Q1423" t="b">
        <v>0</v>
      </c>
      <c r="R1423" t="s">
        <v>8287</v>
      </c>
      <c r="S1423" s="6">
        <f>Table1[[#This Row],[pledged]]/Table1[[#This Row],[goal]]</f>
        <v>1E-3</v>
      </c>
      <c r="T1423" s="8">
        <f>IF(Table1[[#This Row],[pledged]]=0,"no backers",Table1[[#This Row],[pledged]]/Table1[[#This Row],[backers_count]])</f>
        <v>100</v>
      </c>
      <c r="U1423" t="str">
        <f>LEFT(Table1[[#This Row],[Category and Sub-Category]],FIND("/",Table1[[#This Row],[Category and Sub-Category]])-1)</f>
        <v>publishing</v>
      </c>
      <c r="V1423" t="str">
        <f>RIGHT(Table1[[#This Row],[Category and Sub-Category]],LEN(Table1[[#This Row],[Category and Sub-Category]])-FIND("/",Table1[[#This Row],[Category and Sub-Category]]))</f>
        <v>translations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 s="12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>((Table1[[#This Row],[deadline]]/60)/60/24)+DATE(1970,1,1)</f>
        <v>42634.239629629628</v>
      </c>
      <c r="K1424">
        <v>1471844704</v>
      </c>
      <c r="L1424" s="11">
        <f>((Table1[[#This Row],[launched_at]]/60)/60/24)+DATE(1970,1,1)</f>
        <v>42604.239629629628</v>
      </c>
      <c r="M1424">
        <f>MONTH(Table1[[#This Row],[Date Created Conversion]])</f>
        <v>8</v>
      </c>
      <c r="N1424">
        <f>YEAR(Table1[[#This Row],[Date Created Conversion]])</f>
        <v>2016</v>
      </c>
      <c r="O1424" t="b">
        <v>0</v>
      </c>
      <c r="P1424">
        <v>2</v>
      </c>
      <c r="Q1424" t="b">
        <v>0</v>
      </c>
      <c r="R1424" t="s">
        <v>8287</v>
      </c>
      <c r="S1424" s="6">
        <f>Table1[[#This Row],[pledged]]/Table1[[#This Row],[goal]]</f>
        <v>1.0399999999999999E-3</v>
      </c>
      <c r="T1424" s="8">
        <f>IF(Table1[[#This Row],[pledged]]=0,"no backers",Table1[[#This Row],[pledged]]/Table1[[#This Row],[backers_count]])</f>
        <v>13</v>
      </c>
      <c r="U1424" t="str">
        <f>LEFT(Table1[[#This Row],[Category and Sub-Category]],FIND("/",Table1[[#This Row],[Category and Sub-Category]])-1)</f>
        <v>publishing</v>
      </c>
      <c r="V1424" t="str">
        <f>RIGHT(Table1[[#This Row],[Category and Sub-Category]],LEN(Table1[[#This Row],[Category and Sub-Category]])-FIND("/",Table1[[#This Row],[Category and Sub-Category]]))</f>
        <v>translations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 s="12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>((Table1[[#This Row],[deadline]]/60)/60/24)+DATE(1970,1,1)</f>
        <v>42370.360312500001</v>
      </c>
      <c r="K1425">
        <v>1449045531</v>
      </c>
      <c r="L1425" s="11">
        <f>((Table1[[#This Row],[launched_at]]/60)/60/24)+DATE(1970,1,1)</f>
        <v>42340.360312500001</v>
      </c>
      <c r="M1425">
        <f>MONTH(Table1[[#This Row],[Date Created Conversion]])</f>
        <v>12</v>
      </c>
      <c r="N1425">
        <f>YEAR(Table1[[#This Row],[Date Created Conversion]])</f>
        <v>2015</v>
      </c>
      <c r="O1425" t="b">
        <v>0</v>
      </c>
      <c r="P1425">
        <v>1</v>
      </c>
      <c r="Q1425" t="b">
        <v>0</v>
      </c>
      <c r="R1425" t="s">
        <v>8287</v>
      </c>
      <c r="S1425" s="6">
        <f>Table1[[#This Row],[pledged]]/Table1[[#This Row],[goal]]</f>
        <v>3.3333333333333335E-3</v>
      </c>
      <c r="T1425" s="8">
        <f>IF(Table1[[#This Row],[pledged]]=0,"no backers",Table1[[#This Row],[pledged]]/Table1[[#This Row],[backers_count]])</f>
        <v>100</v>
      </c>
      <c r="U1425" t="str">
        <f>LEFT(Table1[[#This Row],[Category and Sub-Category]],FIND("/",Table1[[#This Row],[Category and Sub-Category]])-1)</f>
        <v>publishing</v>
      </c>
      <c r="V1425" t="str">
        <f>RIGHT(Table1[[#This Row],[Category and Sub-Category]],LEN(Table1[[#This Row],[Category and Sub-Category]])-FIND("/",Table1[[#This Row],[Category and Sub-Category]]))</f>
        <v>translations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 s="12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>((Table1[[#This Row],[deadline]]/60)/60/24)+DATE(1970,1,1)</f>
        <v>42689.759282407409</v>
      </c>
      <c r="K1426">
        <v>1478106802</v>
      </c>
      <c r="L1426" s="11">
        <f>((Table1[[#This Row],[launched_at]]/60)/60/24)+DATE(1970,1,1)</f>
        <v>42676.717615740738</v>
      </c>
      <c r="M1426">
        <f>MONTH(Table1[[#This Row],[Date Created Conversion]])</f>
        <v>11</v>
      </c>
      <c r="N1426">
        <f>YEAR(Table1[[#This Row],[Date Created Conversion]])</f>
        <v>2016</v>
      </c>
      <c r="O1426" t="b">
        <v>0</v>
      </c>
      <c r="P1426">
        <v>14</v>
      </c>
      <c r="Q1426" t="b">
        <v>0</v>
      </c>
      <c r="R1426" t="s">
        <v>8287</v>
      </c>
      <c r="S1426" s="6">
        <f>Table1[[#This Row],[pledged]]/Table1[[#This Row],[goal]]</f>
        <v>0.2036</v>
      </c>
      <c r="T1426" s="8">
        <f>IF(Table1[[#This Row],[pledged]]=0,"no backers",Table1[[#This Row],[pledged]]/Table1[[#This Row],[backers_count]])</f>
        <v>109.07142857142857</v>
      </c>
      <c r="U1426" t="str">
        <f>LEFT(Table1[[#This Row],[Category and Sub-Category]],FIND("/",Table1[[#This Row],[Category and Sub-Category]])-1)</f>
        <v>publishing</v>
      </c>
      <c r="V1426" t="str">
        <f>RIGHT(Table1[[#This Row],[Category and Sub-Category]],LEN(Table1[[#This Row],[Category and Sub-Category]])-FIND("/",Table1[[#This Row],[Category and Sub-Category]]))</f>
        <v>translations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 s="12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>((Table1[[#This Row],[deadline]]/60)/60/24)+DATE(1970,1,1)</f>
        <v>42123.131469907406</v>
      </c>
      <c r="K1427">
        <v>1427684959</v>
      </c>
      <c r="L1427" s="11">
        <f>((Table1[[#This Row],[launched_at]]/60)/60/24)+DATE(1970,1,1)</f>
        <v>42093.131469907406</v>
      </c>
      <c r="M1427">
        <f>MONTH(Table1[[#This Row],[Date Created Conversion]])</f>
        <v>3</v>
      </c>
      <c r="N1427">
        <f>YEAR(Table1[[#This Row],[Date Created Conversion]])</f>
        <v>2015</v>
      </c>
      <c r="O1427" t="b">
        <v>0</v>
      </c>
      <c r="P1427">
        <v>0</v>
      </c>
      <c r="Q1427" t="b">
        <v>0</v>
      </c>
      <c r="R1427" t="s">
        <v>8287</v>
      </c>
      <c r="S1427" s="6">
        <f>Table1[[#This Row],[pledged]]/Table1[[#This Row],[goal]]</f>
        <v>0</v>
      </c>
      <c r="T1427" s="8" t="str">
        <f>IF(Table1[[#This Row],[pledged]]=0,"no backers",Table1[[#This Row],[pledged]]/Table1[[#This Row],[backers_count]])</f>
        <v>no backers</v>
      </c>
      <c r="U1427" t="str">
        <f>LEFT(Table1[[#This Row],[Category and Sub-Category]],FIND("/",Table1[[#This Row],[Category and Sub-Category]])-1)</f>
        <v>publishing</v>
      </c>
      <c r="V1427" t="str">
        <f>RIGHT(Table1[[#This Row],[Category and Sub-Category]],LEN(Table1[[#This Row],[Category and Sub-Category]])-FIND("/",Table1[[#This Row],[Category and Sub-Category]]))</f>
        <v>translations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 s="12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>((Table1[[#This Row],[deadline]]/60)/60/24)+DATE(1970,1,1)</f>
        <v>42240.390277777777</v>
      </c>
      <c r="K1428">
        <v>1435224120</v>
      </c>
      <c r="L1428" s="11">
        <f>((Table1[[#This Row],[launched_at]]/60)/60/24)+DATE(1970,1,1)</f>
        <v>42180.390277777777</v>
      </c>
      <c r="M1428">
        <f>MONTH(Table1[[#This Row],[Date Created Conversion]])</f>
        <v>6</v>
      </c>
      <c r="N1428">
        <f>YEAR(Table1[[#This Row],[Date Created Conversion]])</f>
        <v>2015</v>
      </c>
      <c r="O1428" t="b">
        <v>0</v>
      </c>
      <c r="P1428">
        <v>0</v>
      </c>
      <c r="Q1428" t="b">
        <v>0</v>
      </c>
      <c r="R1428" t="s">
        <v>8287</v>
      </c>
      <c r="S1428" s="6">
        <f>Table1[[#This Row],[pledged]]/Table1[[#This Row],[goal]]</f>
        <v>0</v>
      </c>
      <c r="T1428" s="8" t="str">
        <f>IF(Table1[[#This Row],[pledged]]=0,"no backers",Table1[[#This Row],[pledged]]/Table1[[#This Row],[backers_count]])</f>
        <v>no backers</v>
      </c>
      <c r="U1428" t="str">
        <f>LEFT(Table1[[#This Row],[Category and Sub-Category]],FIND("/",Table1[[#This Row],[Category and Sub-Category]])-1)</f>
        <v>publishing</v>
      </c>
      <c r="V1428" t="str">
        <f>RIGHT(Table1[[#This Row],[Category and Sub-Category]],LEN(Table1[[#This Row],[Category and Sub-Category]])-FIND("/",Table1[[#This Row],[Category and Sub-Category]]))</f>
        <v>translations</v>
      </c>
    </row>
    <row r="1429" spans="1:22" ht="57.6" x14ac:dyDescent="0.3">
      <c r="A1429">
        <v>1427</v>
      </c>
      <c r="B1429" s="3" t="s">
        <v>1428</v>
      </c>
      <c r="C1429" s="3" t="s">
        <v>5537</v>
      </c>
      <c r="D1429" s="12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>((Table1[[#This Row],[deadline]]/60)/60/24)+DATE(1970,1,1)</f>
        <v>42631.851678240739</v>
      </c>
      <c r="K1429">
        <v>1471638385</v>
      </c>
      <c r="L1429" s="11">
        <f>((Table1[[#This Row],[launched_at]]/60)/60/24)+DATE(1970,1,1)</f>
        <v>42601.851678240739</v>
      </c>
      <c r="M1429">
        <f>MONTH(Table1[[#This Row],[Date Created Conversion]])</f>
        <v>8</v>
      </c>
      <c r="N1429">
        <f>YEAR(Table1[[#This Row],[Date Created Conversion]])</f>
        <v>2016</v>
      </c>
      <c r="O1429" t="b">
        <v>0</v>
      </c>
      <c r="P1429">
        <v>4</v>
      </c>
      <c r="Q1429" t="b">
        <v>0</v>
      </c>
      <c r="R1429" t="s">
        <v>8287</v>
      </c>
      <c r="S1429" s="6">
        <f>Table1[[#This Row],[pledged]]/Table1[[#This Row],[goal]]</f>
        <v>8.3799999999999999E-2</v>
      </c>
      <c r="T1429" s="8">
        <f>IF(Table1[[#This Row],[pledged]]=0,"no backers",Table1[[#This Row],[pledged]]/Table1[[#This Row],[backers_count]])</f>
        <v>104.75</v>
      </c>
      <c r="U1429" t="str">
        <f>LEFT(Table1[[#This Row],[Category and Sub-Category]],FIND("/",Table1[[#This Row],[Category and Sub-Category]])-1)</f>
        <v>publishing</v>
      </c>
      <c r="V1429" t="str">
        <f>RIGHT(Table1[[#This Row],[Category and Sub-Category]],LEN(Table1[[#This Row],[Category and Sub-Category]])-FIND("/",Table1[[#This Row],[Category and Sub-Category]]))</f>
        <v>translations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 s="12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>((Table1[[#This Row],[deadline]]/60)/60/24)+DATE(1970,1,1)</f>
        <v>42462.338159722218</v>
      </c>
      <c r="K1430">
        <v>1456996017</v>
      </c>
      <c r="L1430" s="11">
        <f>((Table1[[#This Row],[launched_at]]/60)/60/24)+DATE(1970,1,1)</f>
        <v>42432.379826388889</v>
      </c>
      <c r="M1430">
        <f>MONTH(Table1[[#This Row],[Date Created Conversion]])</f>
        <v>3</v>
      </c>
      <c r="N1430">
        <f>YEAR(Table1[[#This Row],[Date Created Conversion]])</f>
        <v>2016</v>
      </c>
      <c r="O1430" t="b">
        <v>0</v>
      </c>
      <c r="P1430">
        <v>3</v>
      </c>
      <c r="Q1430" t="b">
        <v>0</v>
      </c>
      <c r="R1430" t="s">
        <v>8287</v>
      </c>
      <c r="S1430" s="6">
        <f>Table1[[#This Row],[pledged]]/Table1[[#This Row],[goal]]</f>
        <v>4.4999999999999998E-2</v>
      </c>
      <c r="T1430" s="8">
        <f>IF(Table1[[#This Row],[pledged]]=0,"no backers",Table1[[#This Row],[pledged]]/Table1[[#This Row],[backers_count]])</f>
        <v>15</v>
      </c>
      <c r="U1430" t="str">
        <f>LEFT(Table1[[#This Row],[Category and Sub-Category]],FIND("/",Table1[[#This Row],[Category and Sub-Category]])-1)</f>
        <v>publishing</v>
      </c>
      <c r="V1430" t="str">
        <f>RIGHT(Table1[[#This Row],[Category and Sub-Category]],LEN(Table1[[#This Row],[Category and Sub-Category]])-FIND("/",Table1[[#This Row],[Category and Sub-Category]]))</f>
        <v>translations</v>
      </c>
    </row>
    <row r="1431" spans="1:22" ht="43.2" x14ac:dyDescent="0.3">
      <c r="A1431">
        <v>1429</v>
      </c>
      <c r="B1431" s="3" t="s">
        <v>1430</v>
      </c>
      <c r="C1431" s="3" t="s">
        <v>5539</v>
      </c>
      <c r="D1431" s="12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>((Table1[[#This Row],[deadline]]/60)/60/24)+DATE(1970,1,1)</f>
        <v>42104.060671296291</v>
      </c>
      <c r="K1431">
        <v>1426037242</v>
      </c>
      <c r="L1431" s="11">
        <f>((Table1[[#This Row],[launched_at]]/60)/60/24)+DATE(1970,1,1)</f>
        <v>42074.060671296291</v>
      </c>
      <c r="M1431">
        <f>MONTH(Table1[[#This Row],[Date Created Conversion]])</f>
        <v>3</v>
      </c>
      <c r="N1431">
        <f>YEAR(Table1[[#This Row],[Date Created Conversion]])</f>
        <v>2015</v>
      </c>
      <c r="O1431" t="b">
        <v>0</v>
      </c>
      <c r="P1431">
        <v>0</v>
      </c>
      <c r="Q1431" t="b">
        <v>0</v>
      </c>
      <c r="R1431" t="s">
        <v>8287</v>
      </c>
      <c r="S1431" s="6">
        <f>Table1[[#This Row],[pledged]]/Table1[[#This Row],[goal]]</f>
        <v>0</v>
      </c>
      <c r="T1431" s="8" t="str">
        <f>IF(Table1[[#This Row],[pledged]]=0,"no backers",Table1[[#This Row],[pledged]]/Table1[[#This Row],[backers_count]])</f>
        <v>no backers</v>
      </c>
      <c r="U1431" t="str">
        <f>LEFT(Table1[[#This Row],[Category and Sub-Category]],FIND("/",Table1[[#This Row],[Category and Sub-Category]])-1)</f>
        <v>publishing</v>
      </c>
      <c r="V1431" t="str">
        <f>RIGHT(Table1[[#This Row],[Category and Sub-Category]],LEN(Table1[[#This Row],[Category and Sub-Category]])-FIND("/",Table1[[#This Row],[Category and Sub-Category]]))</f>
        <v>translations</v>
      </c>
    </row>
    <row r="1432" spans="1:22" ht="43.2" x14ac:dyDescent="0.3">
      <c r="A1432">
        <v>1430</v>
      </c>
      <c r="B1432" s="3" t="s">
        <v>1431</v>
      </c>
      <c r="C1432" s="3" t="s">
        <v>5540</v>
      </c>
      <c r="D1432" s="1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>((Table1[[#This Row],[deadline]]/60)/60/24)+DATE(1970,1,1)</f>
        <v>41992.813518518517</v>
      </c>
      <c r="K1432">
        <v>1416339088</v>
      </c>
      <c r="L1432" s="11">
        <f>((Table1[[#This Row],[launched_at]]/60)/60/24)+DATE(1970,1,1)</f>
        <v>41961.813518518517</v>
      </c>
      <c r="M1432">
        <f>MONTH(Table1[[#This Row],[Date Created Conversion]])</f>
        <v>11</v>
      </c>
      <c r="N1432">
        <f>YEAR(Table1[[#This Row],[Date Created Conversion]])</f>
        <v>2014</v>
      </c>
      <c r="O1432" t="b">
        <v>0</v>
      </c>
      <c r="P1432">
        <v>5</v>
      </c>
      <c r="Q1432" t="b">
        <v>0</v>
      </c>
      <c r="R1432" t="s">
        <v>8287</v>
      </c>
      <c r="S1432" s="6">
        <f>Table1[[#This Row],[pledged]]/Table1[[#This Row],[goal]]</f>
        <v>8.0600000000000005E-2</v>
      </c>
      <c r="T1432" s="8">
        <f>IF(Table1[[#This Row],[pledged]]=0,"no backers",Table1[[#This Row],[pledged]]/Table1[[#This Row],[backers_count]])</f>
        <v>80.599999999999994</v>
      </c>
      <c r="U1432" t="str">
        <f>LEFT(Table1[[#This Row],[Category and Sub-Category]],FIND("/",Table1[[#This Row],[Category and Sub-Category]])-1)</f>
        <v>publishing</v>
      </c>
      <c r="V1432" t="str">
        <f>RIGHT(Table1[[#This Row],[Category and Sub-Category]],LEN(Table1[[#This Row],[Category and Sub-Category]])-FIND("/",Table1[[#This Row],[Category and Sub-Category]]))</f>
        <v>translations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 s="12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>((Table1[[#This Row],[deadline]]/60)/60/24)+DATE(1970,1,1)</f>
        <v>42334.252500000002</v>
      </c>
      <c r="K1433">
        <v>1445922216</v>
      </c>
      <c r="L1433" s="11">
        <f>((Table1[[#This Row],[launched_at]]/60)/60/24)+DATE(1970,1,1)</f>
        <v>42304.210833333331</v>
      </c>
      <c r="M1433">
        <f>MONTH(Table1[[#This Row],[Date Created Conversion]])</f>
        <v>10</v>
      </c>
      <c r="N1433">
        <f>YEAR(Table1[[#This Row],[Date Created Conversion]])</f>
        <v>2015</v>
      </c>
      <c r="O1433" t="b">
        <v>0</v>
      </c>
      <c r="P1433">
        <v>47</v>
      </c>
      <c r="Q1433" t="b">
        <v>0</v>
      </c>
      <c r="R1433" t="s">
        <v>8287</v>
      </c>
      <c r="S1433" s="6">
        <f>Table1[[#This Row],[pledged]]/Table1[[#This Row],[goal]]</f>
        <v>0.31947058823529412</v>
      </c>
      <c r="T1433" s="8">
        <f>IF(Table1[[#This Row],[pledged]]=0,"no backers",Table1[[#This Row],[pledged]]/Table1[[#This Row],[backers_count]])</f>
        <v>115.55319148936171</v>
      </c>
      <c r="U1433" t="str">
        <f>LEFT(Table1[[#This Row],[Category and Sub-Category]],FIND("/",Table1[[#This Row],[Category and Sub-Category]])-1)</f>
        <v>publishing</v>
      </c>
      <c r="V1433" t="str">
        <f>RIGHT(Table1[[#This Row],[Category and Sub-Category]],LEN(Table1[[#This Row],[Category and Sub-Category]])-FIND("/",Table1[[#This Row],[Category and Sub-Category]]))</f>
        <v>translations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 s="12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>((Table1[[#This Row],[deadline]]/60)/60/24)+DATE(1970,1,1)</f>
        <v>42205.780416666668</v>
      </c>
      <c r="K1434">
        <v>1434825828</v>
      </c>
      <c r="L1434" s="11">
        <f>((Table1[[#This Row],[launched_at]]/60)/60/24)+DATE(1970,1,1)</f>
        <v>42175.780416666668</v>
      </c>
      <c r="M1434">
        <f>MONTH(Table1[[#This Row],[Date Created Conversion]])</f>
        <v>6</v>
      </c>
      <c r="N1434">
        <f>YEAR(Table1[[#This Row],[Date Created Conversion]])</f>
        <v>2015</v>
      </c>
      <c r="O1434" t="b">
        <v>0</v>
      </c>
      <c r="P1434">
        <v>0</v>
      </c>
      <c r="Q1434" t="b">
        <v>0</v>
      </c>
      <c r="R1434" t="s">
        <v>8287</v>
      </c>
      <c r="S1434" s="6">
        <f>Table1[[#This Row],[pledged]]/Table1[[#This Row],[goal]]</f>
        <v>0</v>
      </c>
      <c r="T1434" s="8" t="str">
        <f>IF(Table1[[#This Row],[pledged]]=0,"no backers",Table1[[#This Row],[pledged]]/Table1[[#This Row],[backers_count]])</f>
        <v>no backers</v>
      </c>
      <c r="U1434" t="str">
        <f>LEFT(Table1[[#This Row],[Category and Sub-Category]],FIND("/",Table1[[#This Row],[Category and Sub-Category]])-1)</f>
        <v>publishing</v>
      </c>
      <c r="V1434" t="str">
        <f>RIGHT(Table1[[#This Row],[Category and Sub-Category]],LEN(Table1[[#This Row],[Category and Sub-Category]])-FIND("/",Table1[[#This Row],[Category and Sub-Category]]))</f>
        <v>translations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 s="12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>((Table1[[#This Row],[deadline]]/60)/60/24)+DATE(1970,1,1)</f>
        <v>42714.458333333328</v>
      </c>
      <c r="K1435">
        <v>1477839675</v>
      </c>
      <c r="L1435" s="11">
        <f>((Table1[[#This Row],[launched_at]]/60)/60/24)+DATE(1970,1,1)</f>
        <v>42673.625868055555</v>
      </c>
      <c r="M1435">
        <f>MONTH(Table1[[#This Row],[Date Created Conversion]])</f>
        <v>10</v>
      </c>
      <c r="N1435">
        <f>YEAR(Table1[[#This Row],[Date Created Conversion]])</f>
        <v>2016</v>
      </c>
      <c r="O1435" t="b">
        <v>0</v>
      </c>
      <c r="P1435">
        <v>10</v>
      </c>
      <c r="Q1435" t="b">
        <v>0</v>
      </c>
      <c r="R1435" t="s">
        <v>8287</v>
      </c>
      <c r="S1435" s="6">
        <f>Table1[[#This Row],[pledged]]/Table1[[#This Row],[goal]]</f>
        <v>6.7083333333333328E-2</v>
      </c>
      <c r="T1435" s="8">
        <f>IF(Table1[[#This Row],[pledged]]=0,"no backers",Table1[[#This Row],[pledged]]/Table1[[#This Row],[backers_count]])</f>
        <v>80.5</v>
      </c>
      <c r="U1435" t="str">
        <f>LEFT(Table1[[#This Row],[Category and Sub-Category]],FIND("/",Table1[[#This Row],[Category and Sub-Category]])-1)</f>
        <v>publishing</v>
      </c>
      <c r="V1435" t="str">
        <f>RIGHT(Table1[[#This Row],[Category and Sub-Category]],LEN(Table1[[#This Row],[Category and Sub-Category]])-FIND("/",Table1[[#This Row],[Category and Sub-Category]]))</f>
        <v>translations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 s="12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>((Table1[[#This Row],[deadline]]/60)/60/24)+DATE(1970,1,1)</f>
        <v>42163.625</v>
      </c>
      <c r="K1436">
        <v>1431973478</v>
      </c>
      <c r="L1436" s="11">
        <f>((Table1[[#This Row],[launched_at]]/60)/60/24)+DATE(1970,1,1)</f>
        <v>42142.767106481479</v>
      </c>
      <c r="M1436">
        <f>MONTH(Table1[[#This Row],[Date Created Conversion]])</f>
        <v>5</v>
      </c>
      <c r="N1436">
        <f>YEAR(Table1[[#This Row],[Date Created Conversion]])</f>
        <v>2015</v>
      </c>
      <c r="O1436" t="b">
        <v>0</v>
      </c>
      <c r="P1436">
        <v>11</v>
      </c>
      <c r="Q1436" t="b">
        <v>0</v>
      </c>
      <c r="R1436" t="s">
        <v>8287</v>
      </c>
      <c r="S1436" s="6">
        <f>Table1[[#This Row],[pledged]]/Table1[[#This Row],[goal]]</f>
        <v>9.987804878048781E-2</v>
      </c>
      <c r="T1436" s="8">
        <f>IF(Table1[[#This Row],[pledged]]=0,"no backers",Table1[[#This Row],[pledged]]/Table1[[#This Row],[backers_count]])</f>
        <v>744.5454545454545</v>
      </c>
      <c r="U1436" t="str">
        <f>LEFT(Table1[[#This Row],[Category and Sub-Category]],FIND("/",Table1[[#This Row],[Category and Sub-Category]])-1)</f>
        <v>publishing</v>
      </c>
      <c r="V1436" t="str">
        <f>RIGHT(Table1[[#This Row],[Category and Sub-Category]],LEN(Table1[[#This Row],[Category and Sub-Category]])-FIND("/",Table1[[#This Row],[Category and Sub-Category]]))</f>
        <v>translations</v>
      </c>
    </row>
    <row r="1437" spans="1:22" ht="43.2" x14ac:dyDescent="0.3">
      <c r="A1437">
        <v>1435</v>
      </c>
      <c r="B1437" s="3" t="s">
        <v>1436</v>
      </c>
      <c r="C1437" s="3" t="s">
        <v>5545</v>
      </c>
      <c r="D1437" s="12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>((Table1[[#This Row],[deadline]]/60)/60/24)+DATE(1970,1,1)</f>
        <v>42288.780324074076</v>
      </c>
      <c r="K1437">
        <v>1441997020</v>
      </c>
      <c r="L1437" s="11">
        <f>((Table1[[#This Row],[launched_at]]/60)/60/24)+DATE(1970,1,1)</f>
        <v>42258.780324074076</v>
      </c>
      <c r="M1437">
        <f>MONTH(Table1[[#This Row],[Date Created Conversion]])</f>
        <v>9</v>
      </c>
      <c r="N1437">
        <f>YEAR(Table1[[#This Row],[Date Created Conversion]])</f>
        <v>2015</v>
      </c>
      <c r="O1437" t="b">
        <v>0</v>
      </c>
      <c r="P1437">
        <v>2</v>
      </c>
      <c r="Q1437" t="b">
        <v>0</v>
      </c>
      <c r="R1437" t="s">
        <v>8287</v>
      </c>
      <c r="S1437" s="6">
        <f>Table1[[#This Row],[pledged]]/Table1[[#This Row],[goal]]</f>
        <v>1E-3</v>
      </c>
      <c r="T1437" s="8">
        <f>IF(Table1[[#This Row],[pledged]]=0,"no backers",Table1[[#This Row],[pledged]]/Table1[[#This Row],[backers_count]])</f>
        <v>7.5</v>
      </c>
      <c r="U1437" t="str">
        <f>LEFT(Table1[[#This Row],[Category and Sub-Category]],FIND("/",Table1[[#This Row],[Category and Sub-Category]])-1)</f>
        <v>publishing</v>
      </c>
      <c r="V1437" t="str">
        <f>RIGHT(Table1[[#This Row],[Category and Sub-Category]],LEN(Table1[[#This Row],[Category and Sub-Category]])-FIND("/",Table1[[#This Row],[Category and Sub-Category]]))</f>
        <v>translations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 s="12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>((Table1[[#This Row],[deadline]]/60)/60/24)+DATE(1970,1,1)</f>
        <v>42421.35019675926</v>
      </c>
      <c r="K1438">
        <v>1453451057</v>
      </c>
      <c r="L1438" s="11">
        <f>((Table1[[#This Row],[launched_at]]/60)/60/24)+DATE(1970,1,1)</f>
        <v>42391.35019675926</v>
      </c>
      <c r="M1438">
        <f>MONTH(Table1[[#This Row],[Date Created Conversion]])</f>
        <v>1</v>
      </c>
      <c r="N1438">
        <f>YEAR(Table1[[#This Row],[Date Created Conversion]])</f>
        <v>2016</v>
      </c>
      <c r="O1438" t="b">
        <v>0</v>
      </c>
      <c r="P1438">
        <v>2</v>
      </c>
      <c r="Q1438" t="b">
        <v>0</v>
      </c>
      <c r="R1438" t="s">
        <v>8287</v>
      </c>
      <c r="S1438" s="6">
        <f>Table1[[#This Row],[pledged]]/Table1[[#This Row],[goal]]</f>
        <v>7.7000000000000002E-3</v>
      </c>
      <c r="T1438" s="8">
        <f>IF(Table1[[#This Row],[pledged]]=0,"no backers",Table1[[#This Row],[pledged]]/Table1[[#This Row],[backers_count]])</f>
        <v>38.5</v>
      </c>
      <c r="U1438" t="str">
        <f>LEFT(Table1[[#This Row],[Category and Sub-Category]],FIND("/",Table1[[#This Row],[Category and Sub-Category]])-1)</f>
        <v>publishing</v>
      </c>
      <c r="V1438" t="str">
        <f>RIGHT(Table1[[#This Row],[Category and Sub-Category]],LEN(Table1[[#This Row],[Category and Sub-Category]])-FIND("/",Table1[[#This Row],[Category and Sub-Category]]))</f>
        <v>translations</v>
      </c>
    </row>
    <row r="1439" spans="1:22" ht="57.6" x14ac:dyDescent="0.3">
      <c r="A1439">
        <v>1437</v>
      </c>
      <c r="B1439" s="3" t="s">
        <v>1438</v>
      </c>
      <c r="C1439" s="3" t="s">
        <v>5547</v>
      </c>
      <c r="D1439" s="12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>((Table1[[#This Row],[deadline]]/60)/60/24)+DATE(1970,1,1)</f>
        <v>41833.207638888889</v>
      </c>
      <c r="K1439">
        <v>1402058739</v>
      </c>
      <c r="L1439" s="11">
        <f>((Table1[[#This Row],[launched_at]]/60)/60/24)+DATE(1970,1,1)</f>
        <v>41796.531701388885</v>
      </c>
      <c r="M1439">
        <f>MONTH(Table1[[#This Row],[Date Created Conversion]])</f>
        <v>6</v>
      </c>
      <c r="N1439">
        <f>YEAR(Table1[[#This Row],[Date Created Conversion]])</f>
        <v>2014</v>
      </c>
      <c r="O1439" t="b">
        <v>0</v>
      </c>
      <c r="P1439">
        <v>22</v>
      </c>
      <c r="Q1439" t="b">
        <v>0</v>
      </c>
      <c r="R1439" t="s">
        <v>8287</v>
      </c>
      <c r="S1439" s="6">
        <f>Table1[[#This Row],[pledged]]/Table1[[#This Row],[goal]]</f>
        <v>0.26900000000000002</v>
      </c>
      <c r="T1439" s="8">
        <f>IF(Table1[[#This Row],[pledged]]=0,"no backers",Table1[[#This Row],[pledged]]/Table1[[#This Row],[backers_count]])</f>
        <v>36.68181818181818</v>
      </c>
      <c r="U1439" t="str">
        <f>LEFT(Table1[[#This Row],[Category and Sub-Category]],FIND("/",Table1[[#This Row],[Category and Sub-Category]])-1)</f>
        <v>publishing</v>
      </c>
      <c r="V1439" t="str">
        <f>RIGHT(Table1[[#This Row],[Category and Sub-Category]],LEN(Table1[[#This Row],[Category and Sub-Category]])-FIND("/",Table1[[#This Row],[Category and Sub-Category]]))</f>
        <v>translations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 s="12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>((Table1[[#This Row],[deadline]]/60)/60/24)+DATE(1970,1,1)</f>
        <v>42487.579861111109</v>
      </c>
      <c r="K1440">
        <v>1459198499</v>
      </c>
      <c r="L1440" s="11">
        <f>((Table1[[#This Row],[launched_at]]/60)/60/24)+DATE(1970,1,1)</f>
        <v>42457.871516203704</v>
      </c>
      <c r="M1440">
        <f>MONTH(Table1[[#This Row],[Date Created Conversion]])</f>
        <v>3</v>
      </c>
      <c r="N1440">
        <f>YEAR(Table1[[#This Row],[Date Created Conversion]])</f>
        <v>2016</v>
      </c>
      <c r="O1440" t="b">
        <v>0</v>
      </c>
      <c r="P1440">
        <v>8</v>
      </c>
      <c r="Q1440" t="b">
        <v>0</v>
      </c>
      <c r="R1440" t="s">
        <v>8287</v>
      </c>
      <c r="S1440" s="6">
        <f>Table1[[#This Row],[pledged]]/Table1[[#This Row],[goal]]</f>
        <v>0.03</v>
      </c>
      <c r="T1440" s="8">
        <f>IF(Table1[[#This Row],[pledged]]=0,"no backers",Table1[[#This Row],[pledged]]/Table1[[#This Row],[backers_count]])</f>
        <v>75</v>
      </c>
      <c r="U1440" t="str">
        <f>LEFT(Table1[[#This Row],[Category and Sub-Category]],FIND("/",Table1[[#This Row],[Category and Sub-Category]])-1)</f>
        <v>publishing</v>
      </c>
      <c r="V1440" t="str">
        <f>RIGHT(Table1[[#This Row],[Category and Sub-Category]],LEN(Table1[[#This Row],[Category and Sub-Category]])-FIND("/",Table1[[#This Row],[Category and Sub-Category]]))</f>
        <v>translations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 s="12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>((Table1[[#This Row],[deadline]]/60)/60/24)+DATE(1970,1,1)</f>
        <v>42070.829872685179</v>
      </c>
      <c r="K1441">
        <v>1423166101</v>
      </c>
      <c r="L1441" s="11">
        <f>((Table1[[#This Row],[launched_at]]/60)/60/24)+DATE(1970,1,1)</f>
        <v>42040.829872685179</v>
      </c>
      <c r="M1441">
        <f>MONTH(Table1[[#This Row],[Date Created Conversion]])</f>
        <v>2</v>
      </c>
      <c r="N1441">
        <f>YEAR(Table1[[#This Row],[Date Created Conversion]])</f>
        <v>2015</v>
      </c>
      <c r="O1441" t="b">
        <v>0</v>
      </c>
      <c r="P1441">
        <v>6</v>
      </c>
      <c r="Q1441" t="b">
        <v>0</v>
      </c>
      <c r="R1441" t="s">
        <v>8287</v>
      </c>
      <c r="S1441" s="6">
        <f>Table1[[#This Row],[pledged]]/Table1[[#This Row],[goal]]</f>
        <v>6.6055045871559637E-2</v>
      </c>
      <c r="T1441" s="8">
        <f>IF(Table1[[#This Row],[pledged]]=0,"no backers",Table1[[#This Row],[pledged]]/Table1[[#This Row],[backers_count]])</f>
        <v>30</v>
      </c>
      <c r="U1441" t="str">
        <f>LEFT(Table1[[#This Row],[Category and Sub-Category]],FIND("/",Table1[[#This Row],[Category and Sub-Category]])-1)</f>
        <v>publishing</v>
      </c>
      <c r="V1441" t="str">
        <f>RIGHT(Table1[[#This Row],[Category and Sub-Category]],LEN(Table1[[#This Row],[Category and Sub-Category]])-FIND("/",Table1[[#This Row],[Category and Sub-Category]]))</f>
        <v>translations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 s="1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>((Table1[[#This Row],[deadline]]/60)/60/24)+DATE(1970,1,1)</f>
        <v>42516.748414351852</v>
      </c>
      <c r="K1442">
        <v>1461693463</v>
      </c>
      <c r="L1442" s="11">
        <f>((Table1[[#This Row],[launched_at]]/60)/60/24)+DATE(1970,1,1)</f>
        <v>42486.748414351852</v>
      </c>
      <c r="M1442">
        <f>MONTH(Table1[[#This Row],[Date Created Conversion]])</f>
        <v>4</v>
      </c>
      <c r="N1442">
        <f>YEAR(Table1[[#This Row],[Date Created Conversion]])</f>
        <v>2016</v>
      </c>
      <c r="O1442" t="b">
        <v>0</v>
      </c>
      <c r="P1442">
        <v>1</v>
      </c>
      <c r="Q1442" t="b">
        <v>0</v>
      </c>
      <c r="R1442" t="s">
        <v>8287</v>
      </c>
      <c r="S1442" s="6">
        <f>Table1[[#This Row],[pledged]]/Table1[[#This Row],[goal]]</f>
        <v>7.6923076923076926E-5</v>
      </c>
      <c r="T1442" s="8">
        <f>IF(Table1[[#This Row],[pledged]]=0,"no backers",Table1[[#This Row],[pledged]]/Table1[[#This Row],[backers_count]])</f>
        <v>1</v>
      </c>
      <c r="U1442" t="str">
        <f>LEFT(Table1[[#This Row],[Category and Sub-Category]],FIND("/",Table1[[#This Row],[Category and Sub-Category]])-1)</f>
        <v>publishing</v>
      </c>
      <c r="V1442" t="str">
        <f>RIGHT(Table1[[#This Row],[Category and Sub-Category]],LEN(Table1[[#This Row],[Category and Sub-Category]])-FIND("/",Table1[[#This Row],[Category and Sub-Category]]))</f>
        <v>translations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 s="12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>((Table1[[#This Row],[deadline]]/60)/60/24)+DATE(1970,1,1)</f>
        <v>42258.765844907408</v>
      </c>
      <c r="K1443">
        <v>1436811769</v>
      </c>
      <c r="L1443" s="11">
        <f>((Table1[[#This Row],[launched_at]]/60)/60/24)+DATE(1970,1,1)</f>
        <v>42198.765844907408</v>
      </c>
      <c r="M1443">
        <f>MONTH(Table1[[#This Row],[Date Created Conversion]])</f>
        <v>7</v>
      </c>
      <c r="N1443">
        <f>YEAR(Table1[[#This Row],[Date Created Conversion]])</f>
        <v>2015</v>
      </c>
      <c r="O1443" t="b">
        <v>0</v>
      </c>
      <c r="P1443">
        <v>3</v>
      </c>
      <c r="Q1443" t="b">
        <v>0</v>
      </c>
      <c r="R1443" t="s">
        <v>8287</v>
      </c>
      <c r="S1443" s="6">
        <f>Table1[[#This Row],[pledged]]/Table1[[#This Row],[goal]]</f>
        <v>1.1222222222222222E-2</v>
      </c>
      <c r="T1443" s="8">
        <f>IF(Table1[[#This Row],[pledged]]=0,"no backers",Table1[[#This Row],[pledged]]/Table1[[#This Row],[backers_count]])</f>
        <v>673.33333333333337</v>
      </c>
      <c r="U1443" t="str">
        <f>LEFT(Table1[[#This Row],[Category and Sub-Category]],FIND("/",Table1[[#This Row],[Category and Sub-Category]])-1)</f>
        <v>publishing</v>
      </c>
      <c r="V1443" t="str">
        <f>RIGHT(Table1[[#This Row],[Category and Sub-Category]],LEN(Table1[[#This Row],[Category and Sub-Category]])-FIND("/",Table1[[#This Row],[Category and Sub-Category]]))</f>
        <v>translations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 s="12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>((Table1[[#This Row],[deadline]]/60)/60/24)+DATE(1970,1,1)</f>
        <v>42515.64534722222</v>
      </c>
      <c r="K1444">
        <v>1461598158</v>
      </c>
      <c r="L1444" s="11">
        <f>((Table1[[#This Row],[launched_at]]/60)/60/24)+DATE(1970,1,1)</f>
        <v>42485.64534722222</v>
      </c>
      <c r="M1444">
        <f>MONTH(Table1[[#This Row],[Date Created Conversion]])</f>
        <v>4</v>
      </c>
      <c r="N1444">
        <f>YEAR(Table1[[#This Row],[Date Created Conversion]])</f>
        <v>2016</v>
      </c>
      <c r="O1444" t="b">
        <v>0</v>
      </c>
      <c r="P1444">
        <v>0</v>
      </c>
      <c r="Q1444" t="b">
        <v>0</v>
      </c>
      <c r="R1444" t="s">
        <v>8287</v>
      </c>
      <c r="S1444" s="6">
        <f>Table1[[#This Row],[pledged]]/Table1[[#This Row],[goal]]</f>
        <v>0</v>
      </c>
      <c r="T1444" s="8" t="str">
        <f>IF(Table1[[#This Row],[pledged]]=0,"no backers",Table1[[#This Row],[pledged]]/Table1[[#This Row],[backers_count]])</f>
        <v>no backers</v>
      </c>
      <c r="U1444" t="str">
        <f>LEFT(Table1[[#This Row],[Category and Sub-Category]],FIND("/",Table1[[#This Row],[Category and Sub-Category]])-1)</f>
        <v>publishing</v>
      </c>
      <c r="V1444" t="str">
        <f>RIGHT(Table1[[#This Row],[Category and Sub-Category]],LEN(Table1[[#This Row],[Category and Sub-Category]])-FIND("/",Table1[[#This Row],[Category and Sub-Category]]))</f>
        <v>translations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 s="12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>((Table1[[#This Row],[deadline]]/60)/60/24)+DATE(1970,1,1)</f>
        <v>42737.926030092596</v>
      </c>
      <c r="K1445">
        <v>1480803209</v>
      </c>
      <c r="L1445" s="11">
        <f>((Table1[[#This Row],[launched_at]]/60)/60/24)+DATE(1970,1,1)</f>
        <v>42707.926030092596</v>
      </c>
      <c r="M1445">
        <f>MONTH(Table1[[#This Row],[Date Created Conversion]])</f>
        <v>12</v>
      </c>
      <c r="N1445">
        <f>YEAR(Table1[[#This Row],[Date Created Conversion]])</f>
        <v>2016</v>
      </c>
      <c r="O1445" t="b">
        <v>0</v>
      </c>
      <c r="P1445">
        <v>0</v>
      </c>
      <c r="Q1445" t="b">
        <v>0</v>
      </c>
      <c r="R1445" t="s">
        <v>8287</v>
      </c>
      <c r="S1445" s="6">
        <f>Table1[[#This Row],[pledged]]/Table1[[#This Row],[goal]]</f>
        <v>0</v>
      </c>
      <c r="T1445" s="8" t="str">
        <f>IF(Table1[[#This Row],[pledged]]=0,"no backers",Table1[[#This Row],[pledged]]/Table1[[#This Row],[backers_count]])</f>
        <v>no backers</v>
      </c>
      <c r="U1445" t="str">
        <f>LEFT(Table1[[#This Row],[Category and Sub-Category]],FIND("/",Table1[[#This Row],[Category and Sub-Category]])-1)</f>
        <v>publishing</v>
      </c>
      <c r="V1445" t="str">
        <f>RIGHT(Table1[[#This Row],[Category and Sub-Category]],LEN(Table1[[#This Row],[Category and Sub-Category]])-FIND("/",Table1[[#This Row],[Category and Sub-Category]]))</f>
        <v>translations</v>
      </c>
    </row>
    <row r="1446" spans="1:22" ht="43.2" x14ac:dyDescent="0.3">
      <c r="A1446">
        <v>1444</v>
      </c>
      <c r="B1446" s="3" t="s">
        <v>1445</v>
      </c>
      <c r="C1446" s="3" t="s">
        <v>5554</v>
      </c>
      <c r="D1446" s="12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>((Table1[[#This Row],[deadline]]/60)/60/24)+DATE(1970,1,1)</f>
        <v>42259.873402777783</v>
      </c>
      <c r="K1446">
        <v>1436907462</v>
      </c>
      <c r="L1446" s="11">
        <f>((Table1[[#This Row],[launched_at]]/60)/60/24)+DATE(1970,1,1)</f>
        <v>42199.873402777783</v>
      </c>
      <c r="M1446">
        <f>MONTH(Table1[[#This Row],[Date Created Conversion]])</f>
        <v>7</v>
      </c>
      <c r="N1446">
        <f>YEAR(Table1[[#This Row],[Date Created Conversion]])</f>
        <v>2015</v>
      </c>
      <c r="O1446" t="b">
        <v>0</v>
      </c>
      <c r="P1446">
        <v>0</v>
      </c>
      <c r="Q1446" t="b">
        <v>0</v>
      </c>
      <c r="R1446" t="s">
        <v>8287</v>
      </c>
      <c r="S1446" s="6">
        <f>Table1[[#This Row],[pledged]]/Table1[[#This Row],[goal]]</f>
        <v>0</v>
      </c>
      <c r="T1446" s="8" t="str">
        <f>IF(Table1[[#This Row],[pledged]]=0,"no backers",Table1[[#This Row],[pledged]]/Table1[[#This Row],[backers_count]])</f>
        <v>no backers</v>
      </c>
      <c r="U1446" t="str">
        <f>LEFT(Table1[[#This Row],[Category and Sub-Category]],FIND("/",Table1[[#This Row],[Category and Sub-Category]])-1)</f>
        <v>publishing</v>
      </c>
      <c r="V1446" t="str">
        <f>RIGHT(Table1[[#This Row],[Category and Sub-Category]],LEN(Table1[[#This Row],[Category and Sub-Category]])-FIND("/",Table1[[#This Row],[Category and Sub-Category]]))</f>
        <v>translations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 s="12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>((Table1[[#This Row],[deadline]]/60)/60/24)+DATE(1970,1,1)</f>
        <v>42169.542303240742</v>
      </c>
      <c r="K1447">
        <v>1431694855</v>
      </c>
      <c r="L1447" s="11">
        <f>((Table1[[#This Row],[launched_at]]/60)/60/24)+DATE(1970,1,1)</f>
        <v>42139.542303240742</v>
      </c>
      <c r="M1447">
        <f>MONTH(Table1[[#This Row],[Date Created Conversion]])</f>
        <v>5</v>
      </c>
      <c r="N1447">
        <f>YEAR(Table1[[#This Row],[Date Created Conversion]])</f>
        <v>2015</v>
      </c>
      <c r="O1447" t="b">
        <v>0</v>
      </c>
      <c r="P1447">
        <v>0</v>
      </c>
      <c r="Q1447" t="b">
        <v>0</v>
      </c>
      <c r="R1447" t="s">
        <v>8287</v>
      </c>
      <c r="S1447" s="6">
        <f>Table1[[#This Row],[pledged]]/Table1[[#This Row],[goal]]</f>
        <v>0</v>
      </c>
      <c r="T1447" s="8" t="str">
        <f>IF(Table1[[#This Row],[pledged]]=0,"no backers",Table1[[#This Row],[pledged]]/Table1[[#This Row],[backers_count]])</f>
        <v>no backers</v>
      </c>
      <c r="U1447" t="str">
        <f>LEFT(Table1[[#This Row],[Category and Sub-Category]],FIND("/",Table1[[#This Row],[Category and Sub-Category]])-1)</f>
        <v>publishing</v>
      </c>
      <c r="V1447" t="str">
        <f>RIGHT(Table1[[#This Row],[Category and Sub-Category]],LEN(Table1[[#This Row],[Category and Sub-Category]])-FIND("/",Table1[[#This Row],[Category and Sub-Category]]))</f>
        <v>translations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 s="12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>((Table1[[#This Row],[deadline]]/60)/60/24)+DATE(1970,1,1)</f>
        <v>42481.447662037041</v>
      </c>
      <c r="K1448">
        <v>1459507478</v>
      </c>
      <c r="L1448" s="11">
        <f>((Table1[[#This Row],[launched_at]]/60)/60/24)+DATE(1970,1,1)</f>
        <v>42461.447662037041</v>
      </c>
      <c r="M1448">
        <f>MONTH(Table1[[#This Row],[Date Created Conversion]])</f>
        <v>4</v>
      </c>
      <c r="N1448">
        <f>YEAR(Table1[[#This Row],[Date Created Conversion]])</f>
        <v>2016</v>
      </c>
      <c r="O1448" t="b">
        <v>0</v>
      </c>
      <c r="P1448">
        <v>0</v>
      </c>
      <c r="Q1448" t="b">
        <v>0</v>
      </c>
      <c r="R1448" t="s">
        <v>8287</v>
      </c>
      <c r="S1448" s="6">
        <f>Table1[[#This Row],[pledged]]/Table1[[#This Row],[goal]]</f>
        <v>0</v>
      </c>
      <c r="T1448" s="8" t="str">
        <f>IF(Table1[[#This Row],[pledged]]=0,"no backers",Table1[[#This Row],[pledged]]/Table1[[#This Row],[backers_count]])</f>
        <v>no backers</v>
      </c>
      <c r="U1448" t="str">
        <f>LEFT(Table1[[#This Row],[Category and Sub-Category]],FIND("/",Table1[[#This Row],[Category and Sub-Category]])-1)</f>
        <v>publishing</v>
      </c>
      <c r="V1448" t="str">
        <f>RIGHT(Table1[[#This Row],[Category and Sub-Category]],LEN(Table1[[#This Row],[Category and Sub-Category]])-FIND("/",Table1[[#This Row],[Category and Sub-Category]]))</f>
        <v>translations</v>
      </c>
    </row>
    <row r="1449" spans="1:22" ht="28.8" x14ac:dyDescent="0.3">
      <c r="A1449">
        <v>1447</v>
      </c>
      <c r="B1449" s="3" t="s">
        <v>1448</v>
      </c>
      <c r="C1449" s="3" t="s">
        <v>5557</v>
      </c>
      <c r="D1449" s="12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>((Table1[[#This Row],[deadline]]/60)/60/24)+DATE(1970,1,1)</f>
        <v>42559.730717592596</v>
      </c>
      <c r="K1449">
        <v>1465407134</v>
      </c>
      <c r="L1449" s="11">
        <f>((Table1[[#This Row],[launched_at]]/60)/60/24)+DATE(1970,1,1)</f>
        <v>42529.730717592596</v>
      </c>
      <c r="M1449">
        <f>MONTH(Table1[[#This Row],[Date Created Conversion]])</f>
        <v>6</v>
      </c>
      <c r="N1449">
        <f>YEAR(Table1[[#This Row],[Date Created Conversion]])</f>
        <v>2016</v>
      </c>
      <c r="O1449" t="b">
        <v>0</v>
      </c>
      <c r="P1449">
        <v>3</v>
      </c>
      <c r="Q1449" t="b">
        <v>0</v>
      </c>
      <c r="R1449" t="s">
        <v>8287</v>
      </c>
      <c r="S1449" s="6">
        <f>Table1[[#This Row],[pledged]]/Table1[[#This Row],[goal]]</f>
        <v>1.4999999999999999E-4</v>
      </c>
      <c r="T1449" s="8">
        <f>IF(Table1[[#This Row],[pledged]]=0,"no backers",Table1[[#This Row],[pledged]]/Table1[[#This Row],[backers_count]])</f>
        <v>25</v>
      </c>
      <c r="U1449" t="str">
        <f>LEFT(Table1[[#This Row],[Category and Sub-Category]],FIND("/",Table1[[#This Row],[Category and Sub-Category]])-1)</f>
        <v>publishing</v>
      </c>
      <c r="V1449" t="str">
        <f>RIGHT(Table1[[#This Row],[Category and Sub-Category]],LEN(Table1[[#This Row],[Category and Sub-Category]])-FIND("/",Table1[[#This Row],[Category and Sub-Category]]))</f>
        <v>translations</v>
      </c>
    </row>
    <row r="1450" spans="1:22" ht="57.6" x14ac:dyDescent="0.3">
      <c r="A1450">
        <v>1448</v>
      </c>
      <c r="B1450" s="3" t="s">
        <v>1449</v>
      </c>
      <c r="C1450" s="3" t="s">
        <v>5558</v>
      </c>
      <c r="D1450" s="12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>((Table1[[#This Row],[deadline]]/60)/60/24)+DATE(1970,1,1)</f>
        <v>42146.225694444445</v>
      </c>
      <c r="K1450">
        <v>1429655318</v>
      </c>
      <c r="L1450" s="11">
        <f>((Table1[[#This Row],[launched_at]]/60)/60/24)+DATE(1970,1,1)</f>
        <v>42115.936550925922</v>
      </c>
      <c r="M1450">
        <f>MONTH(Table1[[#This Row],[Date Created Conversion]])</f>
        <v>4</v>
      </c>
      <c r="N1450">
        <f>YEAR(Table1[[#This Row],[Date Created Conversion]])</f>
        <v>2015</v>
      </c>
      <c r="O1450" t="b">
        <v>0</v>
      </c>
      <c r="P1450">
        <v>0</v>
      </c>
      <c r="Q1450" t="b">
        <v>0</v>
      </c>
      <c r="R1450" t="s">
        <v>8287</v>
      </c>
      <c r="S1450" s="6">
        <f>Table1[[#This Row],[pledged]]/Table1[[#This Row],[goal]]</f>
        <v>0</v>
      </c>
      <c r="T1450" s="8" t="str">
        <f>IF(Table1[[#This Row],[pledged]]=0,"no backers",Table1[[#This Row],[pledged]]/Table1[[#This Row],[backers_count]])</f>
        <v>no backers</v>
      </c>
      <c r="U1450" t="str">
        <f>LEFT(Table1[[#This Row],[Category and Sub-Category]],FIND("/",Table1[[#This Row],[Category and Sub-Category]])-1)</f>
        <v>publishing</v>
      </c>
      <c r="V1450" t="str">
        <f>RIGHT(Table1[[#This Row],[Category and Sub-Category]],LEN(Table1[[#This Row],[Category and Sub-Category]])-FIND("/",Table1[[#This Row],[Category and Sub-Category]]))</f>
        <v>translations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 s="12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>((Table1[[#This Row],[deadline]]/60)/60/24)+DATE(1970,1,1)</f>
        <v>42134.811400462961</v>
      </c>
      <c r="K1451">
        <v>1427138905</v>
      </c>
      <c r="L1451" s="11">
        <f>((Table1[[#This Row],[launched_at]]/60)/60/24)+DATE(1970,1,1)</f>
        <v>42086.811400462961</v>
      </c>
      <c r="M1451">
        <f>MONTH(Table1[[#This Row],[Date Created Conversion]])</f>
        <v>3</v>
      </c>
      <c r="N1451">
        <f>YEAR(Table1[[#This Row],[Date Created Conversion]])</f>
        <v>2015</v>
      </c>
      <c r="O1451" t="b">
        <v>0</v>
      </c>
      <c r="P1451">
        <v>0</v>
      </c>
      <c r="Q1451" t="b">
        <v>0</v>
      </c>
      <c r="R1451" t="s">
        <v>8287</v>
      </c>
      <c r="S1451" s="6">
        <f>Table1[[#This Row],[pledged]]/Table1[[#This Row],[goal]]</f>
        <v>0</v>
      </c>
      <c r="T1451" s="8" t="str">
        <f>IF(Table1[[#This Row],[pledged]]=0,"no backers",Table1[[#This Row],[pledged]]/Table1[[#This Row],[backers_count]])</f>
        <v>no backers</v>
      </c>
      <c r="U1451" t="str">
        <f>LEFT(Table1[[#This Row],[Category and Sub-Category]],FIND("/",Table1[[#This Row],[Category and Sub-Category]])-1)</f>
        <v>publishing</v>
      </c>
      <c r="V1451" t="str">
        <f>RIGHT(Table1[[#This Row],[Category and Sub-Category]],LEN(Table1[[#This Row],[Category and Sub-Category]])-FIND("/",Table1[[#This Row],[Category and Sub-Category]]))</f>
        <v>translations</v>
      </c>
    </row>
    <row r="1452" spans="1:22" ht="57.6" x14ac:dyDescent="0.3">
      <c r="A1452">
        <v>1450</v>
      </c>
      <c r="B1452" s="3" t="s">
        <v>1451</v>
      </c>
      <c r="C1452" s="3" t="s">
        <v>5560</v>
      </c>
      <c r="D1452" s="1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>((Table1[[#This Row],[deadline]]/60)/60/24)+DATE(1970,1,1)</f>
        <v>42420.171261574069</v>
      </c>
      <c r="K1452">
        <v>1453349197</v>
      </c>
      <c r="L1452" s="11">
        <f>((Table1[[#This Row],[launched_at]]/60)/60/24)+DATE(1970,1,1)</f>
        <v>42390.171261574069</v>
      </c>
      <c r="M1452">
        <f>MONTH(Table1[[#This Row],[Date Created Conversion]])</f>
        <v>1</v>
      </c>
      <c r="N1452">
        <f>YEAR(Table1[[#This Row],[Date Created Conversion]])</f>
        <v>2016</v>
      </c>
      <c r="O1452" t="b">
        <v>0</v>
      </c>
      <c r="P1452">
        <v>1</v>
      </c>
      <c r="Q1452" t="b">
        <v>0</v>
      </c>
      <c r="R1452" t="s">
        <v>8287</v>
      </c>
      <c r="S1452" s="6">
        <f>Table1[[#This Row],[pledged]]/Table1[[#This Row],[goal]]</f>
        <v>1.0000000000000001E-5</v>
      </c>
      <c r="T1452" s="8">
        <f>IF(Table1[[#This Row],[pledged]]=0,"no backers",Table1[[#This Row],[pledged]]/Table1[[#This Row],[backers_count]])</f>
        <v>1</v>
      </c>
      <c r="U1452" t="str">
        <f>LEFT(Table1[[#This Row],[Category and Sub-Category]],FIND("/",Table1[[#This Row],[Category and Sub-Category]])-1)</f>
        <v>publishing</v>
      </c>
      <c r="V1452" t="str">
        <f>RIGHT(Table1[[#This Row],[Category and Sub-Category]],LEN(Table1[[#This Row],[Category and Sub-Category]])-FIND("/",Table1[[#This Row],[Category and Sub-Category]]))</f>
        <v>translations</v>
      </c>
    </row>
    <row r="1453" spans="1:22" ht="43.2" x14ac:dyDescent="0.3">
      <c r="A1453">
        <v>1451</v>
      </c>
      <c r="B1453" s="3" t="s">
        <v>1452</v>
      </c>
      <c r="C1453" s="3" t="s">
        <v>5561</v>
      </c>
      <c r="D1453" s="12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>((Table1[[#This Row],[deadline]]/60)/60/24)+DATE(1970,1,1)</f>
        <v>41962.00068287037</v>
      </c>
      <c r="K1453">
        <v>1413759659</v>
      </c>
      <c r="L1453" s="11">
        <f>((Table1[[#This Row],[launched_at]]/60)/60/24)+DATE(1970,1,1)</f>
        <v>41931.959016203706</v>
      </c>
      <c r="M1453">
        <f>MONTH(Table1[[#This Row],[Date Created Conversion]])</f>
        <v>10</v>
      </c>
      <c r="N1453">
        <f>YEAR(Table1[[#This Row],[Date Created Conversion]])</f>
        <v>2014</v>
      </c>
      <c r="O1453" t="b">
        <v>0</v>
      </c>
      <c r="P1453">
        <v>2</v>
      </c>
      <c r="Q1453" t="b">
        <v>0</v>
      </c>
      <c r="R1453" t="s">
        <v>8287</v>
      </c>
      <c r="S1453" s="6">
        <f>Table1[[#This Row],[pledged]]/Table1[[#This Row],[goal]]</f>
        <v>1.0554089709762533E-4</v>
      </c>
      <c r="T1453" s="8">
        <f>IF(Table1[[#This Row],[pledged]]=0,"no backers",Table1[[#This Row],[pledged]]/Table1[[#This Row],[backers_count]])</f>
        <v>1</v>
      </c>
      <c r="U1453" t="str">
        <f>LEFT(Table1[[#This Row],[Category and Sub-Category]],FIND("/",Table1[[#This Row],[Category and Sub-Category]])-1)</f>
        <v>publishing</v>
      </c>
      <c r="V1453" t="str">
        <f>RIGHT(Table1[[#This Row],[Category and Sub-Category]],LEN(Table1[[#This Row],[Category and Sub-Category]])-FIND("/",Table1[[#This Row],[Category and Sub-Category]]))</f>
        <v>translations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 s="12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>((Table1[[#This Row],[deadline]]/60)/60/24)+DATE(1970,1,1)</f>
        <v>41848.703275462962</v>
      </c>
      <c r="K1454">
        <v>1403974363</v>
      </c>
      <c r="L1454" s="11">
        <f>((Table1[[#This Row],[launched_at]]/60)/60/24)+DATE(1970,1,1)</f>
        <v>41818.703275462962</v>
      </c>
      <c r="M1454">
        <f>MONTH(Table1[[#This Row],[Date Created Conversion]])</f>
        <v>6</v>
      </c>
      <c r="N1454">
        <f>YEAR(Table1[[#This Row],[Date Created Conversion]])</f>
        <v>2014</v>
      </c>
      <c r="O1454" t="b">
        <v>0</v>
      </c>
      <c r="P1454">
        <v>0</v>
      </c>
      <c r="Q1454" t="b">
        <v>0</v>
      </c>
      <c r="R1454" t="s">
        <v>8287</v>
      </c>
      <c r="S1454" s="6">
        <f>Table1[[#This Row],[pledged]]/Table1[[#This Row],[goal]]</f>
        <v>0</v>
      </c>
      <c r="T1454" s="8" t="str">
        <f>IF(Table1[[#This Row],[pledged]]=0,"no backers",Table1[[#This Row],[pledged]]/Table1[[#This Row],[backers_count]])</f>
        <v>no backers</v>
      </c>
      <c r="U1454" t="str">
        <f>LEFT(Table1[[#This Row],[Category and Sub-Category]],FIND("/",Table1[[#This Row],[Category and Sub-Category]])-1)</f>
        <v>publishing</v>
      </c>
      <c r="V1454" t="str">
        <f>RIGHT(Table1[[#This Row],[Category and Sub-Category]],LEN(Table1[[#This Row],[Category and Sub-Category]])-FIND("/",Table1[[#This Row],[Category and Sub-Category]]))</f>
        <v>translations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 s="12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>((Table1[[#This Row],[deadline]]/60)/60/24)+DATE(1970,1,1)</f>
        <v>42840.654479166667</v>
      </c>
      <c r="K1455">
        <v>1488386547</v>
      </c>
      <c r="L1455" s="11">
        <f>((Table1[[#This Row],[launched_at]]/60)/60/24)+DATE(1970,1,1)</f>
        <v>42795.696145833332</v>
      </c>
      <c r="M1455">
        <f>MONTH(Table1[[#This Row],[Date Created Conversion]])</f>
        <v>3</v>
      </c>
      <c r="N1455">
        <f>YEAR(Table1[[#This Row],[Date Created Conversion]])</f>
        <v>2017</v>
      </c>
      <c r="O1455" t="b">
        <v>0</v>
      </c>
      <c r="P1455">
        <v>0</v>
      </c>
      <c r="Q1455" t="b">
        <v>0</v>
      </c>
      <c r="R1455" t="s">
        <v>8287</v>
      </c>
      <c r="S1455" s="6">
        <f>Table1[[#This Row],[pledged]]/Table1[[#This Row],[goal]]</f>
        <v>0</v>
      </c>
      <c r="T1455" s="8" t="str">
        <f>IF(Table1[[#This Row],[pledged]]=0,"no backers",Table1[[#This Row],[pledged]]/Table1[[#This Row],[backers_count]])</f>
        <v>no backers</v>
      </c>
      <c r="U1455" t="str">
        <f>LEFT(Table1[[#This Row],[Category and Sub-Category]],FIND("/",Table1[[#This Row],[Category and Sub-Category]])-1)</f>
        <v>publishing</v>
      </c>
      <c r="V1455" t="str">
        <f>RIGHT(Table1[[#This Row],[Category and Sub-Category]],LEN(Table1[[#This Row],[Category and Sub-Category]])-FIND("/",Table1[[#This Row],[Category and Sub-Category]]))</f>
        <v>translations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 s="12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>((Table1[[#This Row],[deadline]]/60)/60/24)+DATE(1970,1,1)</f>
        <v>42484.915972222225</v>
      </c>
      <c r="K1456">
        <v>1459716480</v>
      </c>
      <c r="L1456" s="11">
        <f>((Table1[[#This Row],[launched_at]]/60)/60/24)+DATE(1970,1,1)</f>
        <v>42463.866666666669</v>
      </c>
      <c r="M1456">
        <f>MONTH(Table1[[#This Row],[Date Created Conversion]])</f>
        <v>4</v>
      </c>
      <c r="N1456">
        <f>YEAR(Table1[[#This Row],[Date Created Conversion]])</f>
        <v>2016</v>
      </c>
      <c r="O1456" t="b">
        <v>0</v>
      </c>
      <c r="P1456">
        <v>1</v>
      </c>
      <c r="Q1456" t="b">
        <v>0</v>
      </c>
      <c r="R1456" t="s">
        <v>8287</v>
      </c>
      <c r="S1456" s="6">
        <f>Table1[[#This Row],[pledged]]/Table1[[#This Row],[goal]]</f>
        <v>8.5714285714285719E-3</v>
      </c>
      <c r="T1456" s="8">
        <f>IF(Table1[[#This Row],[pledged]]=0,"no backers",Table1[[#This Row],[pledged]]/Table1[[#This Row],[backers_count]])</f>
        <v>15</v>
      </c>
      <c r="U1456" t="str">
        <f>LEFT(Table1[[#This Row],[Category and Sub-Category]],FIND("/",Table1[[#This Row],[Category and Sub-Category]])-1)</f>
        <v>publishing</v>
      </c>
      <c r="V1456" t="str">
        <f>RIGHT(Table1[[#This Row],[Category and Sub-Category]],LEN(Table1[[#This Row],[Category and Sub-Category]])-FIND("/",Table1[[#This Row],[Category and Sub-Category]]))</f>
        <v>translations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 s="12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>((Table1[[#This Row],[deadline]]/60)/60/24)+DATE(1970,1,1)</f>
        <v>41887.568749999999</v>
      </c>
      <c r="K1457">
        <v>1405181320</v>
      </c>
      <c r="L1457" s="11">
        <f>((Table1[[#This Row],[launched_at]]/60)/60/24)+DATE(1970,1,1)</f>
        <v>41832.672685185185</v>
      </c>
      <c r="M1457">
        <f>MONTH(Table1[[#This Row],[Date Created Conversion]])</f>
        <v>7</v>
      </c>
      <c r="N1457">
        <f>YEAR(Table1[[#This Row],[Date Created Conversion]])</f>
        <v>2014</v>
      </c>
      <c r="O1457" t="b">
        <v>0</v>
      </c>
      <c r="P1457">
        <v>7</v>
      </c>
      <c r="Q1457" t="b">
        <v>0</v>
      </c>
      <c r="R1457" t="s">
        <v>8287</v>
      </c>
      <c r="S1457" s="6">
        <f>Table1[[#This Row],[pledged]]/Table1[[#This Row],[goal]]</f>
        <v>0.105</v>
      </c>
      <c r="T1457" s="8">
        <f>IF(Table1[[#This Row],[pledged]]=0,"no backers",Table1[[#This Row],[pledged]]/Table1[[#This Row],[backers_count]])</f>
        <v>225</v>
      </c>
      <c r="U1457" t="str">
        <f>LEFT(Table1[[#This Row],[Category and Sub-Category]],FIND("/",Table1[[#This Row],[Category and Sub-Category]])-1)</f>
        <v>publishing</v>
      </c>
      <c r="V1457" t="str">
        <f>RIGHT(Table1[[#This Row],[Category and Sub-Category]],LEN(Table1[[#This Row],[Category and Sub-Category]])-FIND("/",Table1[[#This Row],[Category and Sub-Category]]))</f>
        <v>translations</v>
      </c>
    </row>
    <row r="1458" spans="1:22" x14ac:dyDescent="0.3">
      <c r="A1458">
        <v>1456</v>
      </c>
      <c r="B1458" s="3" t="s">
        <v>1457</v>
      </c>
      <c r="C1458" s="3" t="s">
        <v>5566</v>
      </c>
      <c r="D1458" s="12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>((Table1[[#This Row],[deadline]]/60)/60/24)+DATE(1970,1,1)</f>
        <v>42738.668576388889</v>
      </c>
      <c r="K1458">
        <v>1480867365</v>
      </c>
      <c r="L1458" s="11">
        <f>((Table1[[#This Row],[launched_at]]/60)/60/24)+DATE(1970,1,1)</f>
        <v>42708.668576388889</v>
      </c>
      <c r="M1458">
        <f>MONTH(Table1[[#This Row],[Date Created Conversion]])</f>
        <v>12</v>
      </c>
      <c r="N1458">
        <f>YEAR(Table1[[#This Row],[Date Created Conversion]])</f>
        <v>2016</v>
      </c>
      <c r="O1458" t="b">
        <v>0</v>
      </c>
      <c r="P1458">
        <v>3</v>
      </c>
      <c r="Q1458" t="b">
        <v>0</v>
      </c>
      <c r="R1458" t="s">
        <v>8287</v>
      </c>
      <c r="S1458" s="6">
        <f>Table1[[#This Row],[pledged]]/Table1[[#This Row],[goal]]</f>
        <v>2.9000000000000001E-2</v>
      </c>
      <c r="T1458" s="8">
        <f>IF(Table1[[#This Row],[pledged]]=0,"no backers",Table1[[#This Row],[pledged]]/Table1[[#This Row],[backers_count]])</f>
        <v>48.333333333333336</v>
      </c>
      <c r="U1458" t="str">
        <f>LEFT(Table1[[#This Row],[Category and Sub-Category]],FIND("/",Table1[[#This Row],[Category and Sub-Category]])-1)</f>
        <v>publishing</v>
      </c>
      <c r="V1458" t="str">
        <f>RIGHT(Table1[[#This Row],[Category and Sub-Category]],LEN(Table1[[#This Row],[Category and Sub-Category]])-FIND("/",Table1[[#This Row],[Category and Sub-Category]]))</f>
        <v>translations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 s="12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>((Table1[[#This Row],[deadline]]/60)/60/24)+DATE(1970,1,1)</f>
        <v>42319.938009259262</v>
      </c>
      <c r="K1459">
        <v>1444685444</v>
      </c>
      <c r="L1459" s="11">
        <f>((Table1[[#This Row],[launched_at]]/60)/60/24)+DATE(1970,1,1)</f>
        <v>42289.89634259259</v>
      </c>
      <c r="M1459">
        <f>MONTH(Table1[[#This Row],[Date Created Conversion]])</f>
        <v>10</v>
      </c>
      <c r="N1459">
        <f>YEAR(Table1[[#This Row],[Date Created Conversion]])</f>
        <v>2015</v>
      </c>
      <c r="O1459" t="b">
        <v>0</v>
      </c>
      <c r="P1459">
        <v>0</v>
      </c>
      <c r="Q1459" t="b">
        <v>0</v>
      </c>
      <c r="R1459" t="s">
        <v>8287</v>
      </c>
      <c r="S1459" s="6">
        <f>Table1[[#This Row],[pledged]]/Table1[[#This Row],[goal]]</f>
        <v>0</v>
      </c>
      <c r="T1459" s="8" t="str">
        <f>IF(Table1[[#This Row],[pledged]]=0,"no backers",Table1[[#This Row],[pledged]]/Table1[[#This Row],[backers_count]])</f>
        <v>no backers</v>
      </c>
      <c r="U1459" t="str">
        <f>LEFT(Table1[[#This Row],[Category and Sub-Category]],FIND("/",Table1[[#This Row],[Category and Sub-Category]])-1)</f>
        <v>publishing</v>
      </c>
      <c r="V1459" t="str">
        <f>RIGHT(Table1[[#This Row],[Category and Sub-Category]],LEN(Table1[[#This Row],[Category and Sub-Category]])-FIND("/",Table1[[#This Row],[Category and Sub-Category]]))</f>
        <v>translations</v>
      </c>
    </row>
    <row r="1460" spans="1:22" ht="57.6" x14ac:dyDescent="0.3">
      <c r="A1460">
        <v>1458</v>
      </c>
      <c r="B1460" s="3" t="s">
        <v>1459</v>
      </c>
      <c r="C1460" s="3" t="s">
        <v>5568</v>
      </c>
      <c r="D1460" s="12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>((Table1[[#This Row],[deadline]]/60)/60/24)+DATE(1970,1,1)</f>
        <v>41862.166666666664</v>
      </c>
      <c r="K1460">
        <v>1405097760</v>
      </c>
      <c r="L1460" s="11">
        <f>((Table1[[#This Row],[launched_at]]/60)/60/24)+DATE(1970,1,1)</f>
        <v>41831.705555555556</v>
      </c>
      <c r="M1460">
        <f>MONTH(Table1[[#This Row],[Date Created Conversion]])</f>
        <v>7</v>
      </c>
      <c r="N1460">
        <f>YEAR(Table1[[#This Row],[Date Created Conversion]])</f>
        <v>2014</v>
      </c>
      <c r="O1460" t="b">
        <v>0</v>
      </c>
      <c r="P1460">
        <v>0</v>
      </c>
      <c r="Q1460" t="b">
        <v>0</v>
      </c>
      <c r="R1460" t="s">
        <v>8287</v>
      </c>
      <c r="S1460" s="6">
        <f>Table1[[#This Row],[pledged]]/Table1[[#This Row],[goal]]</f>
        <v>0</v>
      </c>
      <c r="T1460" s="8" t="str">
        <f>IF(Table1[[#This Row],[pledged]]=0,"no backers",Table1[[#This Row],[pledged]]/Table1[[#This Row],[backers_count]])</f>
        <v>no backers</v>
      </c>
      <c r="U1460" t="str">
        <f>LEFT(Table1[[#This Row],[Category and Sub-Category]],FIND("/",Table1[[#This Row],[Category and Sub-Category]])-1)</f>
        <v>publishing</v>
      </c>
      <c r="V1460" t="str">
        <f>RIGHT(Table1[[#This Row],[Category and Sub-Category]],LEN(Table1[[#This Row],[Category and Sub-Category]])-FIND("/",Table1[[#This Row],[Category and Sub-Category]]))</f>
        <v>translations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 s="12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>((Table1[[#This Row],[deadline]]/60)/60/24)+DATE(1970,1,1)</f>
        <v>42340.725694444445</v>
      </c>
      <c r="K1461">
        <v>1446612896</v>
      </c>
      <c r="L1461" s="11">
        <f>((Table1[[#This Row],[launched_at]]/60)/60/24)+DATE(1970,1,1)</f>
        <v>42312.204814814817</v>
      </c>
      <c r="M1461">
        <f>MONTH(Table1[[#This Row],[Date Created Conversion]])</f>
        <v>11</v>
      </c>
      <c r="N1461">
        <f>YEAR(Table1[[#This Row],[Date Created Conversion]])</f>
        <v>2015</v>
      </c>
      <c r="O1461" t="b">
        <v>0</v>
      </c>
      <c r="P1461">
        <v>0</v>
      </c>
      <c r="Q1461" t="b">
        <v>0</v>
      </c>
      <c r="R1461" t="s">
        <v>8287</v>
      </c>
      <c r="S1461" s="6">
        <f>Table1[[#This Row],[pledged]]/Table1[[#This Row],[goal]]</f>
        <v>0</v>
      </c>
      <c r="T1461" s="8" t="str">
        <f>IF(Table1[[#This Row],[pledged]]=0,"no backers",Table1[[#This Row],[pledged]]/Table1[[#This Row],[backers_count]])</f>
        <v>no backers</v>
      </c>
      <c r="U1461" t="str">
        <f>LEFT(Table1[[#This Row],[Category and Sub-Category]],FIND("/",Table1[[#This Row],[Category and Sub-Category]])-1)</f>
        <v>publishing</v>
      </c>
      <c r="V1461" t="str">
        <f>RIGHT(Table1[[#This Row],[Category and Sub-Category]],LEN(Table1[[#This Row],[Category and Sub-Category]])-FIND("/",Table1[[#This Row],[Category and Sub-Category]]))</f>
        <v>translations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 s="1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>((Table1[[#This Row],[deadline]]/60)/60/24)+DATE(1970,1,1)</f>
        <v>41973.989583333328</v>
      </c>
      <c r="K1462">
        <v>1412371898</v>
      </c>
      <c r="L1462" s="11">
        <f>((Table1[[#This Row],[launched_at]]/60)/60/24)+DATE(1970,1,1)</f>
        <v>41915.896967592591</v>
      </c>
      <c r="M1462">
        <f>MONTH(Table1[[#This Row],[Date Created Conversion]])</f>
        <v>10</v>
      </c>
      <c r="N1462">
        <f>YEAR(Table1[[#This Row],[Date Created Conversion]])</f>
        <v>2014</v>
      </c>
      <c r="O1462" t="b">
        <v>0</v>
      </c>
      <c r="P1462">
        <v>0</v>
      </c>
      <c r="Q1462" t="b">
        <v>0</v>
      </c>
      <c r="R1462" t="s">
        <v>8287</v>
      </c>
      <c r="S1462" s="6">
        <f>Table1[[#This Row],[pledged]]/Table1[[#This Row],[goal]]</f>
        <v>0</v>
      </c>
      <c r="T1462" s="8" t="str">
        <f>IF(Table1[[#This Row],[pledged]]=0,"no backers",Table1[[#This Row],[pledged]]/Table1[[#This Row],[backers_count]])</f>
        <v>no backers</v>
      </c>
      <c r="U1462" t="str">
        <f>LEFT(Table1[[#This Row],[Category and Sub-Category]],FIND("/",Table1[[#This Row],[Category and Sub-Category]])-1)</f>
        <v>publishing</v>
      </c>
      <c r="V1462" t="str">
        <f>RIGHT(Table1[[#This Row],[Category and Sub-Category]],LEN(Table1[[#This Row],[Category and Sub-Category]])-FIND("/",Table1[[#This Row],[Category and Sub-Category]]))</f>
        <v>translations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 s="12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>((Table1[[#This Row],[deadline]]/60)/60/24)+DATE(1970,1,1)</f>
        <v>41933</v>
      </c>
      <c r="K1463">
        <v>1410967754</v>
      </c>
      <c r="L1463" s="11">
        <f>((Table1[[#This Row],[launched_at]]/60)/60/24)+DATE(1970,1,1)</f>
        <v>41899.645300925928</v>
      </c>
      <c r="M1463">
        <f>MONTH(Table1[[#This Row],[Date Created Conversion]])</f>
        <v>9</v>
      </c>
      <c r="N1463">
        <f>YEAR(Table1[[#This Row],[Date Created Conversion]])</f>
        <v>2014</v>
      </c>
      <c r="O1463" t="b">
        <v>1</v>
      </c>
      <c r="P1463">
        <v>340</v>
      </c>
      <c r="Q1463" t="b">
        <v>1</v>
      </c>
      <c r="R1463" t="s">
        <v>8288</v>
      </c>
      <c r="S1463" s="6">
        <f>Table1[[#This Row],[pledged]]/Table1[[#This Row],[goal]]</f>
        <v>1.012446</v>
      </c>
      <c r="T1463" s="8">
        <f>IF(Table1[[#This Row],[pledged]]=0,"no backers",Table1[[#This Row],[pledged]]/Table1[[#This Row],[backers_count]])</f>
        <v>44.66673529411765</v>
      </c>
      <c r="U1463" t="str">
        <f>LEFT(Table1[[#This Row],[Category and Sub-Category]],FIND("/",Table1[[#This Row],[Category and Sub-Category]])-1)</f>
        <v>publishing</v>
      </c>
      <c r="V1463" t="str">
        <f>RIGHT(Table1[[#This Row],[Category and Sub-Category]],LEN(Table1[[#This Row],[Category and Sub-Category]])-FIND("/",Table1[[#This Row],[Category and Sub-Category]]))</f>
        <v>radio &amp; podcasts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 s="12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>((Table1[[#This Row],[deadline]]/60)/60/24)+DATE(1970,1,1)</f>
        <v>41374.662858796299</v>
      </c>
      <c r="K1464">
        <v>1363017271</v>
      </c>
      <c r="L1464" s="11">
        <f>((Table1[[#This Row],[launched_at]]/60)/60/24)+DATE(1970,1,1)</f>
        <v>41344.662858796299</v>
      </c>
      <c r="M1464">
        <f>MONTH(Table1[[#This Row],[Date Created Conversion]])</f>
        <v>3</v>
      </c>
      <c r="N1464">
        <f>YEAR(Table1[[#This Row],[Date Created Conversion]])</f>
        <v>2013</v>
      </c>
      <c r="O1464" t="b">
        <v>1</v>
      </c>
      <c r="P1464">
        <v>150</v>
      </c>
      <c r="Q1464" t="b">
        <v>1</v>
      </c>
      <c r="R1464" t="s">
        <v>8288</v>
      </c>
      <c r="S1464" s="6">
        <f>Table1[[#This Row],[pledged]]/Table1[[#This Row],[goal]]</f>
        <v>1.085175</v>
      </c>
      <c r="T1464" s="8">
        <f>IF(Table1[[#This Row],[pledged]]=0,"no backers",Table1[[#This Row],[pledged]]/Table1[[#This Row],[backers_count]])</f>
        <v>28.937999999999999</v>
      </c>
      <c r="U1464" t="str">
        <f>LEFT(Table1[[#This Row],[Category and Sub-Category]],FIND("/",Table1[[#This Row],[Category and Sub-Category]])-1)</f>
        <v>publishing</v>
      </c>
      <c r="V1464" t="str">
        <f>RIGHT(Table1[[#This Row],[Category and Sub-Category]],LEN(Table1[[#This Row],[Category and Sub-Category]])-FIND("/",Table1[[#This Row],[Category and Sub-Category]]))</f>
        <v>radio &amp; podcasts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 s="12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>((Table1[[#This Row],[deadline]]/60)/60/24)+DATE(1970,1,1)</f>
        <v>41371.869652777779</v>
      </c>
      <c r="K1465">
        <v>1361483538</v>
      </c>
      <c r="L1465" s="11">
        <f>((Table1[[#This Row],[launched_at]]/60)/60/24)+DATE(1970,1,1)</f>
        <v>41326.911319444444</v>
      </c>
      <c r="M1465">
        <f>MONTH(Table1[[#This Row],[Date Created Conversion]])</f>
        <v>2</v>
      </c>
      <c r="N1465">
        <f>YEAR(Table1[[#This Row],[Date Created Conversion]])</f>
        <v>2013</v>
      </c>
      <c r="O1465" t="b">
        <v>1</v>
      </c>
      <c r="P1465">
        <v>25</v>
      </c>
      <c r="Q1465" t="b">
        <v>1</v>
      </c>
      <c r="R1465" t="s">
        <v>8288</v>
      </c>
      <c r="S1465" s="6">
        <f>Table1[[#This Row],[pledged]]/Table1[[#This Row],[goal]]</f>
        <v>1.4766666666666666</v>
      </c>
      <c r="T1465" s="8">
        <f>IF(Table1[[#This Row],[pledged]]=0,"no backers",Table1[[#This Row],[pledged]]/Table1[[#This Row],[backers_count]])</f>
        <v>35.44</v>
      </c>
      <c r="U1465" t="str">
        <f>LEFT(Table1[[#This Row],[Category and Sub-Category]],FIND("/",Table1[[#This Row],[Category and Sub-Category]])-1)</f>
        <v>publishing</v>
      </c>
      <c r="V1465" t="str">
        <f>RIGHT(Table1[[#This Row],[Category and Sub-Category]],LEN(Table1[[#This Row],[Category and Sub-Category]])-FIND("/",Table1[[#This Row],[Category and Sub-Category]]))</f>
        <v>radio &amp; podcasts</v>
      </c>
    </row>
    <row r="1466" spans="1:22" x14ac:dyDescent="0.3">
      <c r="A1466">
        <v>1464</v>
      </c>
      <c r="B1466" s="3" t="s">
        <v>1465</v>
      </c>
      <c r="C1466" s="3" t="s">
        <v>5574</v>
      </c>
      <c r="D1466" s="12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>((Table1[[#This Row],[deadline]]/60)/60/24)+DATE(1970,1,1)</f>
        <v>41321.661550925928</v>
      </c>
      <c r="K1466">
        <v>1358437958</v>
      </c>
      <c r="L1466" s="11">
        <f>((Table1[[#This Row],[launched_at]]/60)/60/24)+DATE(1970,1,1)</f>
        <v>41291.661550925928</v>
      </c>
      <c r="M1466">
        <f>MONTH(Table1[[#This Row],[Date Created Conversion]])</f>
        <v>1</v>
      </c>
      <c r="N1466">
        <f>YEAR(Table1[[#This Row],[Date Created Conversion]])</f>
        <v>2013</v>
      </c>
      <c r="O1466" t="b">
        <v>1</v>
      </c>
      <c r="P1466">
        <v>234</v>
      </c>
      <c r="Q1466" t="b">
        <v>1</v>
      </c>
      <c r="R1466" t="s">
        <v>8288</v>
      </c>
      <c r="S1466" s="6">
        <f>Table1[[#This Row],[pledged]]/Table1[[#This Row],[goal]]</f>
        <v>1.6319999999999999</v>
      </c>
      <c r="T1466" s="8">
        <f>IF(Table1[[#This Row],[pledged]]=0,"no backers",Table1[[#This Row],[pledged]]/Table1[[#This Row],[backers_count]])</f>
        <v>34.871794871794869</v>
      </c>
      <c r="U1466" t="str">
        <f>LEFT(Table1[[#This Row],[Category and Sub-Category]],FIND("/",Table1[[#This Row],[Category and Sub-Category]])-1)</f>
        <v>publishing</v>
      </c>
      <c r="V1466" t="str">
        <f>RIGHT(Table1[[#This Row],[Category and Sub-Category]],LEN(Table1[[#This Row],[Category and Sub-Category]])-FIND("/",Table1[[#This Row],[Category and Sub-Category]]))</f>
        <v>radio &amp; podcasts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 s="12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>((Table1[[#This Row],[deadline]]/60)/60/24)+DATE(1970,1,1)</f>
        <v>40990.125</v>
      </c>
      <c r="K1467">
        <v>1329759452</v>
      </c>
      <c r="L1467" s="11">
        <f>((Table1[[#This Row],[launched_at]]/60)/60/24)+DATE(1970,1,1)</f>
        <v>40959.734398148146</v>
      </c>
      <c r="M1467">
        <f>MONTH(Table1[[#This Row],[Date Created Conversion]])</f>
        <v>2</v>
      </c>
      <c r="N1467">
        <f>YEAR(Table1[[#This Row],[Date Created Conversion]])</f>
        <v>2012</v>
      </c>
      <c r="O1467" t="b">
        <v>1</v>
      </c>
      <c r="P1467">
        <v>2602</v>
      </c>
      <c r="Q1467" t="b">
        <v>1</v>
      </c>
      <c r="R1467" t="s">
        <v>8288</v>
      </c>
      <c r="S1467" s="6">
        <f>Table1[[#This Row],[pledged]]/Table1[[#This Row],[goal]]</f>
        <v>4.5641449999999999</v>
      </c>
      <c r="T1467" s="8">
        <f>IF(Table1[[#This Row],[pledged]]=0,"no backers",Table1[[#This Row],[pledged]]/Table1[[#This Row],[backers_count]])</f>
        <v>52.622732513451197</v>
      </c>
      <c r="U1467" t="str">
        <f>LEFT(Table1[[#This Row],[Category and Sub-Category]],FIND("/",Table1[[#This Row],[Category and Sub-Category]])-1)</f>
        <v>publishing</v>
      </c>
      <c r="V1467" t="str">
        <f>RIGHT(Table1[[#This Row],[Category and Sub-Category]],LEN(Table1[[#This Row],[Category and Sub-Category]])-FIND("/",Table1[[#This Row],[Category and Sub-Category]]))</f>
        <v>radio &amp; podcasts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 s="12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>((Table1[[#This Row],[deadline]]/60)/60/24)+DATE(1970,1,1)</f>
        <v>42381.208333333328</v>
      </c>
      <c r="K1468">
        <v>1449029266</v>
      </c>
      <c r="L1468" s="11">
        <f>((Table1[[#This Row],[launched_at]]/60)/60/24)+DATE(1970,1,1)</f>
        <v>42340.172060185185</v>
      </c>
      <c r="M1468">
        <f>MONTH(Table1[[#This Row],[Date Created Conversion]])</f>
        <v>12</v>
      </c>
      <c r="N1468">
        <f>YEAR(Table1[[#This Row],[Date Created Conversion]])</f>
        <v>2015</v>
      </c>
      <c r="O1468" t="b">
        <v>1</v>
      </c>
      <c r="P1468">
        <v>248</v>
      </c>
      <c r="Q1468" t="b">
        <v>1</v>
      </c>
      <c r="R1468" t="s">
        <v>8288</v>
      </c>
      <c r="S1468" s="6">
        <f>Table1[[#This Row],[pledged]]/Table1[[#This Row],[goal]]</f>
        <v>1.0787731249999999</v>
      </c>
      <c r="T1468" s="8">
        <f>IF(Table1[[#This Row],[pledged]]=0,"no backers",Table1[[#This Row],[pledged]]/Table1[[#This Row],[backers_count]])</f>
        <v>69.598266129032254</v>
      </c>
      <c r="U1468" t="str">
        <f>LEFT(Table1[[#This Row],[Category and Sub-Category]],FIND("/",Table1[[#This Row],[Category and Sub-Category]])-1)</f>
        <v>publishing</v>
      </c>
      <c r="V1468" t="str">
        <f>RIGHT(Table1[[#This Row],[Category and Sub-Category]],LEN(Table1[[#This Row],[Category and Sub-Category]])-FIND("/",Table1[[#This Row],[Category and Sub-Category]]))</f>
        <v>radio &amp; podcasts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 s="12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>((Table1[[#This Row],[deadline]]/60)/60/24)+DATE(1970,1,1)</f>
        <v>40993.760243055556</v>
      </c>
      <c r="K1469">
        <v>1327518885</v>
      </c>
      <c r="L1469" s="11">
        <f>((Table1[[#This Row],[launched_at]]/60)/60/24)+DATE(1970,1,1)</f>
        <v>40933.80190972222</v>
      </c>
      <c r="M1469">
        <f>MONTH(Table1[[#This Row],[Date Created Conversion]])</f>
        <v>1</v>
      </c>
      <c r="N1469">
        <f>YEAR(Table1[[#This Row],[Date Created Conversion]])</f>
        <v>2012</v>
      </c>
      <c r="O1469" t="b">
        <v>1</v>
      </c>
      <c r="P1469">
        <v>600</v>
      </c>
      <c r="Q1469" t="b">
        <v>1</v>
      </c>
      <c r="R1469" t="s">
        <v>8288</v>
      </c>
      <c r="S1469" s="6">
        <f>Table1[[#This Row],[pledged]]/Table1[[#This Row],[goal]]</f>
        <v>1.1508</v>
      </c>
      <c r="T1469" s="8">
        <f>IF(Table1[[#This Row],[pledged]]=0,"no backers",Table1[[#This Row],[pledged]]/Table1[[#This Row],[backers_count]])</f>
        <v>76.72</v>
      </c>
      <c r="U1469" t="str">
        <f>LEFT(Table1[[#This Row],[Category and Sub-Category]],FIND("/",Table1[[#This Row],[Category and Sub-Category]])-1)</f>
        <v>publishing</v>
      </c>
      <c r="V1469" t="str">
        <f>RIGHT(Table1[[#This Row],[Category and Sub-Category]],LEN(Table1[[#This Row],[Category and Sub-Category]])-FIND("/",Table1[[#This Row],[Category and Sub-Category]]))</f>
        <v>radio &amp; podcasts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 s="12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>((Table1[[#This Row],[deadline]]/60)/60/24)+DATE(1970,1,1)</f>
        <v>40706.014456018522</v>
      </c>
      <c r="K1470">
        <v>1302654049</v>
      </c>
      <c r="L1470" s="11">
        <f>((Table1[[#This Row],[launched_at]]/60)/60/24)+DATE(1970,1,1)</f>
        <v>40646.014456018522</v>
      </c>
      <c r="M1470">
        <f>MONTH(Table1[[#This Row],[Date Created Conversion]])</f>
        <v>4</v>
      </c>
      <c r="N1470">
        <f>YEAR(Table1[[#This Row],[Date Created Conversion]])</f>
        <v>2011</v>
      </c>
      <c r="O1470" t="b">
        <v>1</v>
      </c>
      <c r="P1470">
        <v>293</v>
      </c>
      <c r="Q1470" t="b">
        <v>1</v>
      </c>
      <c r="R1470" t="s">
        <v>8288</v>
      </c>
      <c r="S1470" s="6">
        <f>Table1[[#This Row],[pledged]]/Table1[[#This Row],[goal]]</f>
        <v>1.0236842105263158</v>
      </c>
      <c r="T1470" s="8">
        <f>IF(Table1[[#This Row],[pledged]]=0,"no backers",Table1[[#This Row],[pledged]]/Table1[[#This Row],[backers_count]])</f>
        <v>33.191126279863482</v>
      </c>
      <c r="U1470" t="str">
        <f>LEFT(Table1[[#This Row],[Category and Sub-Category]],FIND("/",Table1[[#This Row],[Category and Sub-Category]])-1)</f>
        <v>publishing</v>
      </c>
      <c r="V1470" t="str">
        <f>RIGHT(Table1[[#This Row],[Category and Sub-Category]],LEN(Table1[[#This Row],[Category and Sub-Category]])-FIND("/",Table1[[#This Row],[Category and Sub-Category]]))</f>
        <v>radio &amp; podcasts</v>
      </c>
    </row>
    <row r="1471" spans="1:22" ht="43.2" x14ac:dyDescent="0.3">
      <c r="A1471">
        <v>1469</v>
      </c>
      <c r="B1471" s="3" t="s">
        <v>1470</v>
      </c>
      <c r="C1471" s="3" t="s">
        <v>5579</v>
      </c>
      <c r="D1471" s="12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>((Table1[[#This Row],[deadline]]/60)/60/24)+DATE(1970,1,1)</f>
        <v>41320.598483796297</v>
      </c>
      <c r="K1471">
        <v>1358346109</v>
      </c>
      <c r="L1471" s="11">
        <f>((Table1[[#This Row],[launched_at]]/60)/60/24)+DATE(1970,1,1)</f>
        <v>41290.598483796297</v>
      </c>
      <c r="M1471">
        <f>MONTH(Table1[[#This Row],[Date Created Conversion]])</f>
        <v>1</v>
      </c>
      <c r="N1471">
        <f>YEAR(Table1[[#This Row],[Date Created Conversion]])</f>
        <v>2013</v>
      </c>
      <c r="O1471" t="b">
        <v>1</v>
      </c>
      <c r="P1471">
        <v>321</v>
      </c>
      <c r="Q1471" t="b">
        <v>1</v>
      </c>
      <c r="R1471" t="s">
        <v>8288</v>
      </c>
      <c r="S1471" s="6">
        <f>Table1[[#This Row],[pledged]]/Table1[[#This Row],[goal]]</f>
        <v>1.0842485875706214</v>
      </c>
      <c r="T1471" s="8">
        <f>IF(Table1[[#This Row],[pledged]]=0,"no backers",Table1[[#This Row],[pledged]]/Table1[[#This Row],[backers_count]])</f>
        <v>149.46417445482865</v>
      </c>
      <c r="U1471" t="str">
        <f>LEFT(Table1[[#This Row],[Category and Sub-Category]],FIND("/",Table1[[#This Row],[Category and Sub-Category]])-1)</f>
        <v>publishing</v>
      </c>
      <c r="V1471" t="str">
        <f>RIGHT(Table1[[#This Row],[Category and Sub-Category]],LEN(Table1[[#This Row],[Category and Sub-Category]])-FIND("/",Table1[[#This Row],[Category and Sub-Category]]))</f>
        <v>radio &amp; podcasts</v>
      </c>
    </row>
    <row r="1472" spans="1:22" ht="57.6" x14ac:dyDescent="0.3">
      <c r="A1472">
        <v>1470</v>
      </c>
      <c r="B1472" s="3" t="s">
        <v>1471</v>
      </c>
      <c r="C1472" s="3" t="s">
        <v>5580</v>
      </c>
      <c r="D1472" s="1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>((Table1[[#This Row],[deadline]]/60)/60/24)+DATE(1970,1,1)</f>
        <v>41271.827118055553</v>
      </c>
      <c r="K1472">
        <v>1354909863</v>
      </c>
      <c r="L1472" s="11">
        <f>((Table1[[#This Row],[launched_at]]/60)/60/24)+DATE(1970,1,1)</f>
        <v>41250.827118055553</v>
      </c>
      <c r="M1472">
        <f>MONTH(Table1[[#This Row],[Date Created Conversion]])</f>
        <v>12</v>
      </c>
      <c r="N1472">
        <f>YEAR(Table1[[#This Row],[Date Created Conversion]])</f>
        <v>2012</v>
      </c>
      <c r="O1472" t="b">
        <v>1</v>
      </c>
      <c r="P1472">
        <v>81</v>
      </c>
      <c r="Q1472" t="b">
        <v>1</v>
      </c>
      <c r="R1472" t="s">
        <v>8288</v>
      </c>
      <c r="S1472" s="6">
        <f>Table1[[#This Row],[pledged]]/Table1[[#This Row],[goal]]</f>
        <v>1.2513333333333334</v>
      </c>
      <c r="T1472" s="8">
        <f>IF(Table1[[#This Row],[pledged]]=0,"no backers",Table1[[#This Row],[pledged]]/Table1[[#This Row],[backers_count]])</f>
        <v>23.172839506172838</v>
      </c>
      <c r="U1472" t="str">
        <f>LEFT(Table1[[#This Row],[Category and Sub-Category]],FIND("/",Table1[[#This Row],[Category and Sub-Category]])-1)</f>
        <v>publishing</v>
      </c>
      <c r="V1472" t="str">
        <f>RIGHT(Table1[[#This Row],[Category and Sub-Category]],LEN(Table1[[#This Row],[Category and Sub-Category]])-FIND("/",Table1[[#This Row],[Category and Sub-Category]]))</f>
        <v>radio &amp; podcasts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 s="12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>((Table1[[#This Row],[deadline]]/60)/60/24)+DATE(1970,1,1)</f>
        <v>42103.957569444443</v>
      </c>
      <c r="K1473">
        <v>1426028334</v>
      </c>
      <c r="L1473" s="11">
        <f>((Table1[[#This Row],[launched_at]]/60)/60/24)+DATE(1970,1,1)</f>
        <v>42073.957569444443</v>
      </c>
      <c r="M1473">
        <f>MONTH(Table1[[#This Row],[Date Created Conversion]])</f>
        <v>3</v>
      </c>
      <c r="N1473">
        <f>YEAR(Table1[[#This Row],[Date Created Conversion]])</f>
        <v>2015</v>
      </c>
      <c r="O1473" t="b">
        <v>1</v>
      </c>
      <c r="P1473">
        <v>343</v>
      </c>
      <c r="Q1473" t="b">
        <v>1</v>
      </c>
      <c r="R1473" t="s">
        <v>8288</v>
      </c>
      <c r="S1473" s="6">
        <f>Table1[[#This Row],[pledged]]/Table1[[#This Row],[goal]]</f>
        <v>1.03840625</v>
      </c>
      <c r="T1473" s="8">
        <f>IF(Table1[[#This Row],[pledged]]=0,"no backers",Table1[[#This Row],[pledged]]/Table1[[#This Row],[backers_count]])</f>
        <v>96.877551020408163</v>
      </c>
      <c r="U1473" t="str">
        <f>LEFT(Table1[[#This Row],[Category and Sub-Category]],FIND("/",Table1[[#This Row],[Category and Sub-Category]])-1)</f>
        <v>publishing</v>
      </c>
      <c r="V1473" t="str">
        <f>RIGHT(Table1[[#This Row],[Category and Sub-Category]],LEN(Table1[[#This Row],[Category and Sub-Category]])-FIND("/",Table1[[#This Row],[Category and Sub-Category]]))</f>
        <v>radio &amp; podcasts</v>
      </c>
    </row>
    <row r="1474" spans="1:22" ht="57.6" x14ac:dyDescent="0.3">
      <c r="A1474">
        <v>1472</v>
      </c>
      <c r="B1474" s="3" t="s">
        <v>1473</v>
      </c>
      <c r="C1474" s="3" t="s">
        <v>5582</v>
      </c>
      <c r="D1474" s="12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>((Table1[[#This Row],[deadline]]/60)/60/24)+DATE(1970,1,1)</f>
        <v>41563.542858796296</v>
      </c>
      <c r="K1474">
        <v>1379336503</v>
      </c>
      <c r="L1474" s="11">
        <f>((Table1[[#This Row],[launched_at]]/60)/60/24)+DATE(1970,1,1)</f>
        <v>41533.542858796296</v>
      </c>
      <c r="M1474">
        <f>MONTH(Table1[[#This Row],[Date Created Conversion]])</f>
        <v>9</v>
      </c>
      <c r="N1474">
        <f>YEAR(Table1[[#This Row],[Date Created Conversion]])</f>
        <v>2013</v>
      </c>
      <c r="O1474" t="b">
        <v>1</v>
      </c>
      <c r="P1474">
        <v>336</v>
      </c>
      <c r="Q1474" t="b">
        <v>1</v>
      </c>
      <c r="R1474" t="s">
        <v>8288</v>
      </c>
      <c r="S1474" s="6">
        <f>Table1[[#This Row],[pledged]]/Table1[[#This Row],[goal]]</f>
        <v>1.3870400000000001</v>
      </c>
      <c r="T1474" s="8">
        <f>IF(Table1[[#This Row],[pledged]]=0,"no backers",Table1[[#This Row],[pledged]]/Table1[[#This Row],[backers_count]])</f>
        <v>103.20238095238095</v>
      </c>
      <c r="U1474" t="str">
        <f>LEFT(Table1[[#This Row],[Category and Sub-Category]],FIND("/",Table1[[#This Row],[Category and Sub-Category]])-1)</f>
        <v>publishing</v>
      </c>
      <c r="V1474" t="str">
        <f>RIGHT(Table1[[#This Row],[Category and Sub-Category]],LEN(Table1[[#This Row],[Category and Sub-Category]])-FIND("/",Table1[[#This Row],[Category and Sub-Category]]))</f>
        <v>radio &amp; podcasts</v>
      </c>
    </row>
    <row r="1475" spans="1:22" x14ac:dyDescent="0.3">
      <c r="A1475">
        <v>1473</v>
      </c>
      <c r="B1475" s="3" t="s">
        <v>1474</v>
      </c>
      <c r="C1475" s="3" t="s">
        <v>5583</v>
      </c>
      <c r="D1475" s="12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>((Table1[[#This Row],[deadline]]/60)/60/24)+DATE(1970,1,1)</f>
        <v>40969.979618055557</v>
      </c>
      <c r="K1475">
        <v>1328052639</v>
      </c>
      <c r="L1475" s="11">
        <f>((Table1[[#This Row],[launched_at]]/60)/60/24)+DATE(1970,1,1)</f>
        <v>40939.979618055557</v>
      </c>
      <c r="M1475">
        <f>MONTH(Table1[[#This Row],[Date Created Conversion]])</f>
        <v>1</v>
      </c>
      <c r="N1475">
        <f>YEAR(Table1[[#This Row],[Date Created Conversion]])</f>
        <v>2012</v>
      </c>
      <c r="O1475" t="b">
        <v>1</v>
      </c>
      <c r="P1475">
        <v>47</v>
      </c>
      <c r="Q1475" t="b">
        <v>1</v>
      </c>
      <c r="R1475" t="s">
        <v>8288</v>
      </c>
      <c r="S1475" s="6">
        <f>Table1[[#This Row],[pledged]]/Table1[[#This Row],[goal]]</f>
        <v>1.20516</v>
      </c>
      <c r="T1475" s="8">
        <f>IF(Table1[[#This Row],[pledged]]=0,"no backers",Table1[[#This Row],[pledged]]/Table1[[#This Row],[backers_count]])</f>
        <v>38.462553191489363</v>
      </c>
      <c r="U1475" t="str">
        <f>LEFT(Table1[[#This Row],[Category and Sub-Category]],FIND("/",Table1[[#This Row],[Category and Sub-Category]])-1)</f>
        <v>publishing</v>
      </c>
      <c r="V1475" t="str">
        <f>RIGHT(Table1[[#This Row],[Category and Sub-Category]],LEN(Table1[[#This Row],[Category and Sub-Category]])-FIND("/",Table1[[#This Row],[Category and Sub-Category]]))</f>
        <v>radio &amp; podcasts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 s="12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>((Table1[[#This Row],[deadline]]/60)/60/24)+DATE(1970,1,1)</f>
        <v>41530.727916666663</v>
      </c>
      <c r="K1476">
        <v>1376501292</v>
      </c>
      <c r="L1476" s="11">
        <f>((Table1[[#This Row],[launched_at]]/60)/60/24)+DATE(1970,1,1)</f>
        <v>41500.727916666663</v>
      </c>
      <c r="M1476">
        <f>MONTH(Table1[[#This Row],[Date Created Conversion]])</f>
        <v>8</v>
      </c>
      <c r="N1476">
        <f>YEAR(Table1[[#This Row],[Date Created Conversion]])</f>
        <v>2013</v>
      </c>
      <c r="O1476" t="b">
        <v>1</v>
      </c>
      <c r="P1476">
        <v>76</v>
      </c>
      <c r="Q1476" t="b">
        <v>1</v>
      </c>
      <c r="R1476" t="s">
        <v>8288</v>
      </c>
      <c r="S1476" s="6">
        <f>Table1[[#This Row],[pledged]]/Table1[[#This Row],[goal]]</f>
        <v>1.1226666666666667</v>
      </c>
      <c r="T1476" s="8">
        <f>IF(Table1[[#This Row],[pledged]]=0,"no backers",Table1[[#This Row],[pledged]]/Table1[[#This Row],[backers_count]])</f>
        <v>44.315789473684212</v>
      </c>
      <c r="U1476" t="str">
        <f>LEFT(Table1[[#This Row],[Category and Sub-Category]],FIND("/",Table1[[#This Row],[Category and Sub-Category]])-1)</f>
        <v>publishing</v>
      </c>
      <c r="V1476" t="str">
        <f>RIGHT(Table1[[#This Row],[Category and Sub-Category]],LEN(Table1[[#This Row],[Category and Sub-Category]])-FIND("/",Table1[[#This Row],[Category and Sub-Category]]))</f>
        <v>radio &amp; podcasts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 s="12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>((Table1[[#This Row],[deadline]]/60)/60/24)+DATE(1970,1,1)</f>
        <v>41993.207638888889</v>
      </c>
      <c r="K1477">
        <v>1416244863</v>
      </c>
      <c r="L1477" s="11">
        <f>((Table1[[#This Row],[launched_at]]/60)/60/24)+DATE(1970,1,1)</f>
        <v>41960.722951388889</v>
      </c>
      <c r="M1477">
        <f>MONTH(Table1[[#This Row],[Date Created Conversion]])</f>
        <v>11</v>
      </c>
      <c r="N1477">
        <f>YEAR(Table1[[#This Row],[Date Created Conversion]])</f>
        <v>2014</v>
      </c>
      <c r="O1477" t="b">
        <v>1</v>
      </c>
      <c r="P1477">
        <v>441</v>
      </c>
      <c r="Q1477" t="b">
        <v>1</v>
      </c>
      <c r="R1477" t="s">
        <v>8288</v>
      </c>
      <c r="S1477" s="6">
        <f>Table1[[#This Row],[pledged]]/Table1[[#This Row],[goal]]</f>
        <v>1.8866966666666667</v>
      </c>
      <c r="T1477" s="8">
        <f>IF(Table1[[#This Row],[pledged]]=0,"no backers",Table1[[#This Row],[pledged]]/Table1[[#This Row],[backers_count]])</f>
        <v>64.173356009070289</v>
      </c>
      <c r="U1477" t="str">
        <f>LEFT(Table1[[#This Row],[Category and Sub-Category]],FIND("/",Table1[[#This Row],[Category and Sub-Category]])-1)</f>
        <v>publishing</v>
      </c>
      <c r="V1477" t="str">
        <f>RIGHT(Table1[[#This Row],[Category and Sub-Category]],LEN(Table1[[#This Row],[Category and Sub-Category]])-FIND("/",Table1[[#This Row],[Category and Sub-Category]]))</f>
        <v>radio &amp; podcasts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 s="12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>((Table1[[#This Row],[deadline]]/60)/60/24)+DATE(1970,1,1)</f>
        <v>40796.041921296295</v>
      </c>
      <c r="K1478">
        <v>1313024422</v>
      </c>
      <c r="L1478" s="11">
        <f>((Table1[[#This Row],[launched_at]]/60)/60/24)+DATE(1970,1,1)</f>
        <v>40766.041921296295</v>
      </c>
      <c r="M1478">
        <f>MONTH(Table1[[#This Row],[Date Created Conversion]])</f>
        <v>8</v>
      </c>
      <c r="N1478">
        <f>YEAR(Table1[[#This Row],[Date Created Conversion]])</f>
        <v>2011</v>
      </c>
      <c r="O1478" t="b">
        <v>1</v>
      </c>
      <c r="P1478">
        <v>916</v>
      </c>
      <c r="Q1478" t="b">
        <v>1</v>
      </c>
      <c r="R1478" t="s">
        <v>8288</v>
      </c>
      <c r="S1478" s="6">
        <f>Table1[[#This Row],[pledged]]/Table1[[#This Row],[goal]]</f>
        <v>6.6155466666666669</v>
      </c>
      <c r="T1478" s="8">
        <f>IF(Table1[[#This Row],[pledged]]=0,"no backers",Table1[[#This Row],[pledged]]/Table1[[#This Row],[backers_count]])</f>
        <v>43.333275109170302</v>
      </c>
      <c r="U1478" t="str">
        <f>LEFT(Table1[[#This Row],[Category and Sub-Category]],FIND("/",Table1[[#This Row],[Category and Sub-Category]])-1)</f>
        <v>publishing</v>
      </c>
      <c r="V1478" t="str">
        <f>RIGHT(Table1[[#This Row],[Category and Sub-Category]],LEN(Table1[[#This Row],[Category and Sub-Category]])-FIND("/",Table1[[#This Row],[Category and Sub-Category]]))</f>
        <v>radio &amp; podcasts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 s="12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>((Table1[[#This Row],[deadline]]/60)/60/24)+DATE(1970,1,1)</f>
        <v>40900.125</v>
      </c>
      <c r="K1479">
        <v>1319467604</v>
      </c>
      <c r="L1479" s="11">
        <f>((Table1[[#This Row],[launched_at]]/60)/60/24)+DATE(1970,1,1)</f>
        <v>40840.615787037037</v>
      </c>
      <c r="M1479">
        <f>MONTH(Table1[[#This Row],[Date Created Conversion]])</f>
        <v>10</v>
      </c>
      <c r="N1479">
        <f>YEAR(Table1[[#This Row],[Date Created Conversion]])</f>
        <v>2011</v>
      </c>
      <c r="O1479" t="b">
        <v>1</v>
      </c>
      <c r="P1479">
        <v>369</v>
      </c>
      <c r="Q1479" t="b">
        <v>1</v>
      </c>
      <c r="R1479" t="s">
        <v>8288</v>
      </c>
      <c r="S1479" s="6">
        <f>Table1[[#This Row],[pledged]]/Table1[[#This Row],[goal]]</f>
        <v>1.1131</v>
      </c>
      <c r="T1479" s="8">
        <f>IF(Table1[[#This Row],[pledged]]=0,"no backers",Table1[[#This Row],[pledged]]/Table1[[#This Row],[backers_count]])</f>
        <v>90.495934959349597</v>
      </c>
      <c r="U1479" t="str">
        <f>LEFT(Table1[[#This Row],[Category and Sub-Category]],FIND("/",Table1[[#This Row],[Category and Sub-Category]])-1)</f>
        <v>publishing</v>
      </c>
      <c r="V1479" t="str">
        <f>RIGHT(Table1[[#This Row],[Category and Sub-Category]],LEN(Table1[[#This Row],[Category and Sub-Category]])-FIND("/",Table1[[#This Row],[Category and Sub-Category]]))</f>
        <v>radio &amp; podcasts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 s="12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>((Table1[[#This Row],[deadline]]/60)/60/24)+DATE(1970,1,1)</f>
        <v>41408.871678240743</v>
      </c>
      <c r="K1480">
        <v>1367355313</v>
      </c>
      <c r="L1480" s="11">
        <f>((Table1[[#This Row],[launched_at]]/60)/60/24)+DATE(1970,1,1)</f>
        <v>41394.871678240743</v>
      </c>
      <c r="M1480">
        <f>MONTH(Table1[[#This Row],[Date Created Conversion]])</f>
        <v>4</v>
      </c>
      <c r="N1480">
        <f>YEAR(Table1[[#This Row],[Date Created Conversion]])</f>
        <v>2013</v>
      </c>
      <c r="O1480" t="b">
        <v>1</v>
      </c>
      <c r="P1480">
        <v>20242</v>
      </c>
      <c r="Q1480" t="b">
        <v>1</v>
      </c>
      <c r="R1480" t="s">
        <v>8288</v>
      </c>
      <c r="S1480" s="6">
        <f>Table1[[#This Row],[pledged]]/Table1[[#This Row],[goal]]</f>
        <v>11.8161422</v>
      </c>
      <c r="T1480" s="8">
        <f>IF(Table1[[#This Row],[pledged]]=0,"no backers",Table1[[#This Row],[pledged]]/Table1[[#This Row],[backers_count]])</f>
        <v>29.187190495010373</v>
      </c>
      <c r="U1480" t="str">
        <f>LEFT(Table1[[#This Row],[Category and Sub-Category]],FIND("/",Table1[[#This Row],[Category and Sub-Category]])-1)</f>
        <v>publishing</v>
      </c>
      <c r="V1480" t="str">
        <f>RIGHT(Table1[[#This Row],[Category and Sub-Category]],LEN(Table1[[#This Row],[Category and Sub-Category]])-FIND("/",Table1[[#This Row],[Category and Sub-Category]]))</f>
        <v>radio &amp; podcasts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 s="12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>((Table1[[#This Row],[deadline]]/60)/60/24)+DATE(1970,1,1)</f>
        <v>41769.165972222225</v>
      </c>
      <c r="K1481">
        <v>1398448389</v>
      </c>
      <c r="L1481" s="11">
        <f>((Table1[[#This Row],[launched_at]]/60)/60/24)+DATE(1970,1,1)</f>
        <v>41754.745243055557</v>
      </c>
      <c r="M1481">
        <f>MONTH(Table1[[#This Row],[Date Created Conversion]])</f>
        <v>4</v>
      </c>
      <c r="N1481">
        <f>YEAR(Table1[[#This Row],[Date Created Conversion]])</f>
        <v>2014</v>
      </c>
      <c r="O1481" t="b">
        <v>1</v>
      </c>
      <c r="P1481">
        <v>71</v>
      </c>
      <c r="Q1481" t="b">
        <v>1</v>
      </c>
      <c r="R1481" t="s">
        <v>8288</v>
      </c>
      <c r="S1481" s="6">
        <f>Table1[[#This Row],[pledged]]/Table1[[#This Row],[goal]]</f>
        <v>1.37375</v>
      </c>
      <c r="T1481" s="8">
        <f>IF(Table1[[#This Row],[pledged]]=0,"no backers",Table1[[#This Row],[pledged]]/Table1[[#This Row],[backers_count]])</f>
        <v>30.95774647887324</v>
      </c>
      <c r="U1481" t="str">
        <f>LEFT(Table1[[#This Row],[Category and Sub-Category]],FIND("/",Table1[[#This Row],[Category and Sub-Category]])-1)</f>
        <v>publishing</v>
      </c>
      <c r="V1481" t="str">
        <f>RIGHT(Table1[[#This Row],[Category and Sub-Category]],LEN(Table1[[#This Row],[Category and Sub-Category]])-FIND("/",Table1[[#This Row],[Category and Sub-Category]]))</f>
        <v>radio &amp; podcasts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 s="1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>((Table1[[#This Row],[deadline]]/60)/60/24)+DATE(1970,1,1)</f>
        <v>41481.708333333336</v>
      </c>
      <c r="K1482">
        <v>1373408699</v>
      </c>
      <c r="L1482" s="11">
        <f>((Table1[[#This Row],[launched_at]]/60)/60/24)+DATE(1970,1,1)</f>
        <v>41464.934016203704</v>
      </c>
      <c r="M1482">
        <f>MONTH(Table1[[#This Row],[Date Created Conversion]])</f>
        <v>7</v>
      </c>
      <c r="N1482">
        <f>YEAR(Table1[[#This Row],[Date Created Conversion]])</f>
        <v>2013</v>
      </c>
      <c r="O1482" t="b">
        <v>1</v>
      </c>
      <c r="P1482">
        <v>635</v>
      </c>
      <c r="Q1482" t="b">
        <v>1</v>
      </c>
      <c r="R1482" t="s">
        <v>8288</v>
      </c>
      <c r="S1482" s="6">
        <f>Table1[[#This Row],[pledged]]/Table1[[#This Row],[goal]]</f>
        <v>1.170404</v>
      </c>
      <c r="T1482" s="8">
        <f>IF(Table1[[#This Row],[pledged]]=0,"no backers",Table1[[#This Row],[pledged]]/Table1[[#This Row],[backers_count]])</f>
        <v>92.157795275590544</v>
      </c>
      <c r="U1482" t="str">
        <f>LEFT(Table1[[#This Row],[Category and Sub-Category]],FIND("/",Table1[[#This Row],[Category and Sub-Category]])-1)</f>
        <v>publishing</v>
      </c>
      <c r="V1482" t="str">
        <f>RIGHT(Table1[[#This Row],[Category and Sub-Category]],LEN(Table1[[#This Row],[Category and Sub-Category]])-FIND("/",Table1[[#This Row],[Category and Sub-Category]]))</f>
        <v>radio &amp; podcasts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 s="12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>((Table1[[#This Row],[deadline]]/60)/60/24)+DATE(1970,1,1)</f>
        <v>41580.922974537039</v>
      </c>
      <c r="K1483">
        <v>1380838145</v>
      </c>
      <c r="L1483" s="11">
        <f>((Table1[[#This Row],[launched_at]]/60)/60/24)+DATE(1970,1,1)</f>
        <v>41550.922974537039</v>
      </c>
      <c r="M1483">
        <f>MONTH(Table1[[#This Row],[Date Created Conversion]])</f>
        <v>10</v>
      </c>
      <c r="N1483">
        <f>YEAR(Table1[[#This Row],[Date Created Conversion]])</f>
        <v>2013</v>
      </c>
      <c r="O1483" t="b">
        <v>0</v>
      </c>
      <c r="P1483">
        <v>6</v>
      </c>
      <c r="Q1483" t="b">
        <v>0</v>
      </c>
      <c r="R1483" t="s">
        <v>8275</v>
      </c>
      <c r="S1483" s="6">
        <f>Table1[[#This Row],[pledged]]/Table1[[#This Row],[goal]]</f>
        <v>2.1000000000000001E-2</v>
      </c>
      <c r="T1483" s="8">
        <f>IF(Table1[[#This Row],[pledged]]=0,"no backers",Table1[[#This Row],[pledged]]/Table1[[#This Row],[backers_count]])</f>
        <v>17.5</v>
      </c>
      <c r="U1483" t="str">
        <f>LEFT(Table1[[#This Row],[Category and Sub-Category]],FIND("/",Table1[[#This Row],[Category and Sub-Category]])-1)</f>
        <v>publishing</v>
      </c>
      <c r="V1483" t="str">
        <f>RIGHT(Table1[[#This Row],[Category and Sub-Category]],LEN(Table1[[#This Row],[Category and Sub-Category]])-FIND("/",Table1[[#This Row],[Category and Sub-Category]]))</f>
        <v>fiction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 s="12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>((Table1[[#This Row],[deadline]]/60)/60/24)+DATE(1970,1,1)</f>
        <v>41159.32708333333</v>
      </c>
      <c r="K1484">
        <v>1345062936</v>
      </c>
      <c r="L1484" s="11">
        <f>((Table1[[#This Row],[launched_at]]/60)/60/24)+DATE(1970,1,1)</f>
        <v>41136.85805555556</v>
      </c>
      <c r="M1484">
        <f>MONTH(Table1[[#This Row],[Date Created Conversion]])</f>
        <v>8</v>
      </c>
      <c r="N1484">
        <f>YEAR(Table1[[#This Row],[Date Created Conversion]])</f>
        <v>2012</v>
      </c>
      <c r="O1484" t="b">
        <v>0</v>
      </c>
      <c r="P1484">
        <v>1</v>
      </c>
      <c r="Q1484" t="b">
        <v>0</v>
      </c>
      <c r="R1484" t="s">
        <v>8275</v>
      </c>
      <c r="S1484" s="6">
        <f>Table1[[#This Row],[pledged]]/Table1[[#This Row],[goal]]</f>
        <v>1E-3</v>
      </c>
      <c r="T1484" s="8">
        <f>IF(Table1[[#This Row],[pledged]]=0,"no backers",Table1[[#This Row],[pledged]]/Table1[[#This Row],[backers_count]])</f>
        <v>5</v>
      </c>
      <c r="U1484" t="str">
        <f>LEFT(Table1[[#This Row],[Category and Sub-Category]],FIND("/",Table1[[#This Row],[Category and Sub-Category]])-1)</f>
        <v>publishing</v>
      </c>
      <c r="V1484" t="str">
        <f>RIGHT(Table1[[#This Row],[Category and Sub-Category]],LEN(Table1[[#This Row],[Category and Sub-Category]])-FIND("/",Table1[[#This Row],[Category and Sub-Category]]))</f>
        <v>fiction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 s="12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>((Table1[[#This Row],[deadline]]/60)/60/24)+DATE(1970,1,1)</f>
        <v>42573.192997685182</v>
      </c>
      <c r="K1485">
        <v>1467002275</v>
      </c>
      <c r="L1485" s="11">
        <f>((Table1[[#This Row],[launched_at]]/60)/60/24)+DATE(1970,1,1)</f>
        <v>42548.192997685182</v>
      </c>
      <c r="M1485">
        <f>MONTH(Table1[[#This Row],[Date Created Conversion]])</f>
        <v>6</v>
      </c>
      <c r="N1485">
        <f>YEAR(Table1[[#This Row],[Date Created Conversion]])</f>
        <v>2016</v>
      </c>
      <c r="O1485" t="b">
        <v>0</v>
      </c>
      <c r="P1485">
        <v>2</v>
      </c>
      <c r="Q1485" t="b">
        <v>0</v>
      </c>
      <c r="R1485" t="s">
        <v>8275</v>
      </c>
      <c r="S1485" s="6">
        <f>Table1[[#This Row],[pledged]]/Table1[[#This Row],[goal]]</f>
        <v>7.1428571428571426E-3</v>
      </c>
      <c r="T1485" s="8">
        <f>IF(Table1[[#This Row],[pledged]]=0,"no backers",Table1[[#This Row],[pledged]]/Table1[[#This Row],[backers_count]])</f>
        <v>25</v>
      </c>
      <c r="U1485" t="str">
        <f>LEFT(Table1[[#This Row],[Category and Sub-Category]],FIND("/",Table1[[#This Row],[Category and Sub-Category]])-1)</f>
        <v>publishing</v>
      </c>
      <c r="V1485" t="str">
        <f>RIGHT(Table1[[#This Row],[Category and Sub-Category]],LEN(Table1[[#This Row],[Category and Sub-Category]])-FIND("/",Table1[[#This Row],[Category and Sub-Category]]))</f>
        <v>fiction</v>
      </c>
    </row>
    <row r="1486" spans="1:22" x14ac:dyDescent="0.3">
      <c r="A1486">
        <v>1484</v>
      </c>
      <c r="B1486" s="3" t="s">
        <v>1485</v>
      </c>
      <c r="C1486" s="3" t="s">
        <v>5594</v>
      </c>
      <c r="D1486" s="12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>((Table1[[#This Row],[deadline]]/60)/60/24)+DATE(1970,1,1)</f>
        <v>41111.618750000001</v>
      </c>
      <c r="K1486">
        <v>1337834963</v>
      </c>
      <c r="L1486" s="11">
        <f>((Table1[[#This Row],[launched_at]]/60)/60/24)+DATE(1970,1,1)</f>
        <v>41053.200960648144</v>
      </c>
      <c r="M1486">
        <f>MONTH(Table1[[#This Row],[Date Created Conversion]])</f>
        <v>5</v>
      </c>
      <c r="N1486">
        <f>YEAR(Table1[[#This Row],[Date Created Conversion]])</f>
        <v>2012</v>
      </c>
      <c r="O1486" t="b">
        <v>0</v>
      </c>
      <c r="P1486">
        <v>0</v>
      </c>
      <c r="Q1486" t="b">
        <v>0</v>
      </c>
      <c r="R1486" t="s">
        <v>8275</v>
      </c>
      <c r="S1486" s="6">
        <f>Table1[[#This Row],[pledged]]/Table1[[#This Row],[goal]]</f>
        <v>0</v>
      </c>
      <c r="T1486" s="8" t="str">
        <f>IF(Table1[[#This Row],[pledged]]=0,"no backers",Table1[[#This Row],[pledged]]/Table1[[#This Row],[backers_count]])</f>
        <v>no backers</v>
      </c>
      <c r="U1486" t="str">
        <f>LEFT(Table1[[#This Row],[Category and Sub-Category]],FIND("/",Table1[[#This Row],[Category and Sub-Category]])-1)</f>
        <v>publishing</v>
      </c>
      <c r="V1486" t="str">
        <f>RIGHT(Table1[[#This Row],[Category and Sub-Category]],LEN(Table1[[#This Row],[Category and Sub-Category]])-FIND("/",Table1[[#This Row],[Category and Sub-Category]]))</f>
        <v>fiction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 s="12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>((Table1[[#This Row],[deadline]]/60)/60/24)+DATE(1970,1,1)</f>
        <v>42175.795983796299</v>
      </c>
      <c r="K1487">
        <v>1430939173</v>
      </c>
      <c r="L1487" s="11">
        <f>((Table1[[#This Row],[launched_at]]/60)/60/24)+DATE(1970,1,1)</f>
        <v>42130.795983796299</v>
      </c>
      <c r="M1487">
        <f>MONTH(Table1[[#This Row],[Date Created Conversion]])</f>
        <v>5</v>
      </c>
      <c r="N1487">
        <f>YEAR(Table1[[#This Row],[Date Created Conversion]])</f>
        <v>2015</v>
      </c>
      <c r="O1487" t="b">
        <v>0</v>
      </c>
      <c r="P1487">
        <v>3</v>
      </c>
      <c r="Q1487" t="b">
        <v>0</v>
      </c>
      <c r="R1487" t="s">
        <v>8275</v>
      </c>
      <c r="S1487" s="6">
        <f>Table1[[#This Row],[pledged]]/Table1[[#This Row],[goal]]</f>
        <v>2.2388059701492536E-2</v>
      </c>
      <c r="T1487" s="8">
        <f>IF(Table1[[#This Row],[pledged]]=0,"no backers",Table1[[#This Row],[pledged]]/Table1[[#This Row],[backers_count]])</f>
        <v>50</v>
      </c>
      <c r="U1487" t="str">
        <f>LEFT(Table1[[#This Row],[Category and Sub-Category]],FIND("/",Table1[[#This Row],[Category and Sub-Category]])-1)</f>
        <v>publishing</v>
      </c>
      <c r="V1487" t="str">
        <f>RIGHT(Table1[[#This Row],[Category and Sub-Category]],LEN(Table1[[#This Row],[Category and Sub-Category]])-FIND("/",Table1[[#This Row],[Category and Sub-Category]]))</f>
        <v>fiction</v>
      </c>
    </row>
    <row r="1488" spans="1:22" ht="57.6" x14ac:dyDescent="0.3">
      <c r="A1488">
        <v>1486</v>
      </c>
      <c r="B1488" s="3" t="s">
        <v>1487</v>
      </c>
      <c r="C1488" s="3" t="s">
        <v>5596</v>
      </c>
      <c r="D1488" s="12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>((Table1[[#This Row],[deadline]]/60)/60/24)+DATE(1970,1,1)</f>
        <v>42062.168530092589</v>
      </c>
      <c r="K1488">
        <v>1422417761</v>
      </c>
      <c r="L1488" s="11">
        <f>((Table1[[#This Row],[launched_at]]/60)/60/24)+DATE(1970,1,1)</f>
        <v>42032.168530092589</v>
      </c>
      <c r="M1488">
        <f>MONTH(Table1[[#This Row],[Date Created Conversion]])</f>
        <v>1</v>
      </c>
      <c r="N1488">
        <f>YEAR(Table1[[#This Row],[Date Created Conversion]])</f>
        <v>2015</v>
      </c>
      <c r="O1488" t="b">
        <v>0</v>
      </c>
      <c r="P1488">
        <v>3</v>
      </c>
      <c r="Q1488" t="b">
        <v>0</v>
      </c>
      <c r="R1488" t="s">
        <v>8275</v>
      </c>
      <c r="S1488" s="6">
        <f>Table1[[#This Row],[pledged]]/Table1[[#This Row],[goal]]</f>
        <v>2.3999999999999998E-3</v>
      </c>
      <c r="T1488" s="8">
        <f>IF(Table1[[#This Row],[pledged]]=0,"no backers",Table1[[#This Row],[pledged]]/Table1[[#This Row],[backers_count]])</f>
        <v>16</v>
      </c>
      <c r="U1488" t="str">
        <f>LEFT(Table1[[#This Row],[Category and Sub-Category]],FIND("/",Table1[[#This Row],[Category and Sub-Category]])-1)</f>
        <v>publishing</v>
      </c>
      <c r="V1488" t="str">
        <f>RIGHT(Table1[[#This Row],[Category and Sub-Category]],LEN(Table1[[#This Row],[Category and Sub-Category]])-FIND("/",Table1[[#This Row],[Category and Sub-Category]]))</f>
        <v>fiction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 s="12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>((Table1[[#This Row],[deadline]]/60)/60/24)+DATE(1970,1,1)</f>
        <v>42584.917488425926</v>
      </c>
      <c r="K1489">
        <v>1467583271</v>
      </c>
      <c r="L1489" s="11">
        <f>((Table1[[#This Row],[launched_at]]/60)/60/24)+DATE(1970,1,1)</f>
        <v>42554.917488425926</v>
      </c>
      <c r="M1489">
        <f>MONTH(Table1[[#This Row],[Date Created Conversion]])</f>
        <v>7</v>
      </c>
      <c r="N1489">
        <f>YEAR(Table1[[#This Row],[Date Created Conversion]])</f>
        <v>2016</v>
      </c>
      <c r="O1489" t="b">
        <v>0</v>
      </c>
      <c r="P1489">
        <v>0</v>
      </c>
      <c r="Q1489" t="b">
        <v>0</v>
      </c>
      <c r="R1489" t="s">
        <v>8275</v>
      </c>
      <c r="S1489" s="6">
        <f>Table1[[#This Row],[pledged]]/Table1[[#This Row],[goal]]</f>
        <v>0</v>
      </c>
      <c r="T1489" s="8" t="str">
        <f>IF(Table1[[#This Row],[pledged]]=0,"no backers",Table1[[#This Row],[pledged]]/Table1[[#This Row],[backers_count]])</f>
        <v>no backers</v>
      </c>
      <c r="U1489" t="str">
        <f>LEFT(Table1[[#This Row],[Category and Sub-Category]],FIND("/",Table1[[#This Row],[Category and Sub-Category]])-1)</f>
        <v>publishing</v>
      </c>
      <c r="V1489" t="str">
        <f>RIGHT(Table1[[#This Row],[Category and Sub-Category]],LEN(Table1[[#This Row],[Category and Sub-Category]])-FIND("/",Table1[[#This Row],[Category and Sub-Category]]))</f>
        <v>fiction</v>
      </c>
    </row>
    <row r="1490" spans="1:22" ht="43.2" x14ac:dyDescent="0.3">
      <c r="A1490">
        <v>1488</v>
      </c>
      <c r="B1490" s="3" t="s">
        <v>1489</v>
      </c>
      <c r="C1490" s="3" t="s">
        <v>5598</v>
      </c>
      <c r="D1490" s="12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>((Table1[[#This Row],[deadline]]/60)/60/24)+DATE(1970,1,1)</f>
        <v>41644.563194444447</v>
      </c>
      <c r="K1490">
        <v>1386336660</v>
      </c>
      <c r="L1490" s="11">
        <f>((Table1[[#This Row],[launched_at]]/60)/60/24)+DATE(1970,1,1)</f>
        <v>41614.563194444447</v>
      </c>
      <c r="M1490">
        <f>MONTH(Table1[[#This Row],[Date Created Conversion]])</f>
        <v>12</v>
      </c>
      <c r="N1490">
        <f>YEAR(Table1[[#This Row],[Date Created Conversion]])</f>
        <v>2013</v>
      </c>
      <c r="O1490" t="b">
        <v>0</v>
      </c>
      <c r="P1490">
        <v>6</v>
      </c>
      <c r="Q1490" t="b">
        <v>0</v>
      </c>
      <c r="R1490" t="s">
        <v>8275</v>
      </c>
      <c r="S1490" s="6">
        <f>Table1[[#This Row],[pledged]]/Table1[[#This Row],[goal]]</f>
        <v>2.4E-2</v>
      </c>
      <c r="T1490" s="8">
        <f>IF(Table1[[#This Row],[pledged]]=0,"no backers",Table1[[#This Row],[pledged]]/Table1[[#This Row],[backers_count]])</f>
        <v>60</v>
      </c>
      <c r="U1490" t="str">
        <f>LEFT(Table1[[#This Row],[Category and Sub-Category]],FIND("/",Table1[[#This Row],[Category and Sub-Category]])-1)</f>
        <v>publishing</v>
      </c>
      <c r="V1490" t="str">
        <f>RIGHT(Table1[[#This Row],[Category and Sub-Category]],LEN(Table1[[#This Row],[Category and Sub-Category]])-FIND("/",Table1[[#This Row],[Category and Sub-Category]]))</f>
        <v>fiction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 s="12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>((Table1[[#This Row],[deadline]]/60)/60/24)+DATE(1970,1,1)</f>
        <v>41228.653379629628</v>
      </c>
      <c r="K1491">
        <v>1350398452</v>
      </c>
      <c r="L1491" s="11">
        <f>((Table1[[#This Row],[launched_at]]/60)/60/24)+DATE(1970,1,1)</f>
        <v>41198.611712962964</v>
      </c>
      <c r="M1491">
        <f>MONTH(Table1[[#This Row],[Date Created Conversion]])</f>
        <v>10</v>
      </c>
      <c r="N1491">
        <f>YEAR(Table1[[#This Row],[Date Created Conversion]])</f>
        <v>2012</v>
      </c>
      <c r="O1491" t="b">
        <v>0</v>
      </c>
      <c r="P1491">
        <v>0</v>
      </c>
      <c r="Q1491" t="b">
        <v>0</v>
      </c>
      <c r="R1491" t="s">
        <v>8275</v>
      </c>
      <c r="S1491" s="6">
        <f>Table1[[#This Row],[pledged]]/Table1[[#This Row],[goal]]</f>
        <v>0</v>
      </c>
      <c r="T1491" s="8" t="str">
        <f>IF(Table1[[#This Row],[pledged]]=0,"no backers",Table1[[#This Row],[pledged]]/Table1[[#This Row],[backers_count]])</f>
        <v>no backers</v>
      </c>
      <c r="U1491" t="str">
        <f>LEFT(Table1[[#This Row],[Category and Sub-Category]],FIND("/",Table1[[#This Row],[Category and Sub-Category]])-1)</f>
        <v>publishing</v>
      </c>
      <c r="V1491" t="str">
        <f>RIGHT(Table1[[#This Row],[Category and Sub-Category]],LEN(Table1[[#This Row],[Category and Sub-Category]])-FIND("/",Table1[[#This Row],[Category and Sub-Category]]))</f>
        <v>fiction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 s="1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>((Table1[[#This Row],[deadline]]/60)/60/24)+DATE(1970,1,1)</f>
        <v>41549.561041666668</v>
      </c>
      <c r="K1492">
        <v>1378214874</v>
      </c>
      <c r="L1492" s="11">
        <f>((Table1[[#This Row],[launched_at]]/60)/60/24)+DATE(1970,1,1)</f>
        <v>41520.561041666668</v>
      </c>
      <c r="M1492">
        <f>MONTH(Table1[[#This Row],[Date Created Conversion]])</f>
        <v>9</v>
      </c>
      <c r="N1492">
        <f>YEAR(Table1[[#This Row],[Date Created Conversion]])</f>
        <v>2013</v>
      </c>
      <c r="O1492" t="b">
        <v>0</v>
      </c>
      <c r="P1492">
        <v>19</v>
      </c>
      <c r="Q1492" t="b">
        <v>0</v>
      </c>
      <c r="R1492" t="s">
        <v>8275</v>
      </c>
      <c r="S1492" s="6">
        <f>Table1[[#This Row],[pledged]]/Table1[[#This Row],[goal]]</f>
        <v>0.30862068965517242</v>
      </c>
      <c r="T1492" s="8">
        <f>IF(Table1[[#This Row],[pledged]]=0,"no backers",Table1[[#This Row],[pledged]]/Table1[[#This Row],[backers_count]])</f>
        <v>47.10526315789474</v>
      </c>
      <c r="U1492" t="str">
        <f>LEFT(Table1[[#This Row],[Category and Sub-Category]],FIND("/",Table1[[#This Row],[Category and Sub-Category]])-1)</f>
        <v>publishing</v>
      </c>
      <c r="V1492" t="str">
        <f>RIGHT(Table1[[#This Row],[Category and Sub-Category]],LEN(Table1[[#This Row],[Category and Sub-Category]])-FIND("/",Table1[[#This Row],[Category and Sub-Category]]))</f>
        <v>fiction</v>
      </c>
    </row>
    <row r="1493" spans="1:22" ht="43.2" x14ac:dyDescent="0.3">
      <c r="A1493">
        <v>1491</v>
      </c>
      <c r="B1493" s="3" t="s">
        <v>1492</v>
      </c>
      <c r="C1493" s="3" t="s">
        <v>5601</v>
      </c>
      <c r="D1493" s="12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>((Table1[[#This Row],[deadline]]/60)/60/24)+DATE(1970,1,1)</f>
        <v>42050.651388888888</v>
      </c>
      <c r="K1493">
        <v>1418922443</v>
      </c>
      <c r="L1493" s="11">
        <f>((Table1[[#This Row],[launched_at]]/60)/60/24)+DATE(1970,1,1)</f>
        <v>41991.713460648149</v>
      </c>
      <c r="M1493">
        <f>MONTH(Table1[[#This Row],[Date Created Conversion]])</f>
        <v>12</v>
      </c>
      <c r="N1493">
        <f>YEAR(Table1[[#This Row],[Date Created Conversion]])</f>
        <v>2014</v>
      </c>
      <c r="O1493" t="b">
        <v>0</v>
      </c>
      <c r="P1493">
        <v>1</v>
      </c>
      <c r="Q1493" t="b">
        <v>0</v>
      </c>
      <c r="R1493" t="s">
        <v>8275</v>
      </c>
      <c r="S1493" s="6">
        <f>Table1[[#This Row],[pledged]]/Table1[[#This Row],[goal]]</f>
        <v>8.3333333333333329E-2</v>
      </c>
      <c r="T1493" s="8">
        <f>IF(Table1[[#This Row],[pledged]]=0,"no backers",Table1[[#This Row],[pledged]]/Table1[[#This Row],[backers_count]])</f>
        <v>100</v>
      </c>
      <c r="U1493" t="str">
        <f>LEFT(Table1[[#This Row],[Category and Sub-Category]],FIND("/",Table1[[#This Row],[Category and Sub-Category]])-1)</f>
        <v>publishing</v>
      </c>
      <c r="V1493" t="str">
        <f>RIGHT(Table1[[#This Row],[Category and Sub-Category]],LEN(Table1[[#This Row],[Category and Sub-Category]])-FIND("/",Table1[[#This Row],[Category and Sub-Category]]))</f>
        <v>fiction</v>
      </c>
    </row>
    <row r="1494" spans="1:22" ht="57.6" x14ac:dyDescent="0.3">
      <c r="A1494">
        <v>1492</v>
      </c>
      <c r="B1494" s="3" t="s">
        <v>1493</v>
      </c>
      <c r="C1494" s="3" t="s">
        <v>5602</v>
      </c>
      <c r="D1494" s="12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>((Table1[[#This Row],[deadline]]/60)/60/24)+DATE(1970,1,1)</f>
        <v>40712.884791666671</v>
      </c>
      <c r="K1494">
        <v>1305839646</v>
      </c>
      <c r="L1494" s="11">
        <f>((Table1[[#This Row],[launched_at]]/60)/60/24)+DATE(1970,1,1)</f>
        <v>40682.884791666671</v>
      </c>
      <c r="M1494">
        <f>MONTH(Table1[[#This Row],[Date Created Conversion]])</f>
        <v>5</v>
      </c>
      <c r="N1494">
        <f>YEAR(Table1[[#This Row],[Date Created Conversion]])</f>
        <v>2011</v>
      </c>
      <c r="O1494" t="b">
        <v>0</v>
      </c>
      <c r="P1494">
        <v>2</v>
      </c>
      <c r="Q1494" t="b">
        <v>0</v>
      </c>
      <c r="R1494" t="s">
        <v>8275</v>
      </c>
      <c r="S1494" s="6">
        <f>Table1[[#This Row],[pledged]]/Table1[[#This Row],[goal]]</f>
        <v>7.4999999999999997E-3</v>
      </c>
      <c r="T1494" s="8">
        <f>IF(Table1[[#This Row],[pledged]]=0,"no backers",Table1[[#This Row],[pledged]]/Table1[[#This Row],[backers_count]])</f>
        <v>15</v>
      </c>
      <c r="U1494" t="str">
        <f>LEFT(Table1[[#This Row],[Category and Sub-Category]],FIND("/",Table1[[#This Row],[Category and Sub-Category]])-1)</f>
        <v>publishing</v>
      </c>
      <c r="V1494" t="str">
        <f>RIGHT(Table1[[#This Row],[Category and Sub-Category]],LEN(Table1[[#This Row],[Category and Sub-Category]])-FIND("/",Table1[[#This Row],[Category and Sub-Category]]))</f>
        <v>fiction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 s="12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>((Table1[[#This Row],[deadline]]/60)/60/24)+DATE(1970,1,1)</f>
        <v>41441.866608796299</v>
      </c>
      <c r="K1495">
        <v>1368823675</v>
      </c>
      <c r="L1495" s="11">
        <f>((Table1[[#This Row],[launched_at]]/60)/60/24)+DATE(1970,1,1)</f>
        <v>41411.866608796299</v>
      </c>
      <c r="M1495">
        <f>MONTH(Table1[[#This Row],[Date Created Conversion]])</f>
        <v>5</v>
      </c>
      <c r="N1495">
        <f>YEAR(Table1[[#This Row],[Date Created Conversion]])</f>
        <v>2013</v>
      </c>
      <c r="O1495" t="b">
        <v>0</v>
      </c>
      <c r="P1495">
        <v>0</v>
      </c>
      <c r="Q1495" t="b">
        <v>0</v>
      </c>
      <c r="R1495" t="s">
        <v>8275</v>
      </c>
      <c r="S1495" s="6">
        <f>Table1[[#This Row],[pledged]]/Table1[[#This Row],[goal]]</f>
        <v>0</v>
      </c>
      <c r="T1495" s="8" t="str">
        <f>IF(Table1[[#This Row],[pledged]]=0,"no backers",Table1[[#This Row],[pledged]]/Table1[[#This Row],[backers_count]])</f>
        <v>no backers</v>
      </c>
      <c r="U1495" t="str">
        <f>LEFT(Table1[[#This Row],[Category and Sub-Category]],FIND("/",Table1[[#This Row],[Category and Sub-Category]])-1)</f>
        <v>publishing</v>
      </c>
      <c r="V1495" t="str">
        <f>RIGHT(Table1[[#This Row],[Category and Sub-Category]],LEN(Table1[[#This Row],[Category and Sub-Category]])-FIND("/",Table1[[#This Row],[Category and Sub-Category]]))</f>
        <v>fiction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 s="12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>((Table1[[#This Row],[deadline]]/60)/60/24)+DATE(1970,1,1)</f>
        <v>42097.651388888888</v>
      </c>
      <c r="K1496">
        <v>1425489613</v>
      </c>
      <c r="L1496" s="11">
        <f>((Table1[[#This Row],[launched_at]]/60)/60/24)+DATE(1970,1,1)</f>
        <v>42067.722372685181</v>
      </c>
      <c r="M1496">
        <f>MONTH(Table1[[#This Row],[Date Created Conversion]])</f>
        <v>3</v>
      </c>
      <c r="N1496">
        <f>YEAR(Table1[[#This Row],[Date Created Conversion]])</f>
        <v>2015</v>
      </c>
      <c r="O1496" t="b">
        <v>0</v>
      </c>
      <c r="P1496">
        <v>11</v>
      </c>
      <c r="Q1496" t="b">
        <v>0</v>
      </c>
      <c r="R1496" t="s">
        <v>8275</v>
      </c>
      <c r="S1496" s="6">
        <f>Table1[[#This Row],[pledged]]/Table1[[#This Row],[goal]]</f>
        <v>8.8999999999999996E-2</v>
      </c>
      <c r="T1496" s="8">
        <f>IF(Table1[[#This Row],[pledged]]=0,"no backers",Table1[[#This Row],[pledged]]/Table1[[#This Row],[backers_count]])</f>
        <v>40.454545454545453</v>
      </c>
      <c r="U1496" t="str">
        <f>LEFT(Table1[[#This Row],[Category and Sub-Category]],FIND("/",Table1[[#This Row],[Category and Sub-Category]])-1)</f>
        <v>publishing</v>
      </c>
      <c r="V1496" t="str">
        <f>RIGHT(Table1[[#This Row],[Category and Sub-Category]],LEN(Table1[[#This Row],[Category and Sub-Category]])-FIND("/",Table1[[#This Row],[Category and Sub-Category]]))</f>
        <v>fiction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 s="12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>((Table1[[#This Row],[deadline]]/60)/60/24)+DATE(1970,1,1)</f>
        <v>40782.789710648147</v>
      </c>
      <c r="K1497">
        <v>1311879431</v>
      </c>
      <c r="L1497" s="11">
        <f>((Table1[[#This Row],[launched_at]]/60)/60/24)+DATE(1970,1,1)</f>
        <v>40752.789710648147</v>
      </c>
      <c r="M1497">
        <f>MONTH(Table1[[#This Row],[Date Created Conversion]])</f>
        <v>7</v>
      </c>
      <c r="N1497">
        <f>YEAR(Table1[[#This Row],[Date Created Conversion]])</f>
        <v>2011</v>
      </c>
      <c r="O1497" t="b">
        <v>0</v>
      </c>
      <c r="P1497">
        <v>0</v>
      </c>
      <c r="Q1497" t="b">
        <v>0</v>
      </c>
      <c r="R1497" t="s">
        <v>8275</v>
      </c>
      <c r="S1497" s="6">
        <f>Table1[[#This Row],[pledged]]/Table1[[#This Row],[goal]]</f>
        <v>0</v>
      </c>
      <c r="T1497" s="8" t="str">
        <f>IF(Table1[[#This Row],[pledged]]=0,"no backers",Table1[[#This Row],[pledged]]/Table1[[#This Row],[backers_count]])</f>
        <v>no backers</v>
      </c>
      <c r="U1497" t="str">
        <f>LEFT(Table1[[#This Row],[Category and Sub-Category]],FIND("/",Table1[[#This Row],[Category and Sub-Category]])-1)</f>
        <v>publishing</v>
      </c>
      <c r="V1497" t="str">
        <f>RIGHT(Table1[[#This Row],[Category and Sub-Category]],LEN(Table1[[#This Row],[Category and Sub-Category]])-FIND("/",Table1[[#This Row],[Category and Sub-Category]]))</f>
        <v>fiction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 s="12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>((Table1[[#This Row],[deadline]]/60)/60/24)+DATE(1970,1,1)</f>
        <v>41898.475219907406</v>
      </c>
      <c r="K1498">
        <v>1405682659</v>
      </c>
      <c r="L1498" s="11">
        <f>((Table1[[#This Row],[launched_at]]/60)/60/24)+DATE(1970,1,1)</f>
        <v>41838.475219907406</v>
      </c>
      <c r="M1498">
        <f>MONTH(Table1[[#This Row],[Date Created Conversion]])</f>
        <v>7</v>
      </c>
      <c r="N1498">
        <f>YEAR(Table1[[#This Row],[Date Created Conversion]])</f>
        <v>2014</v>
      </c>
      <c r="O1498" t="b">
        <v>0</v>
      </c>
      <c r="P1498">
        <v>0</v>
      </c>
      <c r="Q1498" t="b">
        <v>0</v>
      </c>
      <c r="R1498" t="s">
        <v>8275</v>
      </c>
      <c r="S1498" s="6">
        <f>Table1[[#This Row],[pledged]]/Table1[[#This Row],[goal]]</f>
        <v>0</v>
      </c>
      <c r="T1498" s="8" t="str">
        <f>IF(Table1[[#This Row],[pledged]]=0,"no backers",Table1[[#This Row],[pledged]]/Table1[[#This Row],[backers_count]])</f>
        <v>no backers</v>
      </c>
      <c r="U1498" t="str">
        <f>LEFT(Table1[[#This Row],[Category and Sub-Category]],FIND("/",Table1[[#This Row],[Category and Sub-Category]])-1)</f>
        <v>publishing</v>
      </c>
      <c r="V1498" t="str">
        <f>RIGHT(Table1[[#This Row],[Category and Sub-Category]],LEN(Table1[[#This Row],[Category and Sub-Category]])-FIND("/",Table1[[#This Row],[Category and Sub-Category]]))</f>
        <v>fiction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 s="12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>((Table1[[#This Row],[deadline]]/60)/60/24)+DATE(1970,1,1)</f>
        <v>41486.821527777778</v>
      </c>
      <c r="K1499">
        <v>1371655522</v>
      </c>
      <c r="L1499" s="11">
        <f>((Table1[[#This Row],[launched_at]]/60)/60/24)+DATE(1970,1,1)</f>
        <v>41444.64261574074</v>
      </c>
      <c r="M1499">
        <f>MONTH(Table1[[#This Row],[Date Created Conversion]])</f>
        <v>6</v>
      </c>
      <c r="N1499">
        <f>YEAR(Table1[[#This Row],[Date Created Conversion]])</f>
        <v>2013</v>
      </c>
      <c r="O1499" t="b">
        <v>0</v>
      </c>
      <c r="P1499">
        <v>1</v>
      </c>
      <c r="Q1499" t="b">
        <v>0</v>
      </c>
      <c r="R1499" t="s">
        <v>8275</v>
      </c>
      <c r="S1499" s="6">
        <f>Table1[[#This Row],[pledged]]/Table1[[#This Row],[goal]]</f>
        <v>6.666666666666667E-5</v>
      </c>
      <c r="T1499" s="8">
        <f>IF(Table1[[#This Row],[pledged]]=0,"no backers",Table1[[#This Row],[pledged]]/Table1[[#This Row],[backers_count]])</f>
        <v>1</v>
      </c>
      <c r="U1499" t="str">
        <f>LEFT(Table1[[#This Row],[Category and Sub-Category]],FIND("/",Table1[[#This Row],[Category and Sub-Category]])-1)</f>
        <v>publishing</v>
      </c>
      <c r="V1499" t="str">
        <f>RIGHT(Table1[[#This Row],[Category and Sub-Category]],LEN(Table1[[#This Row],[Category and Sub-Category]])-FIND("/",Table1[[#This Row],[Category and Sub-Category]]))</f>
        <v>fiction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 s="12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>((Table1[[#This Row],[deadline]]/60)/60/24)+DATE(1970,1,1)</f>
        <v>41885.983541666668</v>
      </c>
      <c r="K1500">
        <v>1405899378</v>
      </c>
      <c r="L1500" s="11">
        <f>((Table1[[#This Row],[launched_at]]/60)/60/24)+DATE(1970,1,1)</f>
        <v>41840.983541666668</v>
      </c>
      <c r="M1500">
        <f>MONTH(Table1[[#This Row],[Date Created Conversion]])</f>
        <v>7</v>
      </c>
      <c r="N1500">
        <f>YEAR(Table1[[#This Row],[Date Created Conversion]])</f>
        <v>2014</v>
      </c>
      <c r="O1500" t="b">
        <v>0</v>
      </c>
      <c r="P1500">
        <v>3</v>
      </c>
      <c r="Q1500" t="b">
        <v>0</v>
      </c>
      <c r="R1500" t="s">
        <v>8275</v>
      </c>
      <c r="S1500" s="6">
        <f>Table1[[#This Row],[pledged]]/Table1[[#This Row],[goal]]</f>
        <v>1.9E-2</v>
      </c>
      <c r="T1500" s="8">
        <f>IF(Table1[[#This Row],[pledged]]=0,"no backers",Table1[[#This Row],[pledged]]/Table1[[#This Row],[backers_count]])</f>
        <v>19</v>
      </c>
      <c r="U1500" t="str">
        <f>LEFT(Table1[[#This Row],[Category and Sub-Category]],FIND("/",Table1[[#This Row],[Category and Sub-Category]])-1)</f>
        <v>publishing</v>
      </c>
      <c r="V1500" t="str">
        <f>RIGHT(Table1[[#This Row],[Category and Sub-Category]],LEN(Table1[[#This Row],[Category and Sub-Category]])-FIND("/",Table1[[#This Row],[Category and Sub-Category]]))</f>
        <v>fiction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 s="12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>((Table1[[#This Row],[deadline]]/60)/60/24)+DATE(1970,1,1)</f>
        <v>42587.007326388892</v>
      </c>
      <c r="K1501">
        <v>1465171833</v>
      </c>
      <c r="L1501" s="11">
        <f>((Table1[[#This Row],[launched_at]]/60)/60/24)+DATE(1970,1,1)</f>
        <v>42527.007326388892</v>
      </c>
      <c r="M1501">
        <f>MONTH(Table1[[#This Row],[Date Created Conversion]])</f>
        <v>6</v>
      </c>
      <c r="N1501">
        <f>YEAR(Table1[[#This Row],[Date Created Conversion]])</f>
        <v>2016</v>
      </c>
      <c r="O1501" t="b">
        <v>0</v>
      </c>
      <c r="P1501">
        <v>1</v>
      </c>
      <c r="Q1501" t="b">
        <v>0</v>
      </c>
      <c r="R1501" t="s">
        <v>8275</v>
      </c>
      <c r="S1501" s="6">
        <f>Table1[[#This Row],[pledged]]/Table1[[#This Row],[goal]]</f>
        <v>2.5000000000000001E-3</v>
      </c>
      <c r="T1501" s="8">
        <f>IF(Table1[[#This Row],[pledged]]=0,"no backers",Table1[[#This Row],[pledged]]/Table1[[#This Row],[backers_count]])</f>
        <v>5</v>
      </c>
      <c r="U1501" t="str">
        <f>LEFT(Table1[[#This Row],[Category and Sub-Category]],FIND("/",Table1[[#This Row],[Category and Sub-Category]])-1)</f>
        <v>publishing</v>
      </c>
      <c r="V1501" t="str">
        <f>RIGHT(Table1[[#This Row],[Category and Sub-Category]],LEN(Table1[[#This Row],[Category and Sub-Category]])-FIND("/",Table1[[#This Row],[Category and Sub-Category]]))</f>
        <v>fiction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 s="1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>((Table1[[#This Row],[deadline]]/60)/60/24)+DATE(1970,1,1)</f>
        <v>41395.904594907406</v>
      </c>
      <c r="K1502">
        <v>1364852557</v>
      </c>
      <c r="L1502" s="11">
        <f>((Table1[[#This Row],[launched_at]]/60)/60/24)+DATE(1970,1,1)</f>
        <v>41365.904594907406</v>
      </c>
      <c r="M1502">
        <f>MONTH(Table1[[#This Row],[Date Created Conversion]])</f>
        <v>4</v>
      </c>
      <c r="N1502">
        <f>YEAR(Table1[[#This Row],[Date Created Conversion]])</f>
        <v>2013</v>
      </c>
      <c r="O1502" t="b">
        <v>0</v>
      </c>
      <c r="P1502">
        <v>15</v>
      </c>
      <c r="Q1502" t="b">
        <v>0</v>
      </c>
      <c r="R1502" t="s">
        <v>8275</v>
      </c>
      <c r="S1502" s="6">
        <f>Table1[[#This Row],[pledged]]/Table1[[#This Row],[goal]]</f>
        <v>0.25035714285714283</v>
      </c>
      <c r="T1502" s="8">
        <f>IF(Table1[[#This Row],[pledged]]=0,"no backers",Table1[[#This Row],[pledged]]/Table1[[#This Row],[backers_count]])</f>
        <v>46.733333333333334</v>
      </c>
      <c r="U1502" t="str">
        <f>LEFT(Table1[[#This Row],[Category and Sub-Category]],FIND("/",Table1[[#This Row],[Category and Sub-Category]])-1)</f>
        <v>publishing</v>
      </c>
      <c r="V1502" t="str">
        <f>RIGHT(Table1[[#This Row],[Category and Sub-Category]],LEN(Table1[[#This Row],[Category and Sub-Category]])-FIND("/",Table1[[#This Row],[Category and Sub-Category]]))</f>
        <v>fiction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 s="12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>((Table1[[#This Row],[deadline]]/60)/60/24)+DATE(1970,1,1)</f>
        <v>42193.583599537036</v>
      </c>
      <c r="K1503">
        <v>1433772023</v>
      </c>
      <c r="L1503" s="11">
        <f>((Table1[[#This Row],[launched_at]]/60)/60/24)+DATE(1970,1,1)</f>
        <v>42163.583599537036</v>
      </c>
      <c r="M1503">
        <f>MONTH(Table1[[#This Row],[Date Created Conversion]])</f>
        <v>6</v>
      </c>
      <c r="N1503">
        <f>YEAR(Table1[[#This Row],[Date Created Conversion]])</f>
        <v>2015</v>
      </c>
      <c r="O1503" t="b">
        <v>1</v>
      </c>
      <c r="P1503">
        <v>885</v>
      </c>
      <c r="Q1503" t="b">
        <v>1</v>
      </c>
      <c r="R1503" t="s">
        <v>8285</v>
      </c>
      <c r="S1503" s="6">
        <f>Table1[[#This Row],[pledged]]/Table1[[#This Row],[goal]]</f>
        <v>1.6633076923076924</v>
      </c>
      <c r="T1503" s="8">
        <f>IF(Table1[[#This Row],[pledged]]=0,"no backers",Table1[[#This Row],[pledged]]/Table1[[#This Row],[backers_count]])</f>
        <v>97.731073446327684</v>
      </c>
      <c r="U1503" t="str">
        <f>LEFT(Table1[[#This Row],[Category and Sub-Category]],FIND("/",Table1[[#This Row],[Category and Sub-Category]])-1)</f>
        <v>photography</v>
      </c>
      <c r="V1503" t="str">
        <f>RIGHT(Table1[[#This Row],[Category and Sub-Category]],LEN(Table1[[#This Row],[Category and Sub-Category]])-FIND("/",Table1[[#This Row],[Category and Sub-Category]]))</f>
        <v>photobooks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 s="12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>((Table1[[#This Row],[deadline]]/60)/60/24)+DATE(1970,1,1)</f>
        <v>42454.916666666672</v>
      </c>
      <c r="K1504">
        <v>1456491680</v>
      </c>
      <c r="L1504" s="11">
        <f>((Table1[[#This Row],[launched_at]]/60)/60/24)+DATE(1970,1,1)</f>
        <v>42426.542592592596</v>
      </c>
      <c r="M1504">
        <f>MONTH(Table1[[#This Row],[Date Created Conversion]])</f>
        <v>2</v>
      </c>
      <c r="N1504">
        <f>YEAR(Table1[[#This Row],[Date Created Conversion]])</f>
        <v>2016</v>
      </c>
      <c r="O1504" t="b">
        <v>1</v>
      </c>
      <c r="P1504">
        <v>329</v>
      </c>
      <c r="Q1504" t="b">
        <v>1</v>
      </c>
      <c r="R1504" t="s">
        <v>8285</v>
      </c>
      <c r="S1504" s="6">
        <f>Table1[[#This Row],[pledged]]/Table1[[#This Row],[goal]]</f>
        <v>1.0144545454545455</v>
      </c>
      <c r="T1504" s="8">
        <f>IF(Table1[[#This Row],[pledged]]=0,"no backers",Table1[[#This Row],[pledged]]/Table1[[#This Row],[backers_count]])</f>
        <v>67.835866261398181</v>
      </c>
      <c r="U1504" t="str">
        <f>LEFT(Table1[[#This Row],[Category and Sub-Category]],FIND("/",Table1[[#This Row],[Category and Sub-Category]])-1)</f>
        <v>photography</v>
      </c>
      <c r="V1504" t="str">
        <f>RIGHT(Table1[[#This Row],[Category and Sub-Category]],LEN(Table1[[#This Row],[Category and Sub-Category]])-FIND("/",Table1[[#This Row],[Category and Sub-Category]]))</f>
        <v>photobooks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 s="12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>((Table1[[#This Row],[deadline]]/60)/60/24)+DATE(1970,1,1)</f>
        <v>42666.347233796296</v>
      </c>
      <c r="K1505">
        <v>1472026801</v>
      </c>
      <c r="L1505" s="11">
        <f>((Table1[[#This Row],[launched_at]]/60)/60/24)+DATE(1970,1,1)</f>
        <v>42606.347233796296</v>
      </c>
      <c r="M1505">
        <f>MONTH(Table1[[#This Row],[Date Created Conversion]])</f>
        <v>8</v>
      </c>
      <c r="N1505">
        <f>YEAR(Table1[[#This Row],[Date Created Conversion]])</f>
        <v>2016</v>
      </c>
      <c r="O1505" t="b">
        <v>1</v>
      </c>
      <c r="P1505">
        <v>71</v>
      </c>
      <c r="Q1505" t="b">
        <v>1</v>
      </c>
      <c r="R1505" t="s">
        <v>8285</v>
      </c>
      <c r="S1505" s="6">
        <f>Table1[[#This Row],[pledged]]/Table1[[#This Row],[goal]]</f>
        <v>1.0789146666666667</v>
      </c>
      <c r="T1505" s="8">
        <f>IF(Table1[[#This Row],[pledged]]=0,"no backers",Table1[[#This Row],[pledged]]/Table1[[#This Row],[backers_count]])</f>
        <v>56.98492957746479</v>
      </c>
      <c r="U1505" t="str">
        <f>LEFT(Table1[[#This Row],[Category and Sub-Category]],FIND("/",Table1[[#This Row],[Category and Sub-Category]])-1)</f>
        <v>photography</v>
      </c>
      <c r="V1505" t="str">
        <f>RIGHT(Table1[[#This Row],[Category and Sub-Category]],LEN(Table1[[#This Row],[Category and Sub-Category]])-FIND("/",Table1[[#This Row],[Category and Sub-Category]]))</f>
        <v>photobooks</v>
      </c>
    </row>
    <row r="1506" spans="1:22" ht="43.2" x14ac:dyDescent="0.3">
      <c r="A1506">
        <v>1504</v>
      </c>
      <c r="B1506" s="3" t="s">
        <v>1505</v>
      </c>
      <c r="C1506" s="3" t="s">
        <v>5614</v>
      </c>
      <c r="D1506" s="12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>((Table1[[#This Row],[deadline]]/60)/60/24)+DATE(1970,1,1)</f>
        <v>41800.356249999997</v>
      </c>
      <c r="K1506">
        <v>1399996024</v>
      </c>
      <c r="L1506" s="11">
        <f>((Table1[[#This Row],[launched_at]]/60)/60/24)+DATE(1970,1,1)</f>
        <v>41772.657685185186</v>
      </c>
      <c r="M1506">
        <f>MONTH(Table1[[#This Row],[Date Created Conversion]])</f>
        <v>5</v>
      </c>
      <c r="N1506">
        <f>YEAR(Table1[[#This Row],[Date Created Conversion]])</f>
        <v>2014</v>
      </c>
      <c r="O1506" t="b">
        <v>1</v>
      </c>
      <c r="P1506">
        <v>269</v>
      </c>
      <c r="Q1506" t="b">
        <v>1</v>
      </c>
      <c r="R1506" t="s">
        <v>8285</v>
      </c>
      <c r="S1506" s="6">
        <f>Table1[[#This Row],[pledged]]/Table1[[#This Row],[goal]]</f>
        <v>2.7793846153846156</v>
      </c>
      <c r="T1506" s="8">
        <f>IF(Table1[[#This Row],[pledged]]=0,"no backers",Table1[[#This Row],[pledged]]/Table1[[#This Row],[backers_count]])</f>
        <v>67.159851301115239</v>
      </c>
      <c r="U1506" t="str">
        <f>LEFT(Table1[[#This Row],[Category and Sub-Category]],FIND("/",Table1[[#This Row],[Category and Sub-Category]])-1)</f>
        <v>photography</v>
      </c>
      <c r="V1506" t="str">
        <f>RIGHT(Table1[[#This Row],[Category and Sub-Category]],LEN(Table1[[#This Row],[Category and Sub-Category]])-FIND("/",Table1[[#This Row],[Category and Sub-Category]]))</f>
        <v>photobooks</v>
      </c>
    </row>
    <row r="1507" spans="1:22" ht="57.6" x14ac:dyDescent="0.3">
      <c r="A1507">
        <v>1505</v>
      </c>
      <c r="B1507" s="3" t="s">
        <v>1506</v>
      </c>
      <c r="C1507" s="3" t="s">
        <v>5615</v>
      </c>
      <c r="D1507" s="12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>((Table1[[#This Row],[deadline]]/60)/60/24)+DATE(1970,1,1)</f>
        <v>42451.834027777775</v>
      </c>
      <c r="K1507">
        <v>1455446303</v>
      </c>
      <c r="L1507" s="11">
        <f>((Table1[[#This Row],[launched_at]]/60)/60/24)+DATE(1970,1,1)</f>
        <v>42414.44332175926</v>
      </c>
      <c r="M1507">
        <f>MONTH(Table1[[#This Row],[Date Created Conversion]])</f>
        <v>2</v>
      </c>
      <c r="N1507">
        <f>YEAR(Table1[[#This Row],[Date Created Conversion]])</f>
        <v>2016</v>
      </c>
      <c r="O1507" t="b">
        <v>1</v>
      </c>
      <c r="P1507">
        <v>345</v>
      </c>
      <c r="Q1507" t="b">
        <v>1</v>
      </c>
      <c r="R1507" t="s">
        <v>8285</v>
      </c>
      <c r="S1507" s="6">
        <f>Table1[[#This Row],[pledged]]/Table1[[#This Row],[goal]]</f>
        <v>1.0358125</v>
      </c>
      <c r="T1507" s="8">
        <f>IF(Table1[[#This Row],[pledged]]=0,"no backers",Table1[[#This Row],[pledged]]/Table1[[#This Row],[backers_count]])</f>
        <v>48.037681159420288</v>
      </c>
      <c r="U1507" t="str">
        <f>LEFT(Table1[[#This Row],[Category and Sub-Category]],FIND("/",Table1[[#This Row],[Category and Sub-Category]])-1)</f>
        <v>photography</v>
      </c>
      <c r="V1507" t="str">
        <f>RIGHT(Table1[[#This Row],[Category and Sub-Category]],LEN(Table1[[#This Row],[Category and Sub-Category]])-FIND("/",Table1[[#This Row],[Category and Sub-Category]]))</f>
        <v>photobooks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 s="12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>((Table1[[#This Row],[deadline]]/60)/60/24)+DATE(1970,1,1)</f>
        <v>41844.785925925928</v>
      </c>
      <c r="K1508">
        <v>1403635904</v>
      </c>
      <c r="L1508" s="11">
        <f>((Table1[[#This Row],[launched_at]]/60)/60/24)+DATE(1970,1,1)</f>
        <v>41814.785925925928</v>
      </c>
      <c r="M1508">
        <f>MONTH(Table1[[#This Row],[Date Created Conversion]])</f>
        <v>6</v>
      </c>
      <c r="N1508">
        <f>YEAR(Table1[[#This Row],[Date Created Conversion]])</f>
        <v>2014</v>
      </c>
      <c r="O1508" t="b">
        <v>1</v>
      </c>
      <c r="P1508">
        <v>43</v>
      </c>
      <c r="Q1508" t="b">
        <v>1</v>
      </c>
      <c r="R1508" t="s">
        <v>8285</v>
      </c>
      <c r="S1508" s="6">
        <f>Table1[[#This Row],[pledged]]/Table1[[#This Row],[goal]]</f>
        <v>1.1140000000000001</v>
      </c>
      <c r="T1508" s="8">
        <f>IF(Table1[[#This Row],[pledged]]=0,"no backers",Table1[[#This Row],[pledged]]/Table1[[#This Row],[backers_count]])</f>
        <v>38.860465116279073</v>
      </c>
      <c r="U1508" t="str">
        <f>LEFT(Table1[[#This Row],[Category and Sub-Category]],FIND("/",Table1[[#This Row],[Category and Sub-Category]])-1)</f>
        <v>photography</v>
      </c>
      <c r="V1508" t="str">
        <f>RIGHT(Table1[[#This Row],[Category and Sub-Category]],LEN(Table1[[#This Row],[Category and Sub-Category]])-FIND("/",Table1[[#This Row],[Category and Sub-Category]]))</f>
        <v>photobooks</v>
      </c>
    </row>
    <row r="1509" spans="1:22" ht="57.6" x14ac:dyDescent="0.3">
      <c r="A1509">
        <v>1507</v>
      </c>
      <c r="B1509" s="3" t="s">
        <v>1508</v>
      </c>
      <c r="C1509" s="3" t="s">
        <v>5617</v>
      </c>
      <c r="D1509" s="12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>((Table1[[#This Row],[deadline]]/60)/60/24)+DATE(1970,1,1)</f>
        <v>40313.340277777781</v>
      </c>
      <c r="K1509">
        <v>1268822909</v>
      </c>
      <c r="L1509" s="11">
        <f>((Table1[[#This Row],[launched_at]]/60)/60/24)+DATE(1970,1,1)</f>
        <v>40254.450335648151</v>
      </c>
      <c r="M1509">
        <f>MONTH(Table1[[#This Row],[Date Created Conversion]])</f>
        <v>3</v>
      </c>
      <c r="N1509">
        <f>YEAR(Table1[[#This Row],[Date Created Conversion]])</f>
        <v>2010</v>
      </c>
      <c r="O1509" t="b">
        <v>1</v>
      </c>
      <c r="P1509">
        <v>33</v>
      </c>
      <c r="Q1509" t="b">
        <v>1</v>
      </c>
      <c r="R1509" t="s">
        <v>8285</v>
      </c>
      <c r="S1509" s="6">
        <f>Table1[[#This Row],[pledged]]/Table1[[#This Row],[goal]]</f>
        <v>2.15</v>
      </c>
      <c r="T1509" s="8">
        <f>IF(Table1[[#This Row],[pledged]]=0,"no backers",Table1[[#This Row],[pledged]]/Table1[[#This Row],[backers_count]])</f>
        <v>78.181818181818187</v>
      </c>
      <c r="U1509" t="str">
        <f>LEFT(Table1[[#This Row],[Category and Sub-Category]],FIND("/",Table1[[#This Row],[Category and Sub-Category]])-1)</f>
        <v>photography</v>
      </c>
      <c r="V1509" t="str">
        <f>RIGHT(Table1[[#This Row],[Category and Sub-Category]],LEN(Table1[[#This Row],[Category and Sub-Category]])-FIND("/",Table1[[#This Row],[Category and Sub-Category]]))</f>
        <v>photobooks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 s="12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>((Table1[[#This Row],[deadline]]/60)/60/24)+DATE(1970,1,1)</f>
        <v>41817.614363425928</v>
      </c>
      <c r="K1510">
        <v>1401201881</v>
      </c>
      <c r="L1510" s="11">
        <f>((Table1[[#This Row],[launched_at]]/60)/60/24)+DATE(1970,1,1)</f>
        <v>41786.614363425928</v>
      </c>
      <c r="M1510">
        <f>MONTH(Table1[[#This Row],[Date Created Conversion]])</f>
        <v>5</v>
      </c>
      <c r="N1510">
        <f>YEAR(Table1[[#This Row],[Date Created Conversion]])</f>
        <v>2014</v>
      </c>
      <c r="O1510" t="b">
        <v>1</v>
      </c>
      <c r="P1510">
        <v>211</v>
      </c>
      <c r="Q1510" t="b">
        <v>1</v>
      </c>
      <c r="R1510" t="s">
        <v>8285</v>
      </c>
      <c r="S1510" s="6">
        <f>Table1[[#This Row],[pledged]]/Table1[[#This Row],[goal]]</f>
        <v>1.1076216216216217</v>
      </c>
      <c r="T1510" s="8">
        <f>IF(Table1[[#This Row],[pledged]]=0,"no backers",Table1[[#This Row],[pledged]]/Table1[[#This Row],[backers_count]])</f>
        <v>97.113744075829388</v>
      </c>
      <c r="U1510" t="str">
        <f>LEFT(Table1[[#This Row],[Category and Sub-Category]],FIND("/",Table1[[#This Row],[Category and Sub-Category]])-1)</f>
        <v>photography</v>
      </c>
      <c r="V1510" t="str">
        <f>RIGHT(Table1[[#This Row],[Category and Sub-Category]],LEN(Table1[[#This Row],[Category and Sub-Category]])-FIND("/",Table1[[#This Row],[Category and Sub-Category]]))</f>
        <v>photobooks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 s="12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>((Table1[[#This Row],[deadline]]/60)/60/24)+DATE(1970,1,1)</f>
        <v>42780.957638888889</v>
      </c>
      <c r="K1511">
        <v>1484570885</v>
      </c>
      <c r="L1511" s="11">
        <f>((Table1[[#This Row],[launched_at]]/60)/60/24)+DATE(1970,1,1)</f>
        <v>42751.533391203702</v>
      </c>
      <c r="M1511">
        <f>MONTH(Table1[[#This Row],[Date Created Conversion]])</f>
        <v>1</v>
      </c>
      <c r="N1511">
        <f>YEAR(Table1[[#This Row],[Date Created Conversion]])</f>
        <v>2017</v>
      </c>
      <c r="O1511" t="b">
        <v>1</v>
      </c>
      <c r="P1511">
        <v>196</v>
      </c>
      <c r="Q1511" t="b">
        <v>1</v>
      </c>
      <c r="R1511" t="s">
        <v>8285</v>
      </c>
      <c r="S1511" s="6">
        <f>Table1[[#This Row],[pledged]]/Table1[[#This Row],[goal]]</f>
        <v>1.2364125714285714</v>
      </c>
      <c r="T1511" s="8">
        <f>IF(Table1[[#This Row],[pledged]]=0,"no backers",Table1[[#This Row],[pledged]]/Table1[[#This Row],[backers_count]])</f>
        <v>110.39397959183674</v>
      </c>
      <c r="U1511" t="str">
        <f>LEFT(Table1[[#This Row],[Category and Sub-Category]],FIND("/",Table1[[#This Row],[Category and Sub-Category]])-1)</f>
        <v>photography</v>
      </c>
      <c r="V1511" t="str">
        <f>RIGHT(Table1[[#This Row],[Category and Sub-Category]],LEN(Table1[[#This Row],[Category and Sub-Category]])-FIND("/",Table1[[#This Row],[Category and Sub-Category]]))</f>
        <v>photobooks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 s="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>((Table1[[#This Row],[deadline]]/60)/60/24)+DATE(1970,1,1)</f>
        <v>41839.385162037033</v>
      </c>
      <c r="K1512">
        <v>1403169278</v>
      </c>
      <c r="L1512" s="11">
        <f>((Table1[[#This Row],[launched_at]]/60)/60/24)+DATE(1970,1,1)</f>
        <v>41809.385162037033</v>
      </c>
      <c r="M1512">
        <f>MONTH(Table1[[#This Row],[Date Created Conversion]])</f>
        <v>6</v>
      </c>
      <c r="N1512">
        <f>YEAR(Table1[[#This Row],[Date Created Conversion]])</f>
        <v>2014</v>
      </c>
      <c r="O1512" t="b">
        <v>1</v>
      </c>
      <c r="P1512">
        <v>405</v>
      </c>
      <c r="Q1512" t="b">
        <v>1</v>
      </c>
      <c r="R1512" t="s">
        <v>8285</v>
      </c>
      <c r="S1512" s="6">
        <f>Table1[[#This Row],[pledged]]/Table1[[#This Row],[goal]]</f>
        <v>1.0103500000000001</v>
      </c>
      <c r="T1512" s="8">
        <f>IF(Table1[[#This Row],[pledged]]=0,"no backers",Table1[[#This Row],[pledged]]/Table1[[#This Row],[backers_count]])</f>
        <v>39.91506172839506</v>
      </c>
      <c r="U1512" t="str">
        <f>LEFT(Table1[[#This Row],[Category and Sub-Category]],FIND("/",Table1[[#This Row],[Category and Sub-Category]])-1)</f>
        <v>photography</v>
      </c>
      <c r="V1512" t="str">
        <f>RIGHT(Table1[[#This Row],[Category and Sub-Category]],LEN(Table1[[#This Row],[Category and Sub-Category]])-FIND("/",Table1[[#This Row],[Category and Sub-Category]]))</f>
        <v>photobooks</v>
      </c>
    </row>
    <row r="1513" spans="1:22" ht="57.6" x14ac:dyDescent="0.3">
      <c r="A1513">
        <v>1511</v>
      </c>
      <c r="B1513" s="3" t="s">
        <v>1512</v>
      </c>
      <c r="C1513" s="3" t="s">
        <v>5621</v>
      </c>
      <c r="D1513" s="12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>((Table1[[#This Row],[deadline]]/60)/60/24)+DATE(1970,1,1)</f>
        <v>42326.625046296293</v>
      </c>
      <c r="K1513">
        <v>1445263204</v>
      </c>
      <c r="L1513" s="11">
        <f>((Table1[[#This Row],[launched_at]]/60)/60/24)+DATE(1970,1,1)</f>
        <v>42296.583379629628</v>
      </c>
      <c r="M1513">
        <f>MONTH(Table1[[#This Row],[Date Created Conversion]])</f>
        <v>10</v>
      </c>
      <c r="N1513">
        <f>YEAR(Table1[[#This Row],[Date Created Conversion]])</f>
        <v>2015</v>
      </c>
      <c r="O1513" t="b">
        <v>1</v>
      </c>
      <c r="P1513">
        <v>206</v>
      </c>
      <c r="Q1513" t="b">
        <v>1</v>
      </c>
      <c r="R1513" t="s">
        <v>8285</v>
      </c>
      <c r="S1513" s="6">
        <f>Table1[[#This Row],[pledged]]/Table1[[#This Row],[goal]]</f>
        <v>1.1179285714285714</v>
      </c>
      <c r="T1513" s="8">
        <f>IF(Table1[[#This Row],[pledged]]=0,"no backers",Table1[[#This Row],[pledged]]/Table1[[#This Row],[backers_count]])</f>
        <v>75.975728155339809</v>
      </c>
      <c r="U1513" t="str">
        <f>LEFT(Table1[[#This Row],[Category and Sub-Category]],FIND("/",Table1[[#This Row],[Category and Sub-Category]])-1)</f>
        <v>photography</v>
      </c>
      <c r="V1513" t="str">
        <f>RIGHT(Table1[[#This Row],[Category and Sub-Category]],LEN(Table1[[#This Row],[Category and Sub-Category]])-FIND("/",Table1[[#This Row],[Category and Sub-Category]]))</f>
        <v>photobooks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 s="12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>((Table1[[#This Row],[deadline]]/60)/60/24)+DATE(1970,1,1)</f>
        <v>42771.684479166666</v>
      </c>
      <c r="K1514">
        <v>1483719939</v>
      </c>
      <c r="L1514" s="11">
        <f>((Table1[[#This Row],[launched_at]]/60)/60/24)+DATE(1970,1,1)</f>
        <v>42741.684479166666</v>
      </c>
      <c r="M1514">
        <f>MONTH(Table1[[#This Row],[Date Created Conversion]])</f>
        <v>1</v>
      </c>
      <c r="N1514">
        <f>YEAR(Table1[[#This Row],[Date Created Conversion]])</f>
        <v>2017</v>
      </c>
      <c r="O1514" t="b">
        <v>1</v>
      </c>
      <c r="P1514">
        <v>335</v>
      </c>
      <c r="Q1514" t="b">
        <v>1</v>
      </c>
      <c r="R1514" t="s">
        <v>8285</v>
      </c>
      <c r="S1514" s="6">
        <f>Table1[[#This Row],[pledged]]/Table1[[#This Row],[goal]]</f>
        <v>5.5877142857142861</v>
      </c>
      <c r="T1514" s="8">
        <f>IF(Table1[[#This Row],[pledged]]=0,"no backers",Table1[[#This Row],[pledged]]/Table1[[#This Row],[backers_count]])</f>
        <v>58.379104477611939</v>
      </c>
      <c r="U1514" t="str">
        <f>LEFT(Table1[[#This Row],[Category and Sub-Category]],FIND("/",Table1[[#This Row],[Category and Sub-Category]])-1)</f>
        <v>photography</v>
      </c>
      <c r="V1514" t="str">
        <f>RIGHT(Table1[[#This Row],[Category and Sub-Category]],LEN(Table1[[#This Row],[Category and Sub-Category]])-FIND("/",Table1[[#This Row],[Category and Sub-Category]]))</f>
        <v>photobooks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 s="12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>((Table1[[#This Row],[deadline]]/60)/60/24)+DATE(1970,1,1)</f>
        <v>41836.637337962966</v>
      </c>
      <c r="K1515">
        <v>1402931866</v>
      </c>
      <c r="L1515" s="11">
        <f>((Table1[[#This Row],[launched_at]]/60)/60/24)+DATE(1970,1,1)</f>
        <v>41806.637337962966</v>
      </c>
      <c r="M1515">
        <f>MONTH(Table1[[#This Row],[Date Created Conversion]])</f>
        <v>6</v>
      </c>
      <c r="N1515">
        <f>YEAR(Table1[[#This Row],[Date Created Conversion]])</f>
        <v>2014</v>
      </c>
      <c r="O1515" t="b">
        <v>1</v>
      </c>
      <c r="P1515">
        <v>215</v>
      </c>
      <c r="Q1515" t="b">
        <v>1</v>
      </c>
      <c r="R1515" t="s">
        <v>8285</v>
      </c>
      <c r="S1515" s="6">
        <f>Table1[[#This Row],[pledged]]/Table1[[#This Row],[goal]]</f>
        <v>1.5001875</v>
      </c>
      <c r="T1515" s="8">
        <f>IF(Table1[[#This Row],[pledged]]=0,"no backers",Table1[[#This Row],[pledged]]/Table1[[#This Row],[backers_count]])</f>
        <v>55.82093023255814</v>
      </c>
      <c r="U1515" t="str">
        <f>LEFT(Table1[[#This Row],[Category and Sub-Category]],FIND("/",Table1[[#This Row],[Category and Sub-Category]])-1)</f>
        <v>photography</v>
      </c>
      <c r="V1515" t="str">
        <f>RIGHT(Table1[[#This Row],[Category and Sub-Category]],LEN(Table1[[#This Row],[Category and Sub-Category]])-FIND("/",Table1[[#This Row],[Category and Sub-Category]]))</f>
        <v>photobooks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 s="12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>((Table1[[#This Row],[deadline]]/60)/60/24)+DATE(1970,1,1)</f>
        <v>42274.597685185188</v>
      </c>
      <c r="K1516">
        <v>1439907640</v>
      </c>
      <c r="L1516" s="11">
        <f>((Table1[[#This Row],[launched_at]]/60)/60/24)+DATE(1970,1,1)</f>
        <v>42234.597685185188</v>
      </c>
      <c r="M1516">
        <f>MONTH(Table1[[#This Row],[Date Created Conversion]])</f>
        <v>8</v>
      </c>
      <c r="N1516">
        <f>YEAR(Table1[[#This Row],[Date Created Conversion]])</f>
        <v>2015</v>
      </c>
      <c r="O1516" t="b">
        <v>1</v>
      </c>
      <c r="P1516">
        <v>176</v>
      </c>
      <c r="Q1516" t="b">
        <v>1</v>
      </c>
      <c r="R1516" t="s">
        <v>8285</v>
      </c>
      <c r="S1516" s="6">
        <f>Table1[[#This Row],[pledged]]/Table1[[#This Row],[goal]]</f>
        <v>1.0647599999999999</v>
      </c>
      <c r="T1516" s="8">
        <f>IF(Table1[[#This Row],[pledged]]=0,"no backers",Table1[[#This Row],[pledged]]/Table1[[#This Row],[backers_count]])</f>
        <v>151.24431818181819</v>
      </c>
      <c r="U1516" t="str">
        <f>LEFT(Table1[[#This Row],[Category and Sub-Category]],FIND("/",Table1[[#This Row],[Category and Sub-Category]])-1)</f>
        <v>photography</v>
      </c>
      <c r="V1516" t="str">
        <f>RIGHT(Table1[[#This Row],[Category and Sub-Category]],LEN(Table1[[#This Row],[Category and Sub-Category]])-FIND("/",Table1[[#This Row],[Category and Sub-Category]]))</f>
        <v>photobooks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 s="12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>((Table1[[#This Row],[deadline]]/60)/60/24)+DATE(1970,1,1)</f>
        <v>42445.211770833332</v>
      </c>
      <c r="K1517">
        <v>1455516297</v>
      </c>
      <c r="L1517" s="11">
        <f>((Table1[[#This Row],[launched_at]]/60)/60/24)+DATE(1970,1,1)</f>
        <v>42415.253437499996</v>
      </c>
      <c r="M1517">
        <f>MONTH(Table1[[#This Row],[Date Created Conversion]])</f>
        <v>2</v>
      </c>
      <c r="N1517">
        <f>YEAR(Table1[[#This Row],[Date Created Conversion]])</f>
        <v>2016</v>
      </c>
      <c r="O1517" t="b">
        <v>1</v>
      </c>
      <c r="P1517">
        <v>555</v>
      </c>
      <c r="Q1517" t="b">
        <v>1</v>
      </c>
      <c r="R1517" t="s">
        <v>8285</v>
      </c>
      <c r="S1517" s="6">
        <f>Table1[[#This Row],[pledged]]/Table1[[#This Row],[goal]]</f>
        <v>1.57189</v>
      </c>
      <c r="T1517" s="8">
        <f>IF(Table1[[#This Row],[pledged]]=0,"no backers",Table1[[#This Row],[pledged]]/Table1[[#This Row],[backers_count]])</f>
        <v>849.67027027027029</v>
      </c>
      <c r="U1517" t="str">
        <f>LEFT(Table1[[#This Row],[Category and Sub-Category]],FIND("/",Table1[[#This Row],[Category and Sub-Category]])-1)</f>
        <v>photography</v>
      </c>
      <c r="V1517" t="str">
        <f>RIGHT(Table1[[#This Row],[Category and Sub-Category]],LEN(Table1[[#This Row],[Category and Sub-Category]])-FIND("/",Table1[[#This Row],[Category and Sub-Category]]))</f>
        <v>photobooks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 s="12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>((Table1[[#This Row],[deadline]]/60)/60/24)+DATE(1970,1,1)</f>
        <v>42649.583333333328</v>
      </c>
      <c r="K1518">
        <v>1473160292</v>
      </c>
      <c r="L1518" s="11">
        <f>((Table1[[#This Row],[launched_at]]/60)/60/24)+DATE(1970,1,1)</f>
        <v>42619.466342592597</v>
      </c>
      <c r="M1518">
        <f>MONTH(Table1[[#This Row],[Date Created Conversion]])</f>
        <v>9</v>
      </c>
      <c r="N1518">
        <f>YEAR(Table1[[#This Row],[Date Created Conversion]])</f>
        <v>2016</v>
      </c>
      <c r="O1518" t="b">
        <v>1</v>
      </c>
      <c r="P1518">
        <v>116</v>
      </c>
      <c r="Q1518" t="b">
        <v>1</v>
      </c>
      <c r="R1518" t="s">
        <v>8285</v>
      </c>
      <c r="S1518" s="6">
        <f>Table1[[#This Row],[pledged]]/Table1[[#This Row],[goal]]</f>
        <v>1.0865882352941176</v>
      </c>
      <c r="T1518" s="8">
        <f>IF(Table1[[#This Row],[pledged]]=0,"no backers",Table1[[#This Row],[pledged]]/Table1[[#This Row],[backers_count]])</f>
        <v>159.24137931034483</v>
      </c>
      <c r="U1518" t="str">
        <f>LEFT(Table1[[#This Row],[Category and Sub-Category]],FIND("/",Table1[[#This Row],[Category and Sub-Category]])-1)</f>
        <v>photography</v>
      </c>
      <c r="V1518" t="str">
        <f>RIGHT(Table1[[#This Row],[Category and Sub-Category]],LEN(Table1[[#This Row],[Category and Sub-Category]])-FIND("/",Table1[[#This Row],[Category and Sub-Category]]))</f>
        <v>photobooks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 s="12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>((Table1[[#This Row],[deadline]]/60)/60/24)+DATE(1970,1,1)</f>
        <v>41979.25</v>
      </c>
      <c r="K1519">
        <v>1415194553</v>
      </c>
      <c r="L1519" s="11">
        <f>((Table1[[#This Row],[launched_at]]/60)/60/24)+DATE(1970,1,1)</f>
        <v>41948.56658564815</v>
      </c>
      <c r="M1519">
        <f>MONTH(Table1[[#This Row],[Date Created Conversion]])</f>
        <v>11</v>
      </c>
      <c r="N1519">
        <f>YEAR(Table1[[#This Row],[Date Created Conversion]])</f>
        <v>2014</v>
      </c>
      <c r="O1519" t="b">
        <v>1</v>
      </c>
      <c r="P1519">
        <v>615</v>
      </c>
      <c r="Q1519" t="b">
        <v>1</v>
      </c>
      <c r="R1519" t="s">
        <v>8285</v>
      </c>
      <c r="S1519" s="6">
        <f>Table1[[#This Row],[pledged]]/Table1[[#This Row],[goal]]</f>
        <v>1.6197999999999999</v>
      </c>
      <c r="T1519" s="8">
        <f>IF(Table1[[#This Row],[pledged]]=0,"no backers",Table1[[#This Row],[pledged]]/Table1[[#This Row],[backers_count]])</f>
        <v>39.507317073170732</v>
      </c>
      <c r="U1519" t="str">
        <f>LEFT(Table1[[#This Row],[Category and Sub-Category]],FIND("/",Table1[[#This Row],[Category and Sub-Category]])-1)</f>
        <v>photography</v>
      </c>
      <c r="V1519" t="str">
        <f>RIGHT(Table1[[#This Row],[Category and Sub-Category]],LEN(Table1[[#This Row],[Category and Sub-Category]])-FIND("/",Table1[[#This Row],[Category and Sub-Category]]))</f>
        <v>photobooks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 s="12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>((Table1[[#This Row],[deadline]]/60)/60/24)+DATE(1970,1,1)</f>
        <v>41790.8200462963</v>
      </c>
      <c r="K1520">
        <v>1398973252</v>
      </c>
      <c r="L1520" s="11">
        <f>((Table1[[#This Row],[launched_at]]/60)/60/24)+DATE(1970,1,1)</f>
        <v>41760.8200462963</v>
      </c>
      <c r="M1520">
        <f>MONTH(Table1[[#This Row],[Date Created Conversion]])</f>
        <v>5</v>
      </c>
      <c r="N1520">
        <f>YEAR(Table1[[#This Row],[Date Created Conversion]])</f>
        <v>2014</v>
      </c>
      <c r="O1520" t="b">
        <v>1</v>
      </c>
      <c r="P1520">
        <v>236</v>
      </c>
      <c r="Q1520" t="b">
        <v>1</v>
      </c>
      <c r="R1520" t="s">
        <v>8285</v>
      </c>
      <c r="S1520" s="6">
        <f>Table1[[#This Row],[pledged]]/Table1[[#This Row],[goal]]</f>
        <v>2.0536666666666665</v>
      </c>
      <c r="T1520" s="8">
        <f>IF(Table1[[#This Row],[pledged]]=0,"no backers",Table1[[#This Row],[pledged]]/Table1[[#This Row],[backers_count]])</f>
        <v>130.52966101694915</v>
      </c>
      <c r="U1520" t="str">
        <f>LEFT(Table1[[#This Row],[Category and Sub-Category]],FIND("/",Table1[[#This Row],[Category and Sub-Category]])-1)</f>
        <v>photography</v>
      </c>
      <c r="V1520" t="str">
        <f>RIGHT(Table1[[#This Row],[Category and Sub-Category]],LEN(Table1[[#This Row],[Category and Sub-Category]])-FIND("/",Table1[[#This Row],[Category and Sub-Category]]))</f>
        <v>photobooks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 s="12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>((Table1[[#This Row],[deadline]]/60)/60/24)+DATE(1970,1,1)</f>
        <v>41810.915972222225</v>
      </c>
      <c r="K1521">
        <v>1400867283</v>
      </c>
      <c r="L1521" s="11">
        <f>((Table1[[#This Row],[launched_at]]/60)/60/24)+DATE(1970,1,1)</f>
        <v>41782.741701388892</v>
      </c>
      <c r="M1521">
        <f>MONTH(Table1[[#This Row],[Date Created Conversion]])</f>
        <v>5</v>
      </c>
      <c r="N1521">
        <f>YEAR(Table1[[#This Row],[Date Created Conversion]])</f>
        <v>2014</v>
      </c>
      <c r="O1521" t="b">
        <v>1</v>
      </c>
      <c r="P1521">
        <v>145</v>
      </c>
      <c r="Q1521" t="b">
        <v>1</v>
      </c>
      <c r="R1521" t="s">
        <v>8285</v>
      </c>
      <c r="S1521" s="6">
        <f>Table1[[#This Row],[pledged]]/Table1[[#This Row],[goal]]</f>
        <v>1.033638888888889</v>
      </c>
      <c r="T1521" s="8">
        <f>IF(Table1[[#This Row],[pledged]]=0,"no backers",Table1[[#This Row],[pledged]]/Table1[[#This Row],[backers_count]])</f>
        <v>64.156896551724131</v>
      </c>
      <c r="U1521" t="str">
        <f>LEFT(Table1[[#This Row],[Category and Sub-Category]],FIND("/",Table1[[#This Row],[Category and Sub-Category]])-1)</f>
        <v>photography</v>
      </c>
      <c r="V1521" t="str">
        <f>RIGHT(Table1[[#This Row],[Category and Sub-Category]],LEN(Table1[[#This Row],[Category and Sub-Category]])-FIND("/",Table1[[#This Row],[Category and Sub-Category]]))</f>
        <v>photobooks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 s="1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>((Table1[[#This Row],[deadline]]/60)/60/24)+DATE(1970,1,1)</f>
        <v>41992.166666666672</v>
      </c>
      <c r="K1522">
        <v>1415824513</v>
      </c>
      <c r="L1522" s="11">
        <f>((Table1[[#This Row],[launched_at]]/60)/60/24)+DATE(1970,1,1)</f>
        <v>41955.857789351852</v>
      </c>
      <c r="M1522">
        <f>MONTH(Table1[[#This Row],[Date Created Conversion]])</f>
        <v>11</v>
      </c>
      <c r="N1522">
        <f>YEAR(Table1[[#This Row],[Date Created Conversion]])</f>
        <v>2014</v>
      </c>
      <c r="O1522" t="b">
        <v>1</v>
      </c>
      <c r="P1522">
        <v>167</v>
      </c>
      <c r="Q1522" t="b">
        <v>1</v>
      </c>
      <c r="R1522" t="s">
        <v>8285</v>
      </c>
      <c r="S1522" s="6">
        <f>Table1[[#This Row],[pledged]]/Table1[[#This Row],[goal]]</f>
        <v>1.0347222222222223</v>
      </c>
      <c r="T1522" s="8">
        <f>IF(Table1[[#This Row],[pledged]]=0,"no backers",Table1[[#This Row],[pledged]]/Table1[[#This Row],[backers_count]])</f>
        <v>111.52694610778443</v>
      </c>
      <c r="U1522" t="str">
        <f>LEFT(Table1[[#This Row],[Category and Sub-Category]],FIND("/",Table1[[#This Row],[Category and Sub-Category]])-1)</f>
        <v>photography</v>
      </c>
      <c r="V1522" t="str">
        <f>RIGHT(Table1[[#This Row],[Category and Sub-Category]],LEN(Table1[[#This Row],[Category and Sub-Category]])-FIND("/",Table1[[#This Row],[Category and Sub-Category]]))</f>
        <v>photobooks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 s="12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>((Table1[[#This Row],[deadline]]/60)/60/24)+DATE(1970,1,1)</f>
        <v>42528.167719907404</v>
      </c>
      <c r="K1523">
        <v>1462248091</v>
      </c>
      <c r="L1523" s="11">
        <f>((Table1[[#This Row],[launched_at]]/60)/60/24)+DATE(1970,1,1)</f>
        <v>42493.167719907404</v>
      </c>
      <c r="M1523">
        <f>MONTH(Table1[[#This Row],[Date Created Conversion]])</f>
        <v>5</v>
      </c>
      <c r="N1523">
        <f>YEAR(Table1[[#This Row],[Date Created Conversion]])</f>
        <v>2016</v>
      </c>
      <c r="O1523" t="b">
        <v>1</v>
      </c>
      <c r="P1523">
        <v>235</v>
      </c>
      <c r="Q1523" t="b">
        <v>1</v>
      </c>
      <c r="R1523" t="s">
        <v>8285</v>
      </c>
      <c r="S1523" s="6">
        <f>Table1[[#This Row],[pledged]]/Table1[[#This Row],[goal]]</f>
        <v>1.0681333333333334</v>
      </c>
      <c r="T1523" s="8">
        <f>IF(Table1[[#This Row],[pledged]]=0,"no backers",Table1[[#This Row],[pledged]]/Table1[[#This Row],[backers_count]])</f>
        <v>170.44680851063831</v>
      </c>
      <c r="U1523" t="str">
        <f>LEFT(Table1[[#This Row],[Category and Sub-Category]],FIND("/",Table1[[#This Row],[Category and Sub-Category]])-1)</f>
        <v>photography</v>
      </c>
      <c r="V1523" t="str">
        <f>RIGHT(Table1[[#This Row],[Category and Sub-Category]],LEN(Table1[[#This Row],[Category and Sub-Category]])-FIND("/",Table1[[#This Row],[Category and Sub-Category]]))</f>
        <v>photobooks</v>
      </c>
    </row>
    <row r="1524" spans="1:22" ht="57.6" x14ac:dyDescent="0.3">
      <c r="A1524">
        <v>1522</v>
      </c>
      <c r="B1524" s="3" t="s">
        <v>1523</v>
      </c>
      <c r="C1524" s="3" t="s">
        <v>5632</v>
      </c>
      <c r="D1524" s="12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>((Table1[[#This Row],[deadline]]/60)/60/24)+DATE(1970,1,1)</f>
        <v>41929.830312500002</v>
      </c>
      <c r="K1524">
        <v>1410983739</v>
      </c>
      <c r="L1524" s="11">
        <f>((Table1[[#This Row],[launched_at]]/60)/60/24)+DATE(1970,1,1)</f>
        <v>41899.830312500002</v>
      </c>
      <c r="M1524">
        <f>MONTH(Table1[[#This Row],[Date Created Conversion]])</f>
        <v>9</v>
      </c>
      <c r="N1524">
        <f>YEAR(Table1[[#This Row],[Date Created Conversion]])</f>
        <v>2014</v>
      </c>
      <c r="O1524" t="b">
        <v>1</v>
      </c>
      <c r="P1524">
        <v>452</v>
      </c>
      <c r="Q1524" t="b">
        <v>1</v>
      </c>
      <c r="R1524" t="s">
        <v>8285</v>
      </c>
      <c r="S1524" s="6">
        <f>Table1[[#This Row],[pledged]]/Table1[[#This Row],[goal]]</f>
        <v>1.3896574712643677</v>
      </c>
      <c r="T1524" s="8">
        <f>IF(Table1[[#This Row],[pledged]]=0,"no backers",Table1[[#This Row],[pledged]]/Table1[[#This Row],[backers_count]])</f>
        <v>133.7391592920354</v>
      </c>
      <c r="U1524" t="str">
        <f>LEFT(Table1[[#This Row],[Category and Sub-Category]],FIND("/",Table1[[#This Row],[Category and Sub-Category]])-1)</f>
        <v>photography</v>
      </c>
      <c r="V1524" t="str">
        <f>RIGHT(Table1[[#This Row],[Category and Sub-Category]],LEN(Table1[[#This Row],[Category and Sub-Category]])-FIND("/",Table1[[#This Row],[Category and Sub-Category]]))</f>
        <v>photobooks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 s="12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>((Table1[[#This Row],[deadline]]/60)/60/24)+DATE(1970,1,1)</f>
        <v>41996</v>
      </c>
      <c r="K1525">
        <v>1416592916</v>
      </c>
      <c r="L1525" s="11">
        <f>((Table1[[#This Row],[launched_at]]/60)/60/24)+DATE(1970,1,1)</f>
        <v>41964.751342592594</v>
      </c>
      <c r="M1525">
        <f>MONTH(Table1[[#This Row],[Date Created Conversion]])</f>
        <v>11</v>
      </c>
      <c r="N1525">
        <f>YEAR(Table1[[#This Row],[Date Created Conversion]])</f>
        <v>2014</v>
      </c>
      <c r="O1525" t="b">
        <v>1</v>
      </c>
      <c r="P1525">
        <v>241</v>
      </c>
      <c r="Q1525" t="b">
        <v>1</v>
      </c>
      <c r="R1525" t="s">
        <v>8285</v>
      </c>
      <c r="S1525" s="6">
        <f>Table1[[#This Row],[pledged]]/Table1[[#This Row],[goal]]</f>
        <v>1.2484324324324325</v>
      </c>
      <c r="T1525" s="8">
        <f>IF(Table1[[#This Row],[pledged]]=0,"no backers",Table1[[#This Row],[pledged]]/Table1[[#This Row],[backers_count]])</f>
        <v>95.834024896265561</v>
      </c>
      <c r="U1525" t="str">
        <f>LEFT(Table1[[#This Row],[Category and Sub-Category]],FIND("/",Table1[[#This Row],[Category and Sub-Category]])-1)</f>
        <v>photography</v>
      </c>
      <c r="V1525" t="str">
        <f>RIGHT(Table1[[#This Row],[Category and Sub-Category]],LEN(Table1[[#This Row],[Category and Sub-Category]])-FIND("/",Table1[[#This Row],[Category and Sub-Category]]))</f>
        <v>photobooks</v>
      </c>
    </row>
    <row r="1526" spans="1:22" ht="43.2" x14ac:dyDescent="0.3">
      <c r="A1526">
        <v>1524</v>
      </c>
      <c r="B1526" s="3" t="s">
        <v>1525</v>
      </c>
      <c r="C1526" s="3" t="s">
        <v>5634</v>
      </c>
      <c r="D1526" s="12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>((Table1[[#This Row],[deadline]]/60)/60/24)+DATE(1970,1,1)</f>
        <v>42786.501041666663</v>
      </c>
      <c r="K1526">
        <v>1485000090</v>
      </c>
      <c r="L1526" s="11">
        <f>((Table1[[#This Row],[launched_at]]/60)/60/24)+DATE(1970,1,1)</f>
        <v>42756.501041666663</v>
      </c>
      <c r="M1526">
        <f>MONTH(Table1[[#This Row],[Date Created Conversion]])</f>
        <v>1</v>
      </c>
      <c r="N1526">
        <f>YEAR(Table1[[#This Row],[Date Created Conversion]])</f>
        <v>2017</v>
      </c>
      <c r="O1526" t="b">
        <v>1</v>
      </c>
      <c r="P1526">
        <v>28</v>
      </c>
      <c r="Q1526" t="b">
        <v>1</v>
      </c>
      <c r="R1526" t="s">
        <v>8285</v>
      </c>
      <c r="S1526" s="6">
        <f>Table1[[#This Row],[pledged]]/Table1[[#This Row],[goal]]</f>
        <v>2.0699999999999998</v>
      </c>
      <c r="T1526" s="8">
        <f>IF(Table1[[#This Row],[pledged]]=0,"no backers",Table1[[#This Row],[pledged]]/Table1[[#This Row],[backers_count]])</f>
        <v>221.78571428571428</v>
      </c>
      <c r="U1526" t="str">
        <f>LEFT(Table1[[#This Row],[Category and Sub-Category]],FIND("/",Table1[[#This Row],[Category and Sub-Category]])-1)</f>
        <v>photography</v>
      </c>
      <c r="V1526" t="str">
        <f>RIGHT(Table1[[#This Row],[Category and Sub-Category]],LEN(Table1[[#This Row],[Category and Sub-Category]])-FIND("/",Table1[[#This Row],[Category and Sub-Category]]))</f>
        <v>photobooks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 s="12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>((Table1[[#This Row],[deadline]]/60)/60/24)+DATE(1970,1,1)</f>
        <v>42600.702986111108</v>
      </c>
      <c r="K1527">
        <v>1468947138</v>
      </c>
      <c r="L1527" s="11">
        <f>((Table1[[#This Row],[launched_at]]/60)/60/24)+DATE(1970,1,1)</f>
        <v>42570.702986111108</v>
      </c>
      <c r="M1527">
        <f>MONTH(Table1[[#This Row],[Date Created Conversion]])</f>
        <v>7</v>
      </c>
      <c r="N1527">
        <f>YEAR(Table1[[#This Row],[Date Created Conversion]])</f>
        <v>2016</v>
      </c>
      <c r="O1527" t="b">
        <v>1</v>
      </c>
      <c r="P1527">
        <v>140</v>
      </c>
      <c r="Q1527" t="b">
        <v>1</v>
      </c>
      <c r="R1527" t="s">
        <v>8285</v>
      </c>
      <c r="S1527" s="6">
        <f>Table1[[#This Row],[pledged]]/Table1[[#This Row],[goal]]</f>
        <v>1.7400576923076922</v>
      </c>
      <c r="T1527" s="8">
        <f>IF(Table1[[#This Row],[pledged]]=0,"no backers",Table1[[#This Row],[pledged]]/Table1[[#This Row],[backers_count]])</f>
        <v>32.315357142857138</v>
      </c>
      <c r="U1527" t="str">
        <f>LEFT(Table1[[#This Row],[Category and Sub-Category]],FIND("/",Table1[[#This Row],[Category and Sub-Category]])-1)</f>
        <v>photography</v>
      </c>
      <c r="V1527" t="str">
        <f>RIGHT(Table1[[#This Row],[Category and Sub-Category]],LEN(Table1[[#This Row],[Category and Sub-Category]])-FIND("/",Table1[[#This Row],[Category and Sub-Category]]))</f>
        <v>photobooks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 s="12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>((Table1[[#This Row],[deadline]]/60)/60/24)+DATE(1970,1,1)</f>
        <v>42388.276006944448</v>
      </c>
      <c r="K1528">
        <v>1448951847</v>
      </c>
      <c r="L1528" s="11">
        <f>((Table1[[#This Row],[launched_at]]/60)/60/24)+DATE(1970,1,1)</f>
        <v>42339.276006944448</v>
      </c>
      <c r="M1528">
        <f>MONTH(Table1[[#This Row],[Date Created Conversion]])</f>
        <v>12</v>
      </c>
      <c r="N1528">
        <f>YEAR(Table1[[#This Row],[Date Created Conversion]])</f>
        <v>2015</v>
      </c>
      <c r="O1528" t="b">
        <v>1</v>
      </c>
      <c r="P1528">
        <v>280</v>
      </c>
      <c r="Q1528" t="b">
        <v>1</v>
      </c>
      <c r="R1528" t="s">
        <v>8285</v>
      </c>
      <c r="S1528" s="6">
        <f>Table1[[#This Row],[pledged]]/Table1[[#This Row],[goal]]</f>
        <v>1.2032608695652174</v>
      </c>
      <c r="T1528" s="8">
        <f>IF(Table1[[#This Row],[pledged]]=0,"no backers",Table1[[#This Row],[pledged]]/Table1[[#This Row],[backers_count]])</f>
        <v>98.839285714285708</v>
      </c>
      <c r="U1528" t="str">
        <f>LEFT(Table1[[#This Row],[Category and Sub-Category]],FIND("/",Table1[[#This Row],[Category and Sub-Category]])-1)</f>
        <v>photography</v>
      </c>
      <c r="V1528" t="str">
        <f>RIGHT(Table1[[#This Row],[Category and Sub-Category]],LEN(Table1[[#This Row],[Category and Sub-Category]])-FIND("/",Table1[[#This Row],[Category and Sub-Category]]))</f>
        <v>photobooks</v>
      </c>
    </row>
    <row r="1529" spans="1:22" ht="43.2" x14ac:dyDescent="0.3">
      <c r="A1529">
        <v>1527</v>
      </c>
      <c r="B1529" s="3" t="s">
        <v>1528</v>
      </c>
      <c r="C1529" s="3" t="s">
        <v>5637</v>
      </c>
      <c r="D1529" s="12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>((Table1[[#This Row],[deadline]]/60)/60/24)+DATE(1970,1,1)</f>
        <v>42808.558865740735</v>
      </c>
      <c r="K1529">
        <v>1487082286</v>
      </c>
      <c r="L1529" s="11">
        <f>((Table1[[#This Row],[launched_at]]/60)/60/24)+DATE(1970,1,1)</f>
        <v>42780.600532407407</v>
      </c>
      <c r="M1529">
        <f>MONTH(Table1[[#This Row],[Date Created Conversion]])</f>
        <v>2</v>
      </c>
      <c r="N1529">
        <f>YEAR(Table1[[#This Row],[Date Created Conversion]])</f>
        <v>2017</v>
      </c>
      <c r="O1529" t="b">
        <v>1</v>
      </c>
      <c r="P1529">
        <v>70</v>
      </c>
      <c r="Q1529" t="b">
        <v>1</v>
      </c>
      <c r="R1529" t="s">
        <v>8285</v>
      </c>
      <c r="S1529" s="6">
        <f>Table1[[#This Row],[pledged]]/Table1[[#This Row],[goal]]</f>
        <v>1.1044428571428573</v>
      </c>
      <c r="T1529" s="8">
        <f>IF(Table1[[#This Row],[pledged]]=0,"no backers",Table1[[#This Row],[pledged]]/Table1[[#This Row],[backers_count]])</f>
        <v>55.222142857142863</v>
      </c>
      <c r="U1529" t="str">
        <f>LEFT(Table1[[#This Row],[Category and Sub-Category]],FIND("/",Table1[[#This Row],[Category and Sub-Category]])-1)</f>
        <v>photography</v>
      </c>
      <c r="V1529" t="str">
        <f>RIGHT(Table1[[#This Row],[Category and Sub-Category]],LEN(Table1[[#This Row],[Category and Sub-Category]])-FIND("/",Table1[[#This Row],[Category and Sub-Category]]))</f>
        <v>photobooks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 s="12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>((Table1[[#This Row],[deadline]]/60)/60/24)+DATE(1970,1,1)</f>
        <v>42767</v>
      </c>
      <c r="K1530">
        <v>1483292122</v>
      </c>
      <c r="L1530" s="11">
        <f>((Table1[[#This Row],[launched_at]]/60)/60/24)+DATE(1970,1,1)</f>
        <v>42736.732893518521</v>
      </c>
      <c r="M1530">
        <f>MONTH(Table1[[#This Row],[Date Created Conversion]])</f>
        <v>1</v>
      </c>
      <c r="N1530">
        <f>YEAR(Table1[[#This Row],[Date Created Conversion]])</f>
        <v>2017</v>
      </c>
      <c r="O1530" t="b">
        <v>1</v>
      </c>
      <c r="P1530">
        <v>160</v>
      </c>
      <c r="Q1530" t="b">
        <v>1</v>
      </c>
      <c r="R1530" t="s">
        <v>8285</v>
      </c>
      <c r="S1530" s="6">
        <f>Table1[[#This Row],[pledged]]/Table1[[#This Row],[goal]]</f>
        <v>2.8156666666666665</v>
      </c>
      <c r="T1530" s="8">
        <f>IF(Table1[[#This Row],[pledged]]=0,"no backers",Table1[[#This Row],[pledged]]/Table1[[#This Row],[backers_count]])</f>
        <v>52.793750000000003</v>
      </c>
      <c r="U1530" t="str">
        <f>LEFT(Table1[[#This Row],[Category and Sub-Category]],FIND("/",Table1[[#This Row],[Category and Sub-Category]])-1)</f>
        <v>photography</v>
      </c>
      <c r="V1530" t="str">
        <f>RIGHT(Table1[[#This Row],[Category and Sub-Category]],LEN(Table1[[#This Row],[Category and Sub-Category]])-FIND("/",Table1[[#This Row],[Category and Sub-Category]]))</f>
        <v>photobooks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 s="12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>((Table1[[#This Row],[deadline]]/60)/60/24)+DATE(1970,1,1)</f>
        <v>42082.587037037039</v>
      </c>
      <c r="K1531">
        <v>1424185520</v>
      </c>
      <c r="L1531" s="11">
        <f>((Table1[[#This Row],[launched_at]]/60)/60/24)+DATE(1970,1,1)</f>
        <v>42052.628703703704</v>
      </c>
      <c r="M1531">
        <f>MONTH(Table1[[#This Row],[Date Created Conversion]])</f>
        <v>2</v>
      </c>
      <c r="N1531">
        <f>YEAR(Table1[[#This Row],[Date Created Conversion]])</f>
        <v>2015</v>
      </c>
      <c r="O1531" t="b">
        <v>1</v>
      </c>
      <c r="P1531">
        <v>141</v>
      </c>
      <c r="Q1531" t="b">
        <v>1</v>
      </c>
      <c r="R1531" t="s">
        <v>8285</v>
      </c>
      <c r="S1531" s="6">
        <f>Table1[[#This Row],[pledged]]/Table1[[#This Row],[goal]]</f>
        <v>1.0067894736842105</v>
      </c>
      <c r="T1531" s="8">
        <f>IF(Table1[[#This Row],[pledged]]=0,"no backers",Table1[[#This Row],[pledged]]/Table1[[#This Row],[backers_count]])</f>
        <v>135.66666666666666</v>
      </c>
      <c r="U1531" t="str">
        <f>LEFT(Table1[[#This Row],[Category and Sub-Category]],FIND("/",Table1[[#This Row],[Category and Sub-Category]])-1)</f>
        <v>photography</v>
      </c>
      <c r="V1531" t="str">
        <f>RIGHT(Table1[[#This Row],[Category and Sub-Category]],LEN(Table1[[#This Row],[Category and Sub-Category]])-FIND("/",Table1[[#This Row],[Category and Sub-Category]]))</f>
        <v>photobooks</v>
      </c>
    </row>
    <row r="1532" spans="1:22" ht="57.6" x14ac:dyDescent="0.3">
      <c r="A1532">
        <v>1530</v>
      </c>
      <c r="B1532" s="3" t="s">
        <v>1531</v>
      </c>
      <c r="C1532" s="3" t="s">
        <v>5640</v>
      </c>
      <c r="D1532" s="1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>((Table1[[#This Row],[deadline]]/60)/60/24)+DATE(1970,1,1)</f>
        <v>42300.767303240747</v>
      </c>
      <c r="K1532">
        <v>1443464695</v>
      </c>
      <c r="L1532" s="11">
        <f>((Table1[[#This Row],[launched_at]]/60)/60/24)+DATE(1970,1,1)</f>
        <v>42275.767303240747</v>
      </c>
      <c r="M1532">
        <f>MONTH(Table1[[#This Row],[Date Created Conversion]])</f>
        <v>9</v>
      </c>
      <c r="N1532">
        <f>YEAR(Table1[[#This Row],[Date Created Conversion]])</f>
        <v>2015</v>
      </c>
      <c r="O1532" t="b">
        <v>1</v>
      </c>
      <c r="P1532">
        <v>874</v>
      </c>
      <c r="Q1532" t="b">
        <v>1</v>
      </c>
      <c r="R1532" t="s">
        <v>8285</v>
      </c>
      <c r="S1532" s="6">
        <f>Table1[[#This Row],[pledged]]/Table1[[#This Row],[goal]]</f>
        <v>1.3482571428571428</v>
      </c>
      <c r="T1532" s="8">
        <f>IF(Table1[[#This Row],[pledged]]=0,"no backers",Table1[[#This Row],[pledged]]/Table1[[#This Row],[backers_count]])</f>
        <v>53.991990846681922</v>
      </c>
      <c r="U1532" t="str">
        <f>LEFT(Table1[[#This Row],[Category and Sub-Category]],FIND("/",Table1[[#This Row],[Category and Sub-Category]])-1)</f>
        <v>photography</v>
      </c>
      <c r="V1532" t="str">
        <f>RIGHT(Table1[[#This Row],[Category and Sub-Category]],LEN(Table1[[#This Row],[Category and Sub-Category]])-FIND("/",Table1[[#This Row],[Category and Sub-Category]]))</f>
        <v>photobooks</v>
      </c>
    </row>
    <row r="1533" spans="1:22" ht="57.6" x14ac:dyDescent="0.3">
      <c r="A1533">
        <v>1531</v>
      </c>
      <c r="B1533" s="3" t="s">
        <v>1532</v>
      </c>
      <c r="C1533" s="3" t="s">
        <v>5641</v>
      </c>
      <c r="D1533" s="12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>((Table1[[#This Row],[deadline]]/60)/60/24)+DATE(1970,1,1)</f>
        <v>41974.125</v>
      </c>
      <c r="K1533">
        <v>1414610126</v>
      </c>
      <c r="L1533" s="11">
        <f>((Table1[[#This Row],[launched_at]]/60)/60/24)+DATE(1970,1,1)</f>
        <v>41941.802384259259</v>
      </c>
      <c r="M1533">
        <f>MONTH(Table1[[#This Row],[Date Created Conversion]])</f>
        <v>10</v>
      </c>
      <c r="N1533">
        <f>YEAR(Table1[[#This Row],[Date Created Conversion]])</f>
        <v>2014</v>
      </c>
      <c r="O1533" t="b">
        <v>1</v>
      </c>
      <c r="P1533">
        <v>73</v>
      </c>
      <c r="Q1533" t="b">
        <v>1</v>
      </c>
      <c r="R1533" t="s">
        <v>8285</v>
      </c>
      <c r="S1533" s="6">
        <f>Table1[[#This Row],[pledged]]/Table1[[#This Row],[goal]]</f>
        <v>1.7595744680851064</v>
      </c>
      <c r="T1533" s="8">
        <f>IF(Table1[[#This Row],[pledged]]=0,"no backers",Table1[[#This Row],[pledged]]/Table1[[#This Row],[backers_count]])</f>
        <v>56.643835616438359</v>
      </c>
      <c r="U1533" t="str">
        <f>LEFT(Table1[[#This Row],[Category and Sub-Category]],FIND("/",Table1[[#This Row],[Category and Sub-Category]])-1)</f>
        <v>photography</v>
      </c>
      <c r="V1533" t="str">
        <f>RIGHT(Table1[[#This Row],[Category and Sub-Category]],LEN(Table1[[#This Row],[Category and Sub-Category]])-FIND("/",Table1[[#This Row],[Category and Sub-Category]]))</f>
        <v>photobooks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 s="12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>((Table1[[#This Row],[deadline]]/60)/60/24)+DATE(1970,1,1)</f>
        <v>42415.625</v>
      </c>
      <c r="K1534">
        <v>1453461865</v>
      </c>
      <c r="L1534" s="11">
        <f>((Table1[[#This Row],[launched_at]]/60)/60/24)+DATE(1970,1,1)</f>
        <v>42391.475289351853</v>
      </c>
      <c r="M1534">
        <f>MONTH(Table1[[#This Row],[Date Created Conversion]])</f>
        <v>1</v>
      </c>
      <c r="N1534">
        <f>YEAR(Table1[[#This Row],[Date Created Conversion]])</f>
        <v>2016</v>
      </c>
      <c r="O1534" t="b">
        <v>1</v>
      </c>
      <c r="P1534">
        <v>294</v>
      </c>
      <c r="Q1534" t="b">
        <v>1</v>
      </c>
      <c r="R1534" t="s">
        <v>8285</v>
      </c>
      <c r="S1534" s="6">
        <f>Table1[[#This Row],[pledged]]/Table1[[#This Row],[goal]]</f>
        <v>4.8402000000000003</v>
      </c>
      <c r="T1534" s="8">
        <f>IF(Table1[[#This Row],[pledged]]=0,"no backers",Table1[[#This Row],[pledged]]/Table1[[#This Row],[backers_count]])</f>
        <v>82.316326530612244</v>
      </c>
      <c r="U1534" t="str">
        <f>LEFT(Table1[[#This Row],[Category and Sub-Category]],FIND("/",Table1[[#This Row],[Category and Sub-Category]])-1)</f>
        <v>photography</v>
      </c>
      <c r="V1534" t="str">
        <f>RIGHT(Table1[[#This Row],[Category and Sub-Category]],LEN(Table1[[#This Row],[Category and Sub-Category]])-FIND("/",Table1[[#This Row],[Category and Sub-Category]]))</f>
        <v>photobooks</v>
      </c>
    </row>
    <row r="1535" spans="1:22" ht="43.2" x14ac:dyDescent="0.3">
      <c r="A1535">
        <v>1533</v>
      </c>
      <c r="B1535" s="3" t="s">
        <v>1534</v>
      </c>
      <c r="C1535" s="3" t="s">
        <v>5643</v>
      </c>
      <c r="D1535" s="12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>((Table1[[#This Row],[deadline]]/60)/60/24)+DATE(1970,1,1)</f>
        <v>42492.165972222225</v>
      </c>
      <c r="K1535">
        <v>1457913777</v>
      </c>
      <c r="L1535" s="11">
        <f>((Table1[[#This Row],[launched_at]]/60)/60/24)+DATE(1970,1,1)</f>
        <v>42443.00204861111</v>
      </c>
      <c r="M1535">
        <f>MONTH(Table1[[#This Row],[Date Created Conversion]])</f>
        <v>3</v>
      </c>
      <c r="N1535">
        <f>YEAR(Table1[[#This Row],[Date Created Conversion]])</f>
        <v>2016</v>
      </c>
      <c r="O1535" t="b">
        <v>1</v>
      </c>
      <c r="P1535">
        <v>740</v>
      </c>
      <c r="Q1535" t="b">
        <v>1</v>
      </c>
      <c r="R1535" t="s">
        <v>8285</v>
      </c>
      <c r="S1535" s="6">
        <f>Table1[[#This Row],[pledged]]/Table1[[#This Row],[goal]]</f>
        <v>1.4514</v>
      </c>
      <c r="T1535" s="8">
        <f>IF(Table1[[#This Row],[pledged]]=0,"no backers",Table1[[#This Row],[pledged]]/Table1[[#This Row],[backers_count]])</f>
        <v>88.26081081081081</v>
      </c>
      <c r="U1535" t="str">
        <f>LEFT(Table1[[#This Row],[Category and Sub-Category]],FIND("/",Table1[[#This Row],[Category and Sub-Category]])-1)</f>
        <v>photography</v>
      </c>
      <c r="V1535" t="str">
        <f>RIGHT(Table1[[#This Row],[Category and Sub-Category]],LEN(Table1[[#This Row],[Category and Sub-Category]])-FIND("/",Table1[[#This Row],[Category and Sub-Category]]))</f>
        <v>photobooks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 s="12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>((Table1[[#This Row],[deadline]]/60)/60/24)+DATE(1970,1,1)</f>
        <v>42251.67432870371</v>
      </c>
      <c r="K1536">
        <v>1438791062</v>
      </c>
      <c r="L1536" s="11">
        <f>((Table1[[#This Row],[launched_at]]/60)/60/24)+DATE(1970,1,1)</f>
        <v>42221.67432870371</v>
      </c>
      <c r="M1536">
        <f>MONTH(Table1[[#This Row],[Date Created Conversion]])</f>
        <v>8</v>
      </c>
      <c r="N1536">
        <f>YEAR(Table1[[#This Row],[Date Created Conversion]])</f>
        <v>2015</v>
      </c>
      <c r="O1536" t="b">
        <v>1</v>
      </c>
      <c r="P1536">
        <v>369</v>
      </c>
      <c r="Q1536" t="b">
        <v>1</v>
      </c>
      <c r="R1536" t="s">
        <v>8285</v>
      </c>
      <c r="S1536" s="6">
        <f>Table1[[#This Row],[pledged]]/Table1[[#This Row],[goal]]</f>
        <v>4.1773333333333333</v>
      </c>
      <c r="T1536" s="8">
        <f>IF(Table1[[#This Row],[pledged]]=0,"no backers",Table1[[#This Row],[pledged]]/Table1[[#This Row],[backers_count]])</f>
        <v>84.905149051490511</v>
      </c>
      <c r="U1536" t="str">
        <f>LEFT(Table1[[#This Row],[Category and Sub-Category]],FIND("/",Table1[[#This Row],[Category and Sub-Category]])-1)</f>
        <v>photography</v>
      </c>
      <c r="V1536" t="str">
        <f>RIGHT(Table1[[#This Row],[Category and Sub-Category]],LEN(Table1[[#This Row],[Category and Sub-Category]])-FIND("/",Table1[[#This Row],[Category and Sub-Category]]))</f>
        <v>photobooks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 s="12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>((Table1[[#This Row],[deadline]]/60)/60/24)+DATE(1970,1,1)</f>
        <v>42513.916666666672</v>
      </c>
      <c r="K1537">
        <v>1461527631</v>
      </c>
      <c r="L1537" s="11">
        <f>((Table1[[#This Row],[launched_at]]/60)/60/24)+DATE(1970,1,1)</f>
        <v>42484.829062500001</v>
      </c>
      <c r="M1537">
        <f>MONTH(Table1[[#This Row],[Date Created Conversion]])</f>
        <v>4</v>
      </c>
      <c r="N1537">
        <f>YEAR(Table1[[#This Row],[Date Created Conversion]])</f>
        <v>2016</v>
      </c>
      <c r="O1537" t="b">
        <v>1</v>
      </c>
      <c r="P1537">
        <v>110</v>
      </c>
      <c r="Q1537" t="b">
        <v>1</v>
      </c>
      <c r="R1537" t="s">
        <v>8285</v>
      </c>
      <c r="S1537" s="6">
        <f>Table1[[#This Row],[pledged]]/Table1[[#This Row],[goal]]</f>
        <v>1.3242499999999999</v>
      </c>
      <c r="T1537" s="8">
        <f>IF(Table1[[#This Row],[pledged]]=0,"no backers",Table1[[#This Row],[pledged]]/Table1[[#This Row],[backers_count]])</f>
        <v>48.154545454545456</v>
      </c>
      <c r="U1537" t="str">
        <f>LEFT(Table1[[#This Row],[Category and Sub-Category]],FIND("/",Table1[[#This Row],[Category and Sub-Category]])-1)</f>
        <v>photography</v>
      </c>
      <c r="V1537" t="str">
        <f>RIGHT(Table1[[#This Row],[Category and Sub-Category]],LEN(Table1[[#This Row],[Category and Sub-Category]])-FIND("/",Table1[[#This Row],[Category and Sub-Category]]))</f>
        <v>photobooks</v>
      </c>
    </row>
    <row r="1538" spans="1:22" ht="57.6" x14ac:dyDescent="0.3">
      <c r="A1538">
        <v>1536</v>
      </c>
      <c r="B1538" s="3" t="s">
        <v>1537</v>
      </c>
      <c r="C1538" s="3" t="s">
        <v>5646</v>
      </c>
      <c r="D1538" s="12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>((Table1[[#This Row],[deadline]]/60)/60/24)+DATE(1970,1,1)</f>
        <v>42243.802199074074</v>
      </c>
      <c r="K1538">
        <v>1438110910</v>
      </c>
      <c r="L1538" s="11">
        <f>((Table1[[#This Row],[launched_at]]/60)/60/24)+DATE(1970,1,1)</f>
        <v>42213.802199074074</v>
      </c>
      <c r="M1538">
        <f>MONTH(Table1[[#This Row],[Date Created Conversion]])</f>
        <v>7</v>
      </c>
      <c r="N1538">
        <f>YEAR(Table1[[#This Row],[Date Created Conversion]])</f>
        <v>2015</v>
      </c>
      <c r="O1538" t="b">
        <v>1</v>
      </c>
      <c r="P1538">
        <v>455</v>
      </c>
      <c r="Q1538" t="b">
        <v>1</v>
      </c>
      <c r="R1538" t="s">
        <v>8285</v>
      </c>
      <c r="S1538" s="6">
        <f>Table1[[#This Row],[pledged]]/Table1[[#This Row],[goal]]</f>
        <v>2.5030841666666666</v>
      </c>
      <c r="T1538" s="8">
        <f>IF(Table1[[#This Row],[pledged]]=0,"no backers",Table1[[#This Row],[pledged]]/Table1[[#This Row],[backers_count]])</f>
        <v>66.015406593406595</v>
      </c>
      <c r="U1538" t="str">
        <f>LEFT(Table1[[#This Row],[Category and Sub-Category]],FIND("/",Table1[[#This Row],[Category and Sub-Category]])-1)</f>
        <v>photography</v>
      </c>
      <c r="V1538" t="str">
        <f>RIGHT(Table1[[#This Row],[Category and Sub-Category]],LEN(Table1[[#This Row],[Category and Sub-Category]])-FIND("/",Table1[[#This Row],[Category and Sub-Category]]))</f>
        <v>photobooks</v>
      </c>
    </row>
    <row r="1539" spans="1:22" ht="43.2" x14ac:dyDescent="0.3">
      <c r="A1539">
        <v>1537</v>
      </c>
      <c r="B1539" s="3" t="s">
        <v>1538</v>
      </c>
      <c r="C1539" s="3" t="s">
        <v>5647</v>
      </c>
      <c r="D1539" s="12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>((Table1[[#This Row],[deadline]]/60)/60/24)+DATE(1970,1,1)</f>
        <v>42588.75</v>
      </c>
      <c r="K1539">
        <v>1467358427</v>
      </c>
      <c r="L1539" s="11">
        <f>((Table1[[#This Row],[launched_at]]/60)/60/24)+DATE(1970,1,1)</f>
        <v>42552.315127314811</v>
      </c>
      <c r="M1539">
        <f>MONTH(Table1[[#This Row],[Date Created Conversion]])</f>
        <v>7</v>
      </c>
      <c r="N1539">
        <f>YEAR(Table1[[#This Row],[Date Created Conversion]])</f>
        <v>2016</v>
      </c>
      <c r="O1539" t="b">
        <v>1</v>
      </c>
      <c r="P1539">
        <v>224</v>
      </c>
      <c r="Q1539" t="b">
        <v>1</v>
      </c>
      <c r="R1539" t="s">
        <v>8285</v>
      </c>
      <c r="S1539" s="6">
        <f>Table1[[#This Row],[pledged]]/Table1[[#This Row],[goal]]</f>
        <v>1.7989999999999999</v>
      </c>
      <c r="T1539" s="8">
        <f>IF(Table1[[#This Row],[pledged]]=0,"no backers",Table1[[#This Row],[pledged]]/Table1[[#This Row],[backers_count]])</f>
        <v>96.375</v>
      </c>
      <c r="U1539" t="str">
        <f>LEFT(Table1[[#This Row],[Category and Sub-Category]],FIND("/",Table1[[#This Row],[Category and Sub-Category]])-1)</f>
        <v>photography</v>
      </c>
      <c r="V1539" t="str">
        <f>RIGHT(Table1[[#This Row],[Category and Sub-Category]],LEN(Table1[[#This Row],[Category and Sub-Category]])-FIND("/",Table1[[#This Row],[Category and Sub-Category]]))</f>
        <v>photobooks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 s="12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>((Table1[[#This Row],[deadline]]/60)/60/24)+DATE(1970,1,1)</f>
        <v>42026.782060185185</v>
      </c>
      <c r="K1540">
        <v>1418064370</v>
      </c>
      <c r="L1540" s="11">
        <f>((Table1[[#This Row],[launched_at]]/60)/60/24)+DATE(1970,1,1)</f>
        <v>41981.782060185185</v>
      </c>
      <c r="M1540">
        <f>MONTH(Table1[[#This Row],[Date Created Conversion]])</f>
        <v>12</v>
      </c>
      <c r="N1540">
        <f>YEAR(Table1[[#This Row],[Date Created Conversion]])</f>
        <v>2014</v>
      </c>
      <c r="O1540" t="b">
        <v>1</v>
      </c>
      <c r="P1540">
        <v>46</v>
      </c>
      <c r="Q1540" t="b">
        <v>1</v>
      </c>
      <c r="R1540" t="s">
        <v>8285</v>
      </c>
      <c r="S1540" s="6">
        <f>Table1[[#This Row],[pledged]]/Table1[[#This Row],[goal]]</f>
        <v>1.0262857142857142</v>
      </c>
      <c r="T1540" s="8">
        <f>IF(Table1[[#This Row],[pledged]]=0,"no backers",Table1[[#This Row],[pledged]]/Table1[[#This Row],[backers_count]])</f>
        <v>156.17391304347825</v>
      </c>
      <c r="U1540" t="str">
        <f>LEFT(Table1[[#This Row],[Category and Sub-Category]],FIND("/",Table1[[#This Row],[Category and Sub-Category]])-1)</f>
        <v>photography</v>
      </c>
      <c r="V1540" t="str">
        <f>RIGHT(Table1[[#This Row],[Category and Sub-Category]],LEN(Table1[[#This Row],[Category and Sub-Category]])-FIND("/",Table1[[#This Row],[Category and Sub-Category]]))</f>
        <v>photobooks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 s="12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>((Table1[[#This Row],[deadline]]/60)/60/24)+DATE(1970,1,1)</f>
        <v>42738.919201388882</v>
      </c>
      <c r="K1541">
        <v>1480629819</v>
      </c>
      <c r="L1541" s="11">
        <f>((Table1[[#This Row],[launched_at]]/60)/60/24)+DATE(1970,1,1)</f>
        <v>42705.919201388882</v>
      </c>
      <c r="M1541">
        <f>MONTH(Table1[[#This Row],[Date Created Conversion]])</f>
        <v>12</v>
      </c>
      <c r="N1541">
        <f>YEAR(Table1[[#This Row],[Date Created Conversion]])</f>
        <v>2016</v>
      </c>
      <c r="O1541" t="b">
        <v>0</v>
      </c>
      <c r="P1541">
        <v>284</v>
      </c>
      <c r="Q1541" t="b">
        <v>1</v>
      </c>
      <c r="R1541" t="s">
        <v>8285</v>
      </c>
      <c r="S1541" s="6">
        <f>Table1[[#This Row],[pledged]]/Table1[[#This Row],[goal]]</f>
        <v>1.359861</v>
      </c>
      <c r="T1541" s="8">
        <f>IF(Table1[[#This Row],[pledged]]=0,"no backers",Table1[[#This Row],[pledged]]/Table1[[#This Row],[backers_count]])</f>
        <v>95.764859154929582</v>
      </c>
      <c r="U1541" t="str">
        <f>LEFT(Table1[[#This Row],[Category and Sub-Category]],FIND("/",Table1[[#This Row],[Category and Sub-Category]])-1)</f>
        <v>photography</v>
      </c>
      <c r="V1541" t="str">
        <f>RIGHT(Table1[[#This Row],[Category and Sub-Category]],LEN(Table1[[#This Row],[Category and Sub-Category]])-FIND("/",Table1[[#This Row],[Category and Sub-Category]]))</f>
        <v>photobooks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 s="1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>((Table1[[#This Row],[deadline]]/60)/60/24)+DATE(1970,1,1)</f>
        <v>41969.052083333328</v>
      </c>
      <c r="K1542">
        <v>1414368616</v>
      </c>
      <c r="L1542" s="11">
        <f>((Table1[[#This Row],[launched_at]]/60)/60/24)+DATE(1970,1,1)</f>
        <v>41939.00712962963</v>
      </c>
      <c r="M1542">
        <f>MONTH(Table1[[#This Row],[Date Created Conversion]])</f>
        <v>10</v>
      </c>
      <c r="N1542">
        <f>YEAR(Table1[[#This Row],[Date Created Conversion]])</f>
        <v>2014</v>
      </c>
      <c r="O1542" t="b">
        <v>1</v>
      </c>
      <c r="P1542">
        <v>98</v>
      </c>
      <c r="Q1542" t="b">
        <v>1</v>
      </c>
      <c r="R1542" t="s">
        <v>8285</v>
      </c>
      <c r="S1542" s="6">
        <f>Table1[[#This Row],[pledged]]/Table1[[#This Row],[goal]]</f>
        <v>1.1786666666666668</v>
      </c>
      <c r="T1542" s="8">
        <f>IF(Table1[[#This Row],[pledged]]=0,"no backers",Table1[[#This Row],[pledged]]/Table1[[#This Row],[backers_count]])</f>
        <v>180.40816326530611</v>
      </c>
      <c r="U1542" t="str">
        <f>LEFT(Table1[[#This Row],[Category and Sub-Category]],FIND("/",Table1[[#This Row],[Category and Sub-Category]])-1)</f>
        <v>photography</v>
      </c>
      <c r="V1542" t="str">
        <f>RIGHT(Table1[[#This Row],[Category and Sub-Category]],LEN(Table1[[#This Row],[Category and Sub-Category]])-FIND("/",Table1[[#This Row],[Category and Sub-Category]]))</f>
        <v>photobooks</v>
      </c>
    </row>
    <row r="1543" spans="1:22" ht="43.2" x14ac:dyDescent="0.3">
      <c r="A1543">
        <v>1541</v>
      </c>
      <c r="B1543" s="3" t="s">
        <v>1542</v>
      </c>
      <c r="C1543" s="3" t="s">
        <v>5651</v>
      </c>
      <c r="D1543" s="12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>((Table1[[#This Row],[deadline]]/60)/60/24)+DATE(1970,1,1)</f>
        <v>42004.712245370371</v>
      </c>
      <c r="K1543">
        <v>1417453538</v>
      </c>
      <c r="L1543" s="11">
        <f>((Table1[[#This Row],[launched_at]]/60)/60/24)+DATE(1970,1,1)</f>
        <v>41974.712245370371</v>
      </c>
      <c r="M1543">
        <f>MONTH(Table1[[#This Row],[Date Created Conversion]])</f>
        <v>12</v>
      </c>
      <c r="N1543">
        <f>YEAR(Table1[[#This Row],[Date Created Conversion]])</f>
        <v>2014</v>
      </c>
      <c r="O1543" t="b">
        <v>0</v>
      </c>
      <c r="P1543">
        <v>2</v>
      </c>
      <c r="Q1543" t="b">
        <v>0</v>
      </c>
      <c r="R1543" t="s">
        <v>8289</v>
      </c>
      <c r="S1543" s="6">
        <f>Table1[[#This Row],[pledged]]/Table1[[#This Row],[goal]]</f>
        <v>3.3333333333333332E-4</v>
      </c>
      <c r="T1543" s="8">
        <f>IF(Table1[[#This Row],[pledged]]=0,"no backers",Table1[[#This Row],[pledged]]/Table1[[#This Row],[backers_count]])</f>
        <v>3</v>
      </c>
      <c r="U1543" t="str">
        <f>LEFT(Table1[[#This Row],[Category and Sub-Category]],FIND("/",Table1[[#This Row],[Category and Sub-Category]])-1)</f>
        <v>photography</v>
      </c>
      <c r="V1543" t="str">
        <f>RIGHT(Table1[[#This Row],[Category and Sub-Category]],LEN(Table1[[#This Row],[Category and Sub-Category]])-FIND("/",Table1[[#This Row],[Category and Sub-Category]]))</f>
        <v>nature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 s="12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>((Table1[[#This Row],[deadline]]/60)/60/24)+DATE(1970,1,1)</f>
        <v>42185.996527777781</v>
      </c>
      <c r="K1544">
        <v>1434412500</v>
      </c>
      <c r="L1544" s="11">
        <f>((Table1[[#This Row],[launched_at]]/60)/60/24)+DATE(1970,1,1)</f>
        <v>42170.996527777781</v>
      </c>
      <c r="M1544">
        <f>MONTH(Table1[[#This Row],[Date Created Conversion]])</f>
        <v>6</v>
      </c>
      <c r="N1544">
        <f>YEAR(Table1[[#This Row],[Date Created Conversion]])</f>
        <v>2015</v>
      </c>
      <c r="O1544" t="b">
        <v>0</v>
      </c>
      <c r="P1544">
        <v>1</v>
      </c>
      <c r="Q1544" t="b">
        <v>0</v>
      </c>
      <c r="R1544" t="s">
        <v>8289</v>
      </c>
      <c r="S1544" s="6">
        <f>Table1[[#This Row],[pledged]]/Table1[[#This Row],[goal]]</f>
        <v>0.04</v>
      </c>
      <c r="T1544" s="8">
        <f>IF(Table1[[#This Row],[pledged]]=0,"no backers",Table1[[#This Row],[pledged]]/Table1[[#This Row],[backers_count]])</f>
        <v>20</v>
      </c>
      <c r="U1544" t="str">
        <f>LEFT(Table1[[#This Row],[Category and Sub-Category]],FIND("/",Table1[[#This Row],[Category and Sub-Category]])-1)</f>
        <v>photography</v>
      </c>
      <c r="V1544" t="str">
        <f>RIGHT(Table1[[#This Row],[Category and Sub-Category]],LEN(Table1[[#This Row],[Category and Sub-Category]])-FIND("/",Table1[[#This Row],[Category and Sub-Category]]))</f>
        <v>nature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 s="12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>((Table1[[#This Row],[deadline]]/60)/60/24)+DATE(1970,1,1)</f>
        <v>41965.551319444443</v>
      </c>
      <c r="K1545">
        <v>1414066434</v>
      </c>
      <c r="L1545" s="11">
        <f>((Table1[[#This Row],[launched_at]]/60)/60/24)+DATE(1970,1,1)</f>
        <v>41935.509652777779</v>
      </c>
      <c r="M1545">
        <f>MONTH(Table1[[#This Row],[Date Created Conversion]])</f>
        <v>10</v>
      </c>
      <c r="N1545">
        <f>YEAR(Table1[[#This Row],[Date Created Conversion]])</f>
        <v>2014</v>
      </c>
      <c r="O1545" t="b">
        <v>0</v>
      </c>
      <c r="P1545">
        <v>1</v>
      </c>
      <c r="Q1545" t="b">
        <v>0</v>
      </c>
      <c r="R1545" t="s">
        <v>8289</v>
      </c>
      <c r="S1545" s="6">
        <f>Table1[[#This Row],[pledged]]/Table1[[#This Row],[goal]]</f>
        <v>4.4444444444444444E-3</v>
      </c>
      <c r="T1545" s="8">
        <f>IF(Table1[[#This Row],[pledged]]=0,"no backers",Table1[[#This Row],[pledged]]/Table1[[#This Row],[backers_count]])</f>
        <v>10</v>
      </c>
      <c r="U1545" t="str">
        <f>LEFT(Table1[[#This Row],[Category and Sub-Category]],FIND("/",Table1[[#This Row],[Category and Sub-Category]])-1)</f>
        <v>photography</v>
      </c>
      <c r="V1545" t="str">
        <f>RIGHT(Table1[[#This Row],[Category and Sub-Category]],LEN(Table1[[#This Row],[Category and Sub-Category]])-FIND("/",Table1[[#This Row],[Category and Sub-Category]]))</f>
        <v>nature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 s="12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>((Table1[[#This Row],[deadline]]/60)/60/24)+DATE(1970,1,1)</f>
        <v>42095.012499999997</v>
      </c>
      <c r="K1546">
        <v>1424222024</v>
      </c>
      <c r="L1546" s="11">
        <f>((Table1[[#This Row],[launched_at]]/60)/60/24)+DATE(1970,1,1)</f>
        <v>42053.051203703704</v>
      </c>
      <c r="M1546">
        <f>MONTH(Table1[[#This Row],[Date Created Conversion]])</f>
        <v>2</v>
      </c>
      <c r="N1546">
        <f>YEAR(Table1[[#This Row],[Date Created Conversion]])</f>
        <v>2015</v>
      </c>
      <c r="O1546" t="b">
        <v>0</v>
      </c>
      <c r="P1546">
        <v>0</v>
      </c>
      <c r="Q1546" t="b">
        <v>0</v>
      </c>
      <c r="R1546" t="s">
        <v>8289</v>
      </c>
      <c r="S1546" s="6">
        <f>Table1[[#This Row],[pledged]]/Table1[[#This Row],[goal]]</f>
        <v>0</v>
      </c>
      <c r="T1546" s="8" t="str">
        <f>IF(Table1[[#This Row],[pledged]]=0,"no backers",Table1[[#This Row],[pledged]]/Table1[[#This Row],[backers_count]])</f>
        <v>no backers</v>
      </c>
      <c r="U1546" t="str">
        <f>LEFT(Table1[[#This Row],[Category and Sub-Category]],FIND("/",Table1[[#This Row],[Category and Sub-Category]])-1)</f>
        <v>photography</v>
      </c>
      <c r="V1546" t="str">
        <f>RIGHT(Table1[[#This Row],[Category and Sub-Category]],LEN(Table1[[#This Row],[Category and Sub-Category]])-FIND("/",Table1[[#This Row],[Category and Sub-Category]]))</f>
        <v>nature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 s="12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>((Table1[[#This Row],[deadline]]/60)/60/24)+DATE(1970,1,1)</f>
        <v>42065.886111111111</v>
      </c>
      <c r="K1547">
        <v>1422393234</v>
      </c>
      <c r="L1547" s="11">
        <f>((Table1[[#This Row],[launched_at]]/60)/60/24)+DATE(1970,1,1)</f>
        <v>42031.884652777779</v>
      </c>
      <c r="M1547">
        <f>MONTH(Table1[[#This Row],[Date Created Conversion]])</f>
        <v>1</v>
      </c>
      <c r="N1547">
        <f>YEAR(Table1[[#This Row],[Date Created Conversion]])</f>
        <v>2015</v>
      </c>
      <c r="O1547" t="b">
        <v>0</v>
      </c>
      <c r="P1547">
        <v>1</v>
      </c>
      <c r="Q1547" t="b">
        <v>0</v>
      </c>
      <c r="R1547" t="s">
        <v>8289</v>
      </c>
      <c r="S1547" s="6">
        <f>Table1[[#This Row],[pledged]]/Table1[[#This Row],[goal]]</f>
        <v>3.3333333333333332E-4</v>
      </c>
      <c r="T1547" s="8">
        <f>IF(Table1[[#This Row],[pledged]]=0,"no backers",Table1[[#This Row],[pledged]]/Table1[[#This Row],[backers_count]])</f>
        <v>1</v>
      </c>
      <c r="U1547" t="str">
        <f>LEFT(Table1[[#This Row],[Category and Sub-Category]],FIND("/",Table1[[#This Row],[Category and Sub-Category]])-1)</f>
        <v>photography</v>
      </c>
      <c r="V1547" t="str">
        <f>RIGHT(Table1[[#This Row],[Category and Sub-Category]],LEN(Table1[[#This Row],[Category and Sub-Category]])-FIND("/",Table1[[#This Row],[Category and Sub-Category]]))</f>
        <v>nature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 s="12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>((Table1[[#This Row],[deadline]]/60)/60/24)+DATE(1970,1,1)</f>
        <v>41899.212951388887</v>
      </c>
      <c r="K1548">
        <v>1405746399</v>
      </c>
      <c r="L1548" s="11">
        <f>((Table1[[#This Row],[launched_at]]/60)/60/24)+DATE(1970,1,1)</f>
        <v>41839.212951388887</v>
      </c>
      <c r="M1548">
        <f>MONTH(Table1[[#This Row],[Date Created Conversion]])</f>
        <v>7</v>
      </c>
      <c r="N1548">
        <f>YEAR(Table1[[#This Row],[Date Created Conversion]])</f>
        <v>2014</v>
      </c>
      <c r="O1548" t="b">
        <v>0</v>
      </c>
      <c r="P1548">
        <v>11</v>
      </c>
      <c r="Q1548" t="b">
        <v>0</v>
      </c>
      <c r="R1548" t="s">
        <v>8289</v>
      </c>
      <c r="S1548" s="6">
        <f>Table1[[#This Row],[pledged]]/Table1[[#This Row],[goal]]</f>
        <v>0.28899999999999998</v>
      </c>
      <c r="T1548" s="8">
        <f>IF(Table1[[#This Row],[pledged]]=0,"no backers",Table1[[#This Row],[pledged]]/Table1[[#This Row],[backers_count]])</f>
        <v>26.272727272727273</v>
      </c>
      <c r="U1548" t="str">
        <f>LEFT(Table1[[#This Row],[Category and Sub-Category]],FIND("/",Table1[[#This Row],[Category and Sub-Category]])-1)</f>
        <v>photography</v>
      </c>
      <c r="V1548" t="str">
        <f>RIGHT(Table1[[#This Row],[Category and Sub-Category]],LEN(Table1[[#This Row],[Category and Sub-Category]])-FIND("/",Table1[[#This Row],[Category and Sub-Category]]))</f>
        <v>nature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 s="12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>((Table1[[#This Row],[deadline]]/60)/60/24)+DATE(1970,1,1)</f>
        <v>42789.426875000005</v>
      </c>
      <c r="K1549">
        <v>1487240082</v>
      </c>
      <c r="L1549" s="11">
        <f>((Table1[[#This Row],[launched_at]]/60)/60/24)+DATE(1970,1,1)</f>
        <v>42782.426875000005</v>
      </c>
      <c r="M1549">
        <f>MONTH(Table1[[#This Row],[Date Created Conversion]])</f>
        <v>2</v>
      </c>
      <c r="N1549">
        <f>YEAR(Table1[[#This Row],[Date Created Conversion]])</f>
        <v>2017</v>
      </c>
      <c r="O1549" t="b">
        <v>0</v>
      </c>
      <c r="P1549">
        <v>0</v>
      </c>
      <c r="Q1549" t="b">
        <v>0</v>
      </c>
      <c r="R1549" t="s">
        <v>8289</v>
      </c>
      <c r="S1549" s="6">
        <f>Table1[[#This Row],[pledged]]/Table1[[#This Row],[goal]]</f>
        <v>0</v>
      </c>
      <c r="T1549" s="8" t="str">
        <f>IF(Table1[[#This Row],[pledged]]=0,"no backers",Table1[[#This Row],[pledged]]/Table1[[#This Row],[backers_count]])</f>
        <v>no backers</v>
      </c>
      <c r="U1549" t="str">
        <f>LEFT(Table1[[#This Row],[Category and Sub-Category]],FIND("/",Table1[[#This Row],[Category and Sub-Category]])-1)</f>
        <v>photography</v>
      </c>
      <c r="V1549" t="str">
        <f>RIGHT(Table1[[#This Row],[Category and Sub-Category]],LEN(Table1[[#This Row],[Category and Sub-Category]])-FIND("/",Table1[[#This Row],[Category and Sub-Category]]))</f>
        <v>nature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 s="12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>((Table1[[#This Row],[deadline]]/60)/60/24)+DATE(1970,1,1)</f>
        <v>42316.923842592587</v>
      </c>
      <c r="K1550">
        <v>1444425020</v>
      </c>
      <c r="L1550" s="11">
        <f>((Table1[[#This Row],[launched_at]]/60)/60/24)+DATE(1970,1,1)</f>
        <v>42286.88217592593</v>
      </c>
      <c r="M1550">
        <f>MONTH(Table1[[#This Row],[Date Created Conversion]])</f>
        <v>10</v>
      </c>
      <c r="N1550">
        <f>YEAR(Table1[[#This Row],[Date Created Conversion]])</f>
        <v>2015</v>
      </c>
      <c r="O1550" t="b">
        <v>0</v>
      </c>
      <c r="P1550">
        <v>1</v>
      </c>
      <c r="Q1550" t="b">
        <v>0</v>
      </c>
      <c r="R1550" t="s">
        <v>8289</v>
      </c>
      <c r="S1550" s="6">
        <f>Table1[[#This Row],[pledged]]/Table1[[#This Row],[goal]]</f>
        <v>8.5714285714285715E-2</v>
      </c>
      <c r="T1550" s="8">
        <f>IF(Table1[[#This Row],[pledged]]=0,"no backers",Table1[[#This Row],[pledged]]/Table1[[#This Row],[backers_count]])</f>
        <v>60</v>
      </c>
      <c r="U1550" t="str">
        <f>LEFT(Table1[[#This Row],[Category and Sub-Category]],FIND("/",Table1[[#This Row],[Category and Sub-Category]])-1)</f>
        <v>photography</v>
      </c>
      <c r="V1550" t="str">
        <f>RIGHT(Table1[[#This Row],[Category and Sub-Category]],LEN(Table1[[#This Row],[Category and Sub-Category]])-FIND("/",Table1[[#This Row],[Category and Sub-Category]]))</f>
        <v>nature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 s="12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>((Table1[[#This Row],[deadline]]/60)/60/24)+DATE(1970,1,1)</f>
        <v>42311.177766203706</v>
      </c>
      <c r="K1551">
        <v>1443928559</v>
      </c>
      <c r="L1551" s="11">
        <f>((Table1[[#This Row],[launched_at]]/60)/60/24)+DATE(1970,1,1)</f>
        <v>42281.136099537034</v>
      </c>
      <c r="M1551">
        <f>MONTH(Table1[[#This Row],[Date Created Conversion]])</f>
        <v>10</v>
      </c>
      <c r="N1551">
        <f>YEAR(Table1[[#This Row],[Date Created Conversion]])</f>
        <v>2015</v>
      </c>
      <c r="O1551" t="b">
        <v>0</v>
      </c>
      <c r="P1551">
        <v>6</v>
      </c>
      <c r="Q1551" t="b">
        <v>0</v>
      </c>
      <c r="R1551" t="s">
        <v>8289</v>
      </c>
      <c r="S1551" s="6">
        <f>Table1[[#This Row],[pledged]]/Table1[[#This Row],[goal]]</f>
        <v>0.34</v>
      </c>
      <c r="T1551" s="8">
        <f>IF(Table1[[#This Row],[pledged]]=0,"no backers",Table1[[#This Row],[pledged]]/Table1[[#This Row],[backers_count]])</f>
        <v>28.333333333333332</v>
      </c>
      <c r="U1551" t="str">
        <f>LEFT(Table1[[#This Row],[Category and Sub-Category]],FIND("/",Table1[[#This Row],[Category and Sub-Category]])-1)</f>
        <v>photography</v>
      </c>
      <c r="V1551" t="str">
        <f>RIGHT(Table1[[#This Row],[Category and Sub-Category]],LEN(Table1[[#This Row],[Category and Sub-Category]])-FIND("/",Table1[[#This Row],[Category and Sub-Category]]))</f>
        <v>nature</v>
      </c>
    </row>
    <row r="1552" spans="1:22" ht="57.6" x14ac:dyDescent="0.3">
      <c r="A1552">
        <v>1550</v>
      </c>
      <c r="B1552" s="3" t="s">
        <v>1551</v>
      </c>
      <c r="C1552" s="3" t="s">
        <v>5660</v>
      </c>
      <c r="D1552" s="1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>((Table1[[#This Row],[deadline]]/60)/60/24)+DATE(1970,1,1)</f>
        <v>42502.449467592596</v>
      </c>
      <c r="K1552">
        <v>1460458034</v>
      </c>
      <c r="L1552" s="11">
        <f>((Table1[[#This Row],[launched_at]]/60)/60/24)+DATE(1970,1,1)</f>
        <v>42472.449467592596</v>
      </c>
      <c r="M1552">
        <f>MONTH(Table1[[#This Row],[Date Created Conversion]])</f>
        <v>4</v>
      </c>
      <c r="N1552">
        <f>YEAR(Table1[[#This Row],[Date Created Conversion]])</f>
        <v>2016</v>
      </c>
      <c r="O1552" t="b">
        <v>0</v>
      </c>
      <c r="P1552">
        <v>7</v>
      </c>
      <c r="Q1552" t="b">
        <v>0</v>
      </c>
      <c r="R1552" t="s">
        <v>8289</v>
      </c>
      <c r="S1552" s="6">
        <f>Table1[[#This Row],[pledged]]/Table1[[#This Row],[goal]]</f>
        <v>0.13466666666666666</v>
      </c>
      <c r="T1552" s="8">
        <f>IF(Table1[[#This Row],[pledged]]=0,"no backers",Table1[[#This Row],[pledged]]/Table1[[#This Row],[backers_count]])</f>
        <v>14.428571428571429</v>
      </c>
      <c r="U1552" t="str">
        <f>LEFT(Table1[[#This Row],[Category and Sub-Category]],FIND("/",Table1[[#This Row],[Category and Sub-Category]])-1)</f>
        <v>photography</v>
      </c>
      <c r="V1552" t="str">
        <f>RIGHT(Table1[[#This Row],[Category and Sub-Category]],LEN(Table1[[#This Row],[Category and Sub-Category]])-FIND("/",Table1[[#This Row],[Category and Sub-Category]]))</f>
        <v>nature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 s="12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>((Table1[[#This Row],[deadline]]/60)/60/24)+DATE(1970,1,1)</f>
        <v>42151.824525462958</v>
      </c>
      <c r="K1553">
        <v>1430164039</v>
      </c>
      <c r="L1553" s="11">
        <f>((Table1[[#This Row],[launched_at]]/60)/60/24)+DATE(1970,1,1)</f>
        <v>42121.824525462958</v>
      </c>
      <c r="M1553">
        <f>MONTH(Table1[[#This Row],[Date Created Conversion]])</f>
        <v>4</v>
      </c>
      <c r="N1553">
        <f>YEAR(Table1[[#This Row],[Date Created Conversion]])</f>
        <v>2015</v>
      </c>
      <c r="O1553" t="b">
        <v>0</v>
      </c>
      <c r="P1553">
        <v>0</v>
      </c>
      <c r="Q1553" t="b">
        <v>0</v>
      </c>
      <c r="R1553" t="s">
        <v>8289</v>
      </c>
      <c r="S1553" s="6">
        <f>Table1[[#This Row],[pledged]]/Table1[[#This Row],[goal]]</f>
        <v>0</v>
      </c>
      <c r="T1553" s="8" t="str">
        <f>IF(Table1[[#This Row],[pledged]]=0,"no backers",Table1[[#This Row],[pledged]]/Table1[[#This Row],[backers_count]])</f>
        <v>no backers</v>
      </c>
      <c r="U1553" t="str">
        <f>LEFT(Table1[[#This Row],[Category and Sub-Category]],FIND("/",Table1[[#This Row],[Category and Sub-Category]])-1)</f>
        <v>photography</v>
      </c>
      <c r="V1553" t="str">
        <f>RIGHT(Table1[[#This Row],[Category and Sub-Category]],LEN(Table1[[#This Row],[Category and Sub-Category]])-FIND("/",Table1[[#This Row],[Category and Sub-Category]]))</f>
        <v>nature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 s="12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>((Table1[[#This Row],[deadline]]/60)/60/24)+DATE(1970,1,1)</f>
        <v>41913.165972222225</v>
      </c>
      <c r="K1554">
        <v>1410366708</v>
      </c>
      <c r="L1554" s="11">
        <f>((Table1[[#This Row],[launched_at]]/60)/60/24)+DATE(1970,1,1)</f>
        <v>41892.688750000001</v>
      </c>
      <c r="M1554">
        <f>MONTH(Table1[[#This Row],[Date Created Conversion]])</f>
        <v>9</v>
      </c>
      <c r="N1554">
        <f>YEAR(Table1[[#This Row],[Date Created Conversion]])</f>
        <v>2014</v>
      </c>
      <c r="O1554" t="b">
        <v>0</v>
      </c>
      <c r="P1554">
        <v>16</v>
      </c>
      <c r="Q1554" t="b">
        <v>0</v>
      </c>
      <c r="R1554" t="s">
        <v>8289</v>
      </c>
      <c r="S1554" s="6">
        <f>Table1[[#This Row],[pledged]]/Table1[[#This Row],[goal]]</f>
        <v>0.49186046511627907</v>
      </c>
      <c r="T1554" s="8">
        <f>IF(Table1[[#This Row],[pledged]]=0,"no backers",Table1[[#This Row],[pledged]]/Table1[[#This Row],[backers_count]])</f>
        <v>132.1875</v>
      </c>
      <c r="U1554" t="str">
        <f>LEFT(Table1[[#This Row],[Category and Sub-Category]],FIND("/",Table1[[#This Row],[Category and Sub-Category]])-1)</f>
        <v>photography</v>
      </c>
      <c r="V1554" t="str">
        <f>RIGHT(Table1[[#This Row],[Category and Sub-Category]],LEN(Table1[[#This Row],[Category and Sub-Category]])-FIND("/",Table1[[#This Row],[Category and Sub-Category]]))</f>
        <v>nature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 s="12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>((Table1[[#This Row],[deadline]]/60)/60/24)+DATE(1970,1,1)</f>
        <v>42249.282951388886</v>
      </c>
      <c r="K1555">
        <v>1438584447</v>
      </c>
      <c r="L1555" s="11">
        <f>((Table1[[#This Row],[launched_at]]/60)/60/24)+DATE(1970,1,1)</f>
        <v>42219.282951388886</v>
      </c>
      <c r="M1555">
        <f>MONTH(Table1[[#This Row],[Date Created Conversion]])</f>
        <v>8</v>
      </c>
      <c r="N1555">
        <f>YEAR(Table1[[#This Row],[Date Created Conversion]])</f>
        <v>2015</v>
      </c>
      <c r="O1555" t="b">
        <v>0</v>
      </c>
      <c r="P1555">
        <v>0</v>
      </c>
      <c r="Q1555" t="b">
        <v>0</v>
      </c>
      <c r="R1555" t="s">
        <v>8289</v>
      </c>
      <c r="S1555" s="6">
        <f>Table1[[#This Row],[pledged]]/Table1[[#This Row],[goal]]</f>
        <v>0</v>
      </c>
      <c r="T1555" s="8" t="str">
        <f>IF(Table1[[#This Row],[pledged]]=0,"no backers",Table1[[#This Row],[pledged]]/Table1[[#This Row],[backers_count]])</f>
        <v>no backers</v>
      </c>
      <c r="U1555" t="str">
        <f>LEFT(Table1[[#This Row],[Category and Sub-Category]],FIND("/",Table1[[#This Row],[Category and Sub-Category]])-1)</f>
        <v>photography</v>
      </c>
      <c r="V1555" t="str">
        <f>RIGHT(Table1[[#This Row],[Category and Sub-Category]],LEN(Table1[[#This Row],[Category and Sub-Category]])-FIND("/",Table1[[#This Row],[Category and Sub-Category]]))</f>
        <v>nature</v>
      </c>
    </row>
    <row r="1556" spans="1:22" ht="57.6" x14ac:dyDescent="0.3">
      <c r="A1556">
        <v>1554</v>
      </c>
      <c r="B1556" s="3" t="s">
        <v>1555</v>
      </c>
      <c r="C1556" s="3" t="s">
        <v>5664</v>
      </c>
      <c r="D1556" s="12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>((Table1[[#This Row],[deadline]]/60)/60/24)+DATE(1970,1,1)</f>
        <v>42218.252199074079</v>
      </c>
      <c r="K1556">
        <v>1435903390</v>
      </c>
      <c r="L1556" s="11">
        <f>((Table1[[#This Row],[launched_at]]/60)/60/24)+DATE(1970,1,1)</f>
        <v>42188.252199074079</v>
      </c>
      <c r="M1556">
        <f>MONTH(Table1[[#This Row],[Date Created Conversion]])</f>
        <v>7</v>
      </c>
      <c r="N1556">
        <f>YEAR(Table1[[#This Row],[Date Created Conversion]])</f>
        <v>2015</v>
      </c>
      <c r="O1556" t="b">
        <v>0</v>
      </c>
      <c r="P1556">
        <v>0</v>
      </c>
      <c r="Q1556" t="b">
        <v>0</v>
      </c>
      <c r="R1556" t="s">
        <v>8289</v>
      </c>
      <c r="S1556" s="6">
        <f>Table1[[#This Row],[pledged]]/Table1[[#This Row],[goal]]</f>
        <v>0</v>
      </c>
      <c r="T1556" s="8" t="str">
        <f>IF(Table1[[#This Row],[pledged]]=0,"no backers",Table1[[#This Row],[pledged]]/Table1[[#This Row],[backers_count]])</f>
        <v>no backers</v>
      </c>
      <c r="U1556" t="str">
        <f>LEFT(Table1[[#This Row],[Category and Sub-Category]],FIND("/",Table1[[#This Row],[Category and Sub-Category]])-1)</f>
        <v>photography</v>
      </c>
      <c r="V1556" t="str">
        <f>RIGHT(Table1[[#This Row],[Category and Sub-Category]],LEN(Table1[[#This Row],[Category and Sub-Category]])-FIND("/",Table1[[#This Row],[Category and Sub-Category]]))</f>
        <v>nature</v>
      </c>
    </row>
    <row r="1557" spans="1:22" ht="43.2" x14ac:dyDescent="0.3">
      <c r="A1557">
        <v>1555</v>
      </c>
      <c r="B1557" s="3" t="s">
        <v>1556</v>
      </c>
      <c r="C1557" s="3" t="s">
        <v>5665</v>
      </c>
      <c r="D1557" s="12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>((Table1[[#This Row],[deadline]]/60)/60/24)+DATE(1970,1,1)</f>
        <v>42264.708333333328</v>
      </c>
      <c r="K1557">
        <v>1440513832</v>
      </c>
      <c r="L1557" s="11">
        <f>((Table1[[#This Row],[launched_at]]/60)/60/24)+DATE(1970,1,1)</f>
        <v>42241.613796296297</v>
      </c>
      <c r="M1557">
        <f>MONTH(Table1[[#This Row],[Date Created Conversion]])</f>
        <v>8</v>
      </c>
      <c r="N1557">
        <f>YEAR(Table1[[#This Row],[Date Created Conversion]])</f>
        <v>2015</v>
      </c>
      <c r="O1557" t="b">
        <v>0</v>
      </c>
      <c r="P1557">
        <v>0</v>
      </c>
      <c r="Q1557" t="b">
        <v>0</v>
      </c>
      <c r="R1557" t="s">
        <v>8289</v>
      </c>
      <c r="S1557" s="6">
        <f>Table1[[#This Row],[pledged]]/Table1[[#This Row],[goal]]</f>
        <v>0</v>
      </c>
      <c r="T1557" s="8" t="str">
        <f>IF(Table1[[#This Row],[pledged]]=0,"no backers",Table1[[#This Row],[pledged]]/Table1[[#This Row],[backers_count]])</f>
        <v>no backers</v>
      </c>
      <c r="U1557" t="str">
        <f>LEFT(Table1[[#This Row],[Category and Sub-Category]],FIND("/",Table1[[#This Row],[Category and Sub-Category]])-1)</f>
        <v>photography</v>
      </c>
      <c r="V1557" t="str">
        <f>RIGHT(Table1[[#This Row],[Category and Sub-Category]],LEN(Table1[[#This Row],[Category and Sub-Category]])-FIND("/",Table1[[#This Row],[Category and Sub-Category]]))</f>
        <v>nature</v>
      </c>
    </row>
    <row r="1558" spans="1:22" ht="43.2" x14ac:dyDescent="0.3">
      <c r="A1558">
        <v>1556</v>
      </c>
      <c r="B1558" s="3" t="s">
        <v>1557</v>
      </c>
      <c r="C1558" s="3" t="s">
        <v>5666</v>
      </c>
      <c r="D1558" s="12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>((Table1[[#This Row],[deadline]]/60)/60/24)+DATE(1970,1,1)</f>
        <v>42555.153055555551</v>
      </c>
      <c r="K1558">
        <v>1465011624</v>
      </c>
      <c r="L1558" s="11">
        <f>((Table1[[#This Row],[launched_at]]/60)/60/24)+DATE(1970,1,1)</f>
        <v>42525.153055555551</v>
      </c>
      <c r="M1558">
        <f>MONTH(Table1[[#This Row],[Date Created Conversion]])</f>
        <v>6</v>
      </c>
      <c r="N1558">
        <f>YEAR(Table1[[#This Row],[Date Created Conversion]])</f>
        <v>2016</v>
      </c>
      <c r="O1558" t="b">
        <v>0</v>
      </c>
      <c r="P1558">
        <v>12</v>
      </c>
      <c r="Q1558" t="b">
        <v>0</v>
      </c>
      <c r="R1558" t="s">
        <v>8289</v>
      </c>
      <c r="S1558" s="6">
        <f>Table1[[#This Row],[pledged]]/Table1[[#This Row],[goal]]</f>
        <v>0.45133333333333331</v>
      </c>
      <c r="T1558" s="8">
        <f>IF(Table1[[#This Row],[pledged]]=0,"no backers",Table1[[#This Row],[pledged]]/Table1[[#This Row],[backers_count]])</f>
        <v>56.416666666666664</v>
      </c>
      <c r="U1558" t="str">
        <f>LEFT(Table1[[#This Row],[Category and Sub-Category]],FIND("/",Table1[[#This Row],[Category and Sub-Category]])-1)</f>
        <v>photography</v>
      </c>
      <c r="V1558" t="str">
        <f>RIGHT(Table1[[#This Row],[Category and Sub-Category]],LEN(Table1[[#This Row],[Category and Sub-Category]])-FIND("/",Table1[[#This Row],[Category and Sub-Category]]))</f>
        <v>nature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 s="12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>((Table1[[#This Row],[deadline]]/60)/60/24)+DATE(1970,1,1)</f>
        <v>41902.65315972222</v>
      </c>
      <c r="K1559">
        <v>1408549233</v>
      </c>
      <c r="L1559" s="11">
        <f>((Table1[[#This Row],[launched_at]]/60)/60/24)+DATE(1970,1,1)</f>
        <v>41871.65315972222</v>
      </c>
      <c r="M1559">
        <f>MONTH(Table1[[#This Row],[Date Created Conversion]])</f>
        <v>8</v>
      </c>
      <c r="N1559">
        <f>YEAR(Table1[[#This Row],[Date Created Conversion]])</f>
        <v>2014</v>
      </c>
      <c r="O1559" t="b">
        <v>0</v>
      </c>
      <c r="P1559">
        <v>1</v>
      </c>
      <c r="Q1559" t="b">
        <v>0</v>
      </c>
      <c r="R1559" t="s">
        <v>8289</v>
      </c>
      <c r="S1559" s="6">
        <f>Table1[[#This Row],[pledged]]/Table1[[#This Row],[goal]]</f>
        <v>0.04</v>
      </c>
      <c r="T1559" s="8">
        <f>IF(Table1[[#This Row],[pledged]]=0,"no backers",Table1[[#This Row],[pledged]]/Table1[[#This Row],[backers_count]])</f>
        <v>100</v>
      </c>
      <c r="U1559" t="str">
        <f>LEFT(Table1[[#This Row],[Category and Sub-Category]],FIND("/",Table1[[#This Row],[Category and Sub-Category]])-1)</f>
        <v>photography</v>
      </c>
      <c r="V1559" t="str">
        <f>RIGHT(Table1[[#This Row],[Category and Sub-Category]],LEN(Table1[[#This Row],[Category and Sub-Category]])-FIND("/",Table1[[#This Row],[Category and Sub-Category]]))</f>
        <v>nature</v>
      </c>
    </row>
    <row r="1560" spans="1:22" ht="43.2" x14ac:dyDescent="0.3">
      <c r="A1560">
        <v>1558</v>
      </c>
      <c r="B1560" s="3" t="s">
        <v>1559</v>
      </c>
      <c r="C1560" s="3" t="s">
        <v>5668</v>
      </c>
      <c r="D1560" s="12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>((Table1[[#This Row],[deadline]]/60)/60/24)+DATE(1970,1,1)</f>
        <v>42244.508333333331</v>
      </c>
      <c r="K1560">
        <v>1435656759</v>
      </c>
      <c r="L1560" s="11">
        <f>((Table1[[#This Row],[launched_at]]/60)/60/24)+DATE(1970,1,1)</f>
        <v>42185.397673611107</v>
      </c>
      <c r="M1560">
        <f>MONTH(Table1[[#This Row],[Date Created Conversion]])</f>
        <v>6</v>
      </c>
      <c r="N1560">
        <f>YEAR(Table1[[#This Row],[Date Created Conversion]])</f>
        <v>2015</v>
      </c>
      <c r="O1560" t="b">
        <v>0</v>
      </c>
      <c r="P1560">
        <v>3</v>
      </c>
      <c r="Q1560" t="b">
        <v>0</v>
      </c>
      <c r="R1560" t="s">
        <v>8289</v>
      </c>
      <c r="S1560" s="6">
        <f>Table1[[#This Row],[pledged]]/Table1[[#This Row],[goal]]</f>
        <v>4.6666666666666669E-2</v>
      </c>
      <c r="T1560" s="8">
        <f>IF(Table1[[#This Row],[pledged]]=0,"no backers",Table1[[#This Row],[pledged]]/Table1[[#This Row],[backers_count]])</f>
        <v>11.666666666666666</v>
      </c>
      <c r="U1560" t="str">
        <f>LEFT(Table1[[#This Row],[Category and Sub-Category]],FIND("/",Table1[[#This Row],[Category and Sub-Category]])-1)</f>
        <v>photography</v>
      </c>
      <c r="V1560" t="str">
        <f>RIGHT(Table1[[#This Row],[Category and Sub-Category]],LEN(Table1[[#This Row],[Category and Sub-Category]])-FIND("/",Table1[[#This Row],[Category and Sub-Category]]))</f>
        <v>nature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 s="12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>((Table1[[#This Row],[deadline]]/60)/60/24)+DATE(1970,1,1)</f>
        <v>42123.05322916666</v>
      </c>
      <c r="K1561">
        <v>1428974199</v>
      </c>
      <c r="L1561" s="11">
        <f>((Table1[[#This Row],[launched_at]]/60)/60/24)+DATE(1970,1,1)</f>
        <v>42108.05322916666</v>
      </c>
      <c r="M1561">
        <f>MONTH(Table1[[#This Row],[Date Created Conversion]])</f>
        <v>4</v>
      </c>
      <c r="N1561">
        <f>YEAR(Table1[[#This Row],[Date Created Conversion]])</f>
        <v>2015</v>
      </c>
      <c r="O1561" t="b">
        <v>0</v>
      </c>
      <c r="P1561">
        <v>1</v>
      </c>
      <c r="Q1561" t="b">
        <v>0</v>
      </c>
      <c r="R1561" t="s">
        <v>8289</v>
      </c>
      <c r="S1561" s="6">
        <f>Table1[[#This Row],[pledged]]/Table1[[#This Row],[goal]]</f>
        <v>3.3333333333333335E-3</v>
      </c>
      <c r="T1561" s="8">
        <f>IF(Table1[[#This Row],[pledged]]=0,"no backers",Table1[[#This Row],[pledged]]/Table1[[#This Row],[backers_count]])</f>
        <v>50</v>
      </c>
      <c r="U1561" t="str">
        <f>LEFT(Table1[[#This Row],[Category and Sub-Category]],FIND("/",Table1[[#This Row],[Category and Sub-Category]])-1)</f>
        <v>photography</v>
      </c>
      <c r="V1561" t="str">
        <f>RIGHT(Table1[[#This Row],[Category and Sub-Category]],LEN(Table1[[#This Row],[Category and Sub-Category]])-FIND("/",Table1[[#This Row],[Category and Sub-Category]]))</f>
        <v>nature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 s="1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>((Table1[[#This Row],[deadline]]/60)/60/24)+DATE(1970,1,1)</f>
        <v>41956.062418981484</v>
      </c>
      <c r="K1562">
        <v>1414110593</v>
      </c>
      <c r="L1562" s="11">
        <f>((Table1[[#This Row],[launched_at]]/60)/60/24)+DATE(1970,1,1)</f>
        <v>41936.020752314813</v>
      </c>
      <c r="M1562">
        <f>MONTH(Table1[[#This Row],[Date Created Conversion]])</f>
        <v>10</v>
      </c>
      <c r="N1562">
        <f>YEAR(Table1[[#This Row],[Date Created Conversion]])</f>
        <v>2014</v>
      </c>
      <c r="O1562" t="b">
        <v>0</v>
      </c>
      <c r="P1562">
        <v>4</v>
      </c>
      <c r="Q1562" t="b">
        <v>0</v>
      </c>
      <c r="R1562" t="s">
        <v>8289</v>
      </c>
      <c r="S1562" s="6">
        <f>Table1[[#This Row],[pledged]]/Table1[[#This Row],[goal]]</f>
        <v>3.7600000000000001E-2</v>
      </c>
      <c r="T1562" s="8">
        <f>IF(Table1[[#This Row],[pledged]]=0,"no backers",Table1[[#This Row],[pledged]]/Table1[[#This Row],[backers_count]])</f>
        <v>23.5</v>
      </c>
      <c r="U1562" t="str">
        <f>LEFT(Table1[[#This Row],[Category and Sub-Category]],FIND("/",Table1[[#This Row],[Category and Sub-Category]])-1)</f>
        <v>photography</v>
      </c>
      <c r="V1562" t="str">
        <f>RIGHT(Table1[[#This Row],[Category and Sub-Category]],LEN(Table1[[#This Row],[Category and Sub-Category]])-FIND("/",Table1[[#This Row],[Category and Sub-Category]]))</f>
        <v>nature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 s="12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>((Table1[[#This Row],[deadline]]/60)/60/24)+DATE(1970,1,1)</f>
        <v>41585.083368055559</v>
      </c>
      <c r="K1563">
        <v>1381194003</v>
      </c>
      <c r="L1563" s="11">
        <f>((Table1[[#This Row],[launched_at]]/60)/60/24)+DATE(1970,1,1)</f>
        <v>41555.041701388887</v>
      </c>
      <c r="M1563">
        <f>MONTH(Table1[[#This Row],[Date Created Conversion]])</f>
        <v>10</v>
      </c>
      <c r="N1563">
        <f>YEAR(Table1[[#This Row],[Date Created Conversion]])</f>
        <v>2013</v>
      </c>
      <c r="O1563" t="b">
        <v>0</v>
      </c>
      <c r="P1563">
        <v>1</v>
      </c>
      <c r="Q1563" t="b">
        <v>0</v>
      </c>
      <c r="R1563" t="s">
        <v>8290</v>
      </c>
      <c r="S1563" s="6">
        <f>Table1[[#This Row],[pledged]]/Table1[[#This Row],[goal]]</f>
        <v>6.7000000000000002E-3</v>
      </c>
      <c r="T1563" s="8">
        <f>IF(Table1[[#This Row],[pledged]]=0,"no backers",Table1[[#This Row],[pledged]]/Table1[[#This Row],[backers_count]])</f>
        <v>67</v>
      </c>
      <c r="U1563" t="str">
        <f>LEFT(Table1[[#This Row],[Category and Sub-Category]],FIND("/",Table1[[#This Row],[Category and Sub-Category]])-1)</f>
        <v>publishing</v>
      </c>
      <c r="V1563" t="str">
        <f>RIGHT(Table1[[#This Row],[Category and Sub-Category]],LEN(Table1[[#This Row],[Category and Sub-Category]])-FIND("/",Table1[[#This Row],[Category and Sub-Category]]))</f>
        <v>art books</v>
      </c>
    </row>
    <row r="1564" spans="1:22" ht="57.6" x14ac:dyDescent="0.3">
      <c r="A1564">
        <v>1562</v>
      </c>
      <c r="B1564" s="3" t="s">
        <v>1563</v>
      </c>
      <c r="C1564" s="3" t="s">
        <v>5672</v>
      </c>
      <c r="D1564" s="12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>((Table1[[#This Row],[deadline]]/60)/60/24)+DATE(1970,1,1)</f>
        <v>40149.034722222219</v>
      </c>
      <c r="K1564">
        <v>1253712916</v>
      </c>
      <c r="L1564" s="11">
        <f>((Table1[[#This Row],[launched_at]]/60)/60/24)+DATE(1970,1,1)</f>
        <v>40079.566157407404</v>
      </c>
      <c r="M1564">
        <f>MONTH(Table1[[#This Row],[Date Created Conversion]])</f>
        <v>9</v>
      </c>
      <c r="N1564">
        <f>YEAR(Table1[[#This Row],[Date Created Conversion]])</f>
        <v>2009</v>
      </c>
      <c r="O1564" t="b">
        <v>0</v>
      </c>
      <c r="P1564">
        <v>0</v>
      </c>
      <c r="Q1564" t="b">
        <v>0</v>
      </c>
      <c r="R1564" t="s">
        <v>8290</v>
      </c>
      <c r="S1564" s="6">
        <f>Table1[[#This Row],[pledged]]/Table1[[#This Row],[goal]]</f>
        <v>0</v>
      </c>
      <c r="T1564" s="8" t="str">
        <f>IF(Table1[[#This Row],[pledged]]=0,"no backers",Table1[[#This Row],[pledged]]/Table1[[#This Row],[backers_count]])</f>
        <v>no backers</v>
      </c>
      <c r="U1564" t="str">
        <f>LEFT(Table1[[#This Row],[Category and Sub-Category]],FIND("/",Table1[[#This Row],[Category and Sub-Category]])-1)</f>
        <v>publishing</v>
      </c>
      <c r="V1564" t="str">
        <f>RIGHT(Table1[[#This Row],[Category and Sub-Category]],LEN(Table1[[#This Row],[Category and Sub-Category]])-FIND("/",Table1[[#This Row],[Category and Sub-Category]]))</f>
        <v>art books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 s="12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>((Table1[[#This Row],[deadline]]/60)/60/24)+DATE(1970,1,1)</f>
        <v>41712.700821759259</v>
      </c>
      <c r="K1565">
        <v>1389635351</v>
      </c>
      <c r="L1565" s="11">
        <f>((Table1[[#This Row],[launched_at]]/60)/60/24)+DATE(1970,1,1)</f>
        <v>41652.742488425924</v>
      </c>
      <c r="M1565">
        <f>MONTH(Table1[[#This Row],[Date Created Conversion]])</f>
        <v>1</v>
      </c>
      <c r="N1565">
        <f>YEAR(Table1[[#This Row],[Date Created Conversion]])</f>
        <v>2014</v>
      </c>
      <c r="O1565" t="b">
        <v>0</v>
      </c>
      <c r="P1565">
        <v>2</v>
      </c>
      <c r="Q1565" t="b">
        <v>0</v>
      </c>
      <c r="R1565" t="s">
        <v>8290</v>
      </c>
      <c r="S1565" s="6">
        <f>Table1[[#This Row],[pledged]]/Table1[[#This Row],[goal]]</f>
        <v>1.4166666666666666E-2</v>
      </c>
      <c r="T1565" s="8">
        <f>IF(Table1[[#This Row],[pledged]]=0,"no backers",Table1[[#This Row],[pledged]]/Table1[[#This Row],[backers_count]])</f>
        <v>42.5</v>
      </c>
      <c r="U1565" t="str">
        <f>LEFT(Table1[[#This Row],[Category and Sub-Category]],FIND("/",Table1[[#This Row],[Category and Sub-Category]])-1)</f>
        <v>publishing</v>
      </c>
      <c r="V1565" t="str">
        <f>RIGHT(Table1[[#This Row],[Category and Sub-Category]],LEN(Table1[[#This Row],[Category and Sub-Category]])-FIND("/",Table1[[#This Row],[Category and Sub-Category]]))</f>
        <v>art books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 s="12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>((Table1[[#This Row],[deadline]]/60)/60/24)+DATE(1970,1,1)</f>
        <v>42152.836805555555</v>
      </c>
      <c r="K1566">
        <v>1430124509</v>
      </c>
      <c r="L1566" s="11">
        <f>((Table1[[#This Row],[launched_at]]/60)/60/24)+DATE(1970,1,1)</f>
        <v>42121.367002314815</v>
      </c>
      <c r="M1566">
        <f>MONTH(Table1[[#This Row],[Date Created Conversion]])</f>
        <v>4</v>
      </c>
      <c r="N1566">
        <f>YEAR(Table1[[#This Row],[Date Created Conversion]])</f>
        <v>2015</v>
      </c>
      <c r="O1566" t="b">
        <v>0</v>
      </c>
      <c r="P1566">
        <v>1</v>
      </c>
      <c r="Q1566" t="b">
        <v>0</v>
      </c>
      <c r="R1566" t="s">
        <v>8290</v>
      </c>
      <c r="S1566" s="6">
        <f>Table1[[#This Row],[pledged]]/Table1[[#This Row],[goal]]</f>
        <v>1E-3</v>
      </c>
      <c r="T1566" s="8">
        <f>IF(Table1[[#This Row],[pledged]]=0,"no backers",Table1[[#This Row],[pledged]]/Table1[[#This Row],[backers_count]])</f>
        <v>10</v>
      </c>
      <c r="U1566" t="str">
        <f>LEFT(Table1[[#This Row],[Category and Sub-Category]],FIND("/",Table1[[#This Row],[Category and Sub-Category]])-1)</f>
        <v>publishing</v>
      </c>
      <c r="V1566" t="str">
        <f>RIGHT(Table1[[#This Row],[Category and Sub-Category]],LEN(Table1[[#This Row],[Category and Sub-Category]])-FIND("/",Table1[[#This Row],[Category and Sub-Category]]))</f>
        <v>art books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 s="12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>((Table1[[#This Row],[deadline]]/60)/60/24)+DATE(1970,1,1)</f>
        <v>40702.729872685188</v>
      </c>
      <c r="K1567">
        <v>1304962261</v>
      </c>
      <c r="L1567" s="11">
        <f>((Table1[[#This Row],[launched_at]]/60)/60/24)+DATE(1970,1,1)</f>
        <v>40672.729872685188</v>
      </c>
      <c r="M1567">
        <f>MONTH(Table1[[#This Row],[Date Created Conversion]])</f>
        <v>5</v>
      </c>
      <c r="N1567">
        <f>YEAR(Table1[[#This Row],[Date Created Conversion]])</f>
        <v>2011</v>
      </c>
      <c r="O1567" t="b">
        <v>0</v>
      </c>
      <c r="P1567">
        <v>1</v>
      </c>
      <c r="Q1567" t="b">
        <v>0</v>
      </c>
      <c r="R1567" t="s">
        <v>8290</v>
      </c>
      <c r="S1567" s="6">
        <f>Table1[[#This Row],[pledged]]/Table1[[#This Row],[goal]]</f>
        <v>2.5000000000000001E-2</v>
      </c>
      <c r="T1567" s="8">
        <f>IF(Table1[[#This Row],[pledged]]=0,"no backers",Table1[[#This Row],[pledged]]/Table1[[#This Row],[backers_count]])</f>
        <v>100</v>
      </c>
      <c r="U1567" t="str">
        <f>LEFT(Table1[[#This Row],[Category and Sub-Category]],FIND("/",Table1[[#This Row],[Category and Sub-Category]])-1)</f>
        <v>publishing</v>
      </c>
      <c r="V1567" t="str">
        <f>RIGHT(Table1[[#This Row],[Category and Sub-Category]],LEN(Table1[[#This Row],[Category and Sub-Category]])-FIND("/",Table1[[#This Row],[Category and Sub-Category]]))</f>
        <v>art books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 s="12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>((Table1[[#This Row],[deadline]]/60)/60/24)+DATE(1970,1,1)</f>
        <v>42578.916666666672</v>
      </c>
      <c r="K1568">
        <v>1467151204</v>
      </c>
      <c r="L1568" s="11">
        <f>((Table1[[#This Row],[launched_at]]/60)/60/24)+DATE(1970,1,1)</f>
        <v>42549.916712962964</v>
      </c>
      <c r="M1568">
        <f>MONTH(Table1[[#This Row],[Date Created Conversion]])</f>
        <v>6</v>
      </c>
      <c r="N1568">
        <f>YEAR(Table1[[#This Row],[Date Created Conversion]])</f>
        <v>2016</v>
      </c>
      <c r="O1568" t="b">
        <v>0</v>
      </c>
      <c r="P1568">
        <v>59</v>
      </c>
      <c r="Q1568" t="b">
        <v>0</v>
      </c>
      <c r="R1568" t="s">
        <v>8290</v>
      </c>
      <c r="S1568" s="6">
        <f>Table1[[#This Row],[pledged]]/Table1[[#This Row],[goal]]</f>
        <v>0.21249999999999999</v>
      </c>
      <c r="T1568" s="8">
        <f>IF(Table1[[#This Row],[pledged]]=0,"no backers",Table1[[#This Row],[pledged]]/Table1[[#This Row],[backers_count]])</f>
        <v>108.05084745762711</v>
      </c>
      <c r="U1568" t="str">
        <f>LEFT(Table1[[#This Row],[Category and Sub-Category]],FIND("/",Table1[[#This Row],[Category and Sub-Category]])-1)</f>
        <v>publishing</v>
      </c>
      <c r="V1568" t="str">
        <f>RIGHT(Table1[[#This Row],[Category and Sub-Category]],LEN(Table1[[#This Row],[Category and Sub-Category]])-FIND("/",Table1[[#This Row],[Category and Sub-Category]]))</f>
        <v>art books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 s="12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>((Table1[[#This Row],[deadline]]/60)/60/24)+DATE(1970,1,1)</f>
        <v>41687</v>
      </c>
      <c r="K1569">
        <v>1391293745</v>
      </c>
      <c r="L1569" s="11">
        <f>((Table1[[#This Row],[launched_at]]/60)/60/24)+DATE(1970,1,1)</f>
        <v>41671.936863425923</v>
      </c>
      <c r="M1569">
        <f>MONTH(Table1[[#This Row],[Date Created Conversion]])</f>
        <v>2</v>
      </c>
      <c r="N1569">
        <f>YEAR(Table1[[#This Row],[Date Created Conversion]])</f>
        <v>2014</v>
      </c>
      <c r="O1569" t="b">
        <v>0</v>
      </c>
      <c r="P1569">
        <v>13</v>
      </c>
      <c r="Q1569" t="b">
        <v>0</v>
      </c>
      <c r="R1569" t="s">
        <v>8290</v>
      </c>
      <c r="S1569" s="6">
        <f>Table1[[#This Row],[pledged]]/Table1[[#This Row],[goal]]</f>
        <v>4.1176470588235294E-2</v>
      </c>
      <c r="T1569" s="8">
        <f>IF(Table1[[#This Row],[pledged]]=0,"no backers",Table1[[#This Row],[pledged]]/Table1[[#This Row],[backers_count]])</f>
        <v>26.923076923076923</v>
      </c>
      <c r="U1569" t="str">
        <f>LEFT(Table1[[#This Row],[Category and Sub-Category]],FIND("/",Table1[[#This Row],[Category and Sub-Category]])-1)</f>
        <v>publishing</v>
      </c>
      <c r="V1569" t="str">
        <f>RIGHT(Table1[[#This Row],[Category and Sub-Category]],LEN(Table1[[#This Row],[Category and Sub-Category]])-FIND("/",Table1[[#This Row],[Category and Sub-Category]]))</f>
        <v>art books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 s="12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>((Table1[[#This Row],[deadline]]/60)/60/24)+DATE(1970,1,1)</f>
        <v>41997.062326388885</v>
      </c>
      <c r="K1570">
        <v>1416360585</v>
      </c>
      <c r="L1570" s="11">
        <f>((Table1[[#This Row],[launched_at]]/60)/60/24)+DATE(1970,1,1)</f>
        <v>41962.062326388885</v>
      </c>
      <c r="M1570">
        <f>MONTH(Table1[[#This Row],[Date Created Conversion]])</f>
        <v>11</v>
      </c>
      <c r="N1570">
        <f>YEAR(Table1[[#This Row],[Date Created Conversion]])</f>
        <v>2014</v>
      </c>
      <c r="O1570" t="b">
        <v>0</v>
      </c>
      <c r="P1570">
        <v>22</v>
      </c>
      <c r="Q1570" t="b">
        <v>0</v>
      </c>
      <c r="R1570" t="s">
        <v>8290</v>
      </c>
      <c r="S1570" s="6">
        <f>Table1[[#This Row],[pledged]]/Table1[[#This Row],[goal]]</f>
        <v>0.13639999999999999</v>
      </c>
      <c r="T1570" s="8">
        <f>IF(Table1[[#This Row],[pledged]]=0,"no backers",Table1[[#This Row],[pledged]]/Table1[[#This Row],[backers_count]])</f>
        <v>155</v>
      </c>
      <c r="U1570" t="str">
        <f>LEFT(Table1[[#This Row],[Category and Sub-Category]],FIND("/",Table1[[#This Row],[Category and Sub-Category]])-1)</f>
        <v>publishing</v>
      </c>
      <c r="V1570" t="str">
        <f>RIGHT(Table1[[#This Row],[Category and Sub-Category]],LEN(Table1[[#This Row],[Category and Sub-Category]])-FIND("/",Table1[[#This Row],[Category and Sub-Category]]))</f>
        <v>art books</v>
      </c>
    </row>
    <row r="1571" spans="1:22" x14ac:dyDescent="0.3">
      <c r="A1571">
        <v>1569</v>
      </c>
      <c r="B1571" s="3" t="s">
        <v>1570</v>
      </c>
      <c r="C1571" s="3" t="s">
        <v>5679</v>
      </c>
      <c r="D1571" s="12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>((Table1[[#This Row],[deadline]]/60)/60/24)+DATE(1970,1,1)</f>
        <v>41419.679560185185</v>
      </c>
      <c r="K1571">
        <v>1366906714</v>
      </c>
      <c r="L1571" s="11">
        <f>((Table1[[#This Row],[launched_at]]/60)/60/24)+DATE(1970,1,1)</f>
        <v>41389.679560185185</v>
      </c>
      <c r="M1571">
        <f>MONTH(Table1[[#This Row],[Date Created Conversion]])</f>
        <v>4</v>
      </c>
      <c r="N1571">
        <f>YEAR(Table1[[#This Row],[Date Created Conversion]])</f>
        <v>2013</v>
      </c>
      <c r="O1571" t="b">
        <v>0</v>
      </c>
      <c r="P1571">
        <v>0</v>
      </c>
      <c r="Q1571" t="b">
        <v>0</v>
      </c>
      <c r="R1571" t="s">
        <v>8290</v>
      </c>
      <c r="S1571" s="6">
        <f>Table1[[#This Row],[pledged]]/Table1[[#This Row],[goal]]</f>
        <v>0</v>
      </c>
      <c r="T1571" s="8" t="str">
        <f>IF(Table1[[#This Row],[pledged]]=0,"no backers",Table1[[#This Row],[pledged]]/Table1[[#This Row],[backers_count]])</f>
        <v>no backers</v>
      </c>
      <c r="U1571" t="str">
        <f>LEFT(Table1[[#This Row],[Category and Sub-Category]],FIND("/",Table1[[#This Row],[Category and Sub-Category]])-1)</f>
        <v>publishing</v>
      </c>
      <c r="V1571" t="str">
        <f>RIGHT(Table1[[#This Row],[Category and Sub-Category]],LEN(Table1[[#This Row],[Category and Sub-Category]])-FIND("/",Table1[[#This Row],[Category and Sub-Category]]))</f>
        <v>art books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 s="1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>((Table1[[#This Row],[deadline]]/60)/60/24)+DATE(1970,1,1)</f>
        <v>42468.771782407406</v>
      </c>
      <c r="K1572">
        <v>1457551882</v>
      </c>
      <c r="L1572" s="11">
        <f>((Table1[[#This Row],[launched_at]]/60)/60/24)+DATE(1970,1,1)</f>
        <v>42438.813449074078</v>
      </c>
      <c r="M1572">
        <f>MONTH(Table1[[#This Row],[Date Created Conversion]])</f>
        <v>3</v>
      </c>
      <c r="N1572">
        <f>YEAR(Table1[[#This Row],[Date Created Conversion]])</f>
        <v>2016</v>
      </c>
      <c r="O1572" t="b">
        <v>0</v>
      </c>
      <c r="P1572">
        <v>52</v>
      </c>
      <c r="Q1572" t="b">
        <v>0</v>
      </c>
      <c r="R1572" t="s">
        <v>8290</v>
      </c>
      <c r="S1572" s="6">
        <f>Table1[[#This Row],[pledged]]/Table1[[#This Row],[goal]]</f>
        <v>0.41399999999999998</v>
      </c>
      <c r="T1572" s="8">
        <f>IF(Table1[[#This Row],[pledged]]=0,"no backers",Table1[[#This Row],[pledged]]/Table1[[#This Row],[backers_count]])</f>
        <v>47.769230769230766</v>
      </c>
      <c r="U1572" t="str">
        <f>LEFT(Table1[[#This Row],[Category and Sub-Category]],FIND("/",Table1[[#This Row],[Category and Sub-Category]])-1)</f>
        <v>publishing</v>
      </c>
      <c r="V1572" t="str">
        <f>RIGHT(Table1[[#This Row],[Category and Sub-Category]],LEN(Table1[[#This Row],[Category and Sub-Category]])-FIND("/",Table1[[#This Row],[Category and Sub-Category]]))</f>
        <v>art books</v>
      </c>
    </row>
    <row r="1573" spans="1:22" ht="57.6" x14ac:dyDescent="0.3">
      <c r="A1573">
        <v>1571</v>
      </c>
      <c r="B1573" s="3" t="s">
        <v>1572</v>
      </c>
      <c r="C1573" s="3" t="s">
        <v>5681</v>
      </c>
      <c r="D1573" s="12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>((Table1[[#This Row],[deadline]]/60)/60/24)+DATE(1970,1,1)</f>
        <v>42174.769479166673</v>
      </c>
      <c r="K1573">
        <v>1432146483</v>
      </c>
      <c r="L1573" s="11">
        <f>((Table1[[#This Row],[launched_at]]/60)/60/24)+DATE(1970,1,1)</f>
        <v>42144.769479166673</v>
      </c>
      <c r="M1573">
        <f>MONTH(Table1[[#This Row],[Date Created Conversion]])</f>
        <v>5</v>
      </c>
      <c r="N1573">
        <f>YEAR(Table1[[#This Row],[Date Created Conversion]])</f>
        <v>2015</v>
      </c>
      <c r="O1573" t="b">
        <v>0</v>
      </c>
      <c r="P1573">
        <v>4</v>
      </c>
      <c r="Q1573" t="b">
        <v>0</v>
      </c>
      <c r="R1573" t="s">
        <v>8290</v>
      </c>
      <c r="S1573" s="6">
        <f>Table1[[#This Row],[pledged]]/Table1[[#This Row],[goal]]</f>
        <v>6.6115702479338841E-3</v>
      </c>
      <c r="T1573" s="8">
        <f>IF(Table1[[#This Row],[pledged]]=0,"no backers",Table1[[#This Row],[pledged]]/Table1[[#This Row],[backers_count]])</f>
        <v>20</v>
      </c>
      <c r="U1573" t="str">
        <f>LEFT(Table1[[#This Row],[Category and Sub-Category]],FIND("/",Table1[[#This Row],[Category and Sub-Category]])-1)</f>
        <v>publishing</v>
      </c>
      <c r="V1573" t="str">
        <f>RIGHT(Table1[[#This Row],[Category and Sub-Category]],LEN(Table1[[#This Row],[Category and Sub-Category]])-FIND("/",Table1[[#This Row],[Category and Sub-Category]]))</f>
        <v>art books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 s="12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>((Table1[[#This Row],[deadline]]/60)/60/24)+DATE(1970,1,1)</f>
        <v>42428.999305555553</v>
      </c>
      <c r="K1574">
        <v>1454546859</v>
      </c>
      <c r="L1574" s="11">
        <f>((Table1[[#This Row],[launched_at]]/60)/60/24)+DATE(1970,1,1)</f>
        <v>42404.033090277779</v>
      </c>
      <c r="M1574">
        <f>MONTH(Table1[[#This Row],[Date Created Conversion]])</f>
        <v>2</v>
      </c>
      <c r="N1574">
        <f>YEAR(Table1[[#This Row],[Date Created Conversion]])</f>
        <v>2016</v>
      </c>
      <c r="O1574" t="b">
        <v>0</v>
      </c>
      <c r="P1574">
        <v>3</v>
      </c>
      <c r="Q1574" t="b">
        <v>0</v>
      </c>
      <c r="R1574" t="s">
        <v>8290</v>
      </c>
      <c r="S1574" s="6">
        <f>Table1[[#This Row],[pledged]]/Table1[[#This Row],[goal]]</f>
        <v>0.05</v>
      </c>
      <c r="T1574" s="8">
        <f>IF(Table1[[#This Row],[pledged]]=0,"no backers",Table1[[#This Row],[pledged]]/Table1[[#This Row],[backers_count]])</f>
        <v>41.666666666666664</v>
      </c>
      <c r="U1574" t="str">
        <f>LEFT(Table1[[#This Row],[Category and Sub-Category]],FIND("/",Table1[[#This Row],[Category and Sub-Category]])-1)</f>
        <v>publishing</v>
      </c>
      <c r="V1574" t="str">
        <f>RIGHT(Table1[[#This Row],[Category and Sub-Category]],LEN(Table1[[#This Row],[Category and Sub-Category]])-FIND("/",Table1[[#This Row],[Category and Sub-Category]]))</f>
        <v>art books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 s="12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>((Table1[[#This Row],[deadline]]/60)/60/24)+DATE(1970,1,1)</f>
        <v>42826.165972222225</v>
      </c>
      <c r="K1575">
        <v>1487548802</v>
      </c>
      <c r="L1575" s="11">
        <f>((Table1[[#This Row],[launched_at]]/60)/60/24)+DATE(1970,1,1)</f>
        <v>42786.000023148154</v>
      </c>
      <c r="M1575">
        <f>MONTH(Table1[[#This Row],[Date Created Conversion]])</f>
        <v>2</v>
      </c>
      <c r="N1575">
        <f>YEAR(Table1[[#This Row],[Date Created Conversion]])</f>
        <v>2017</v>
      </c>
      <c r="O1575" t="b">
        <v>0</v>
      </c>
      <c r="P1575">
        <v>3</v>
      </c>
      <c r="Q1575" t="b">
        <v>0</v>
      </c>
      <c r="R1575" t="s">
        <v>8290</v>
      </c>
      <c r="S1575" s="6">
        <f>Table1[[#This Row],[pledged]]/Table1[[#This Row],[goal]]</f>
        <v>2.4777777777777777E-2</v>
      </c>
      <c r="T1575" s="8">
        <f>IF(Table1[[#This Row],[pledged]]=0,"no backers",Table1[[#This Row],[pledged]]/Table1[[#This Row],[backers_count]])</f>
        <v>74.333333333333329</v>
      </c>
      <c r="U1575" t="str">
        <f>LEFT(Table1[[#This Row],[Category and Sub-Category]],FIND("/",Table1[[#This Row],[Category and Sub-Category]])-1)</f>
        <v>publishing</v>
      </c>
      <c r="V1575" t="str">
        <f>RIGHT(Table1[[#This Row],[Category and Sub-Category]],LEN(Table1[[#This Row],[Category and Sub-Category]])-FIND("/",Table1[[#This Row],[Category and Sub-Category]]))</f>
        <v>art books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 s="12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>((Table1[[#This Row],[deadline]]/60)/60/24)+DATE(1970,1,1)</f>
        <v>42052.927418981482</v>
      </c>
      <c r="K1576">
        <v>1421187329</v>
      </c>
      <c r="L1576" s="11">
        <f>((Table1[[#This Row],[launched_at]]/60)/60/24)+DATE(1970,1,1)</f>
        <v>42017.927418981482</v>
      </c>
      <c r="M1576">
        <f>MONTH(Table1[[#This Row],[Date Created Conversion]])</f>
        <v>1</v>
      </c>
      <c r="N1576">
        <f>YEAR(Table1[[#This Row],[Date Created Conversion]])</f>
        <v>2015</v>
      </c>
      <c r="O1576" t="b">
        <v>0</v>
      </c>
      <c r="P1576">
        <v>6</v>
      </c>
      <c r="Q1576" t="b">
        <v>0</v>
      </c>
      <c r="R1576" t="s">
        <v>8290</v>
      </c>
      <c r="S1576" s="6">
        <f>Table1[[#This Row],[pledged]]/Table1[[#This Row],[goal]]</f>
        <v>5.0599999999999999E-2</v>
      </c>
      <c r="T1576" s="8">
        <f>IF(Table1[[#This Row],[pledged]]=0,"no backers",Table1[[#This Row],[pledged]]/Table1[[#This Row],[backers_count]])</f>
        <v>84.333333333333329</v>
      </c>
      <c r="U1576" t="str">
        <f>LEFT(Table1[[#This Row],[Category and Sub-Category]],FIND("/",Table1[[#This Row],[Category and Sub-Category]])-1)</f>
        <v>publishing</v>
      </c>
      <c r="V1576" t="str">
        <f>RIGHT(Table1[[#This Row],[Category and Sub-Category]],LEN(Table1[[#This Row],[Category and Sub-Category]])-FIND("/",Table1[[#This Row],[Category and Sub-Category]]))</f>
        <v>art books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 s="12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>((Table1[[#This Row],[deadline]]/60)/60/24)+DATE(1970,1,1)</f>
        <v>41829.524259259262</v>
      </c>
      <c r="K1577">
        <v>1402317296</v>
      </c>
      <c r="L1577" s="11">
        <f>((Table1[[#This Row],[launched_at]]/60)/60/24)+DATE(1970,1,1)</f>
        <v>41799.524259259262</v>
      </c>
      <c r="M1577">
        <f>MONTH(Table1[[#This Row],[Date Created Conversion]])</f>
        <v>6</v>
      </c>
      <c r="N1577">
        <f>YEAR(Table1[[#This Row],[Date Created Conversion]])</f>
        <v>2014</v>
      </c>
      <c r="O1577" t="b">
        <v>0</v>
      </c>
      <c r="P1577">
        <v>35</v>
      </c>
      <c r="Q1577" t="b">
        <v>0</v>
      </c>
      <c r="R1577" t="s">
        <v>8290</v>
      </c>
      <c r="S1577" s="6">
        <f>Table1[[#This Row],[pledged]]/Table1[[#This Row],[goal]]</f>
        <v>0.2291</v>
      </c>
      <c r="T1577" s="8">
        <f>IF(Table1[[#This Row],[pledged]]=0,"no backers",Table1[[#This Row],[pledged]]/Table1[[#This Row],[backers_count]])</f>
        <v>65.457142857142856</v>
      </c>
      <c r="U1577" t="str">
        <f>LEFT(Table1[[#This Row],[Category and Sub-Category]],FIND("/",Table1[[#This Row],[Category and Sub-Category]])-1)</f>
        <v>publishing</v>
      </c>
      <c r="V1577" t="str">
        <f>RIGHT(Table1[[#This Row],[Category and Sub-Category]],LEN(Table1[[#This Row],[Category and Sub-Category]])-FIND("/",Table1[[#This Row],[Category and Sub-Category]]))</f>
        <v>art books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 s="12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>((Table1[[#This Row],[deadline]]/60)/60/24)+DATE(1970,1,1)</f>
        <v>42185.879259259258</v>
      </c>
      <c r="K1578">
        <v>1431810368</v>
      </c>
      <c r="L1578" s="11">
        <f>((Table1[[#This Row],[launched_at]]/60)/60/24)+DATE(1970,1,1)</f>
        <v>42140.879259259258</v>
      </c>
      <c r="M1578">
        <f>MONTH(Table1[[#This Row],[Date Created Conversion]])</f>
        <v>5</v>
      </c>
      <c r="N1578">
        <f>YEAR(Table1[[#This Row],[Date Created Conversion]])</f>
        <v>2015</v>
      </c>
      <c r="O1578" t="b">
        <v>0</v>
      </c>
      <c r="P1578">
        <v>10</v>
      </c>
      <c r="Q1578" t="b">
        <v>0</v>
      </c>
      <c r="R1578" t="s">
        <v>8290</v>
      </c>
      <c r="S1578" s="6">
        <f>Table1[[#This Row],[pledged]]/Table1[[#This Row],[goal]]</f>
        <v>0.13</v>
      </c>
      <c r="T1578" s="8">
        <f>IF(Table1[[#This Row],[pledged]]=0,"no backers",Table1[[#This Row],[pledged]]/Table1[[#This Row],[backers_count]])</f>
        <v>65</v>
      </c>
      <c r="U1578" t="str">
        <f>LEFT(Table1[[#This Row],[Category and Sub-Category]],FIND("/",Table1[[#This Row],[Category and Sub-Category]])-1)</f>
        <v>publishing</v>
      </c>
      <c r="V1578" t="str">
        <f>RIGHT(Table1[[#This Row],[Category and Sub-Category]],LEN(Table1[[#This Row],[Category and Sub-Category]])-FIND("/",Table1[[#This Row],[Category and Sub-Category]]))</f>
        <v>art books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 s="12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>((Table1[[#This Row],[deadline]]/60)/60/24)+DATE(1970,1,1)</f>
        <v>41114.847777777781</v>
      </c>
      <c r="K1579">
        <v>1337977248</v>
      </c>
      <c r="L1579" s="11">
        <f>((Table1[[#This Row],[launched_at]]/60)/60/24)+DATE(1970,1,1)</f>
        <v>41054.847777777781</v>
      </c>
      <c r="M1579">
        <f>MONTH(Table1[[#This Row],[Date Created Conversion]])</f>
        <v>5</v>
      </c>
      <c r="N1579">
        <f>YEAR(Table1[[#This Row],[Date Created Conversion]])</f>
        <v>2012</v>
      </c>
      <c r="O1579" t="b">
        <v>0</v>
      </c>
      <c r="P1579">
        <v>2</v>
      </c>
      <c r="Q1579" t="b">
        <v>0</v>
      </c>
      <c r="R1579" t="s">
        <v>8290</v>
      </c>
      <c r="S1579" s="6">
        <f>Table1[[#This Row],[pledged]]/Table1[[#This Row],[goal]]</f>
        <v>5.4999999999999997E-3</v>
      </c>
      <c r="T1579" s="8">
        <f>IF(Table1[[#This Row],[pledged]]=0,"no backers",Table1[[#This Row],[pledged]]/Table1[[#This Row],[backers_count]])</f>
        <v>27.5</v>
      </c>
      <c r="U1579" t="str">
        <f>LEFT(Table1[[#This Row],[Category and Sub-Category]],FIND("/",Table1[[#This Row],[Category and Sub-Category]])-1)</f>
        <v>publishing</v>
      </c>
      <c r="V1579" t="str">
        <f>RIGHT(Table1[[#This Row],[Category and Sub-Category]],LEN(Table1[[#This Row],[Category and Sub-Category]])-FIND("/",Table1[[#This Row],[Category and Sub-Category]]))</f>
        <v>art books</v>
      </c>
    </row>
    <row r="1580" spans="1:22" ht="57.6" x14ac:dyDescent="0.3">
      <c r="A1580">
        <v>1578</v>
      </c>
      <c r="B1580" s="3" t="s">
        <v>1579</v>
      </c>
      <c r="C1580" s="3" t="s">
        <v>5688</v>
      </c>
      <c r="D1580" s="12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>((Table1[[#This Row],[deadline]]/60)/60/24)+DATE(1970,1,1)</f>
        <v>40423.083333333336</v>
      </c>
      <c r="K1580">
        <v>1281317691</v>
      </c>
      <c r="L1580" s="11">
        <f>((Table1[[#This Row],[launched_at]]/60)/60/24)+DATE(1970,1,1)</f>
        <v>40399.065868055557</v>
      </c>
      <c r="M1580">
        <f>MONTH(Table1[[#This Row],[Date Created Conversion]])</f>
        <v>8</v>
      </c>
      <c r="N1580">
        <f>YEAR(Table1[[#This Row],[Date Created Conversion]])</f>
        <v>2010</v>
      </c>
      <c r="O1580" t="b">
        <v>0</v>
      </c>
      <c r="P1580">
        <v>4</v>
      </c>
      <c r="Q1580" t="b">
        <v>0</v>
      </c>
      <c r="R1580" t="s">
        <v>8290</v>
      </c>
      <c r="S1580" s="6">
        <f>Table1[[#This Row],[pledged]]/Table1[[#This Row],[goal]]</f>
        <v>0.10806536636794939</v>
      </c>
      <c r="T1580" s="8">
        <f>IF(Table1[[#This Row],[pledged]]=0,"no backers",Table1[[#This Row],[pledged]]/Table1[[#This Row],[backers_count]])</f>
        <v>51.25</v>
      </c>
      <c r="U1580" t="str">
        <f>LEFT(Table1[[#This Row],[Category and Sub-Category]],FIND("/",Table1[[#This Row],[Category and Sub-Category]])-1)</f>
        <v>publishing</v>
      </c>
      <c r="V1580" t="str">
        <f>RIGHT(Table1[[#This Row],[Category and Sub-Category]],LEN(Table1[[#This Row],[Category and Sub-Category]])-FIND("/",Table1[[#This Row],[Category and Sub-Category]]))</f>
        <v>art books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 s="12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>((Table1[[#This Row],[deadline]]/60)/60/24)+DATE(1970,1,1)</f>
        <v>41514.996423611112</v>
      </c>
      <c r="K1581">
        <v>1374882891</v>
      </c>
      <c r="L1581" s="11">
        <f>((Table1[[#This Row],[launched_at]]/60)/60/24)+DATE(1970,1,1)</f>
        <v>41481.996423611112</v>
      </c>
      <c r="M1581">
        <f>MONTH(Table1[[#This Row],[Date Created Conversion]])</f>
        <v>7</v>
      </c>
      <c r="N1581">
        <f>YEAR(Table1[[#This Row],[Date Created Conversion]])</f>
        <v>2013</v>
      </c>
      <c r="O1581" t="b">
        <v>0</v>
      </c>
      <c r="P1581">
        <v>2</v>
      </c>
      <c r="Q1581" t="b">
        <v>0</v>
      </c>
      <c r="R1581" t="s">
        <v>8290</v>
      </c>
      <c r="S1581" s="6">
        <f>Table1[[#This Row],[pledged]]/Table1[[#This Row],[goal]]</f>
        <v>8.4008400840084006E-3</v>
      </c>
      <c r="T1581" s="8">
        <f>IF(Table1[[#This Row],[pledged]]=0,"no backers",Table1[[#This Row],[pledged]]/Table1[[#This Row],[backers_count]])</f>
        <v>14</v>
      </c>
      <c r="U1581" t="str">
        <f>LEFT(Table1[[#This Row],[Category and Sub-Category]],FIND("/",Table1[[#This Row],[Category and Sub-Category]])-1)</f>
        <v>publishing</v>
      </c>
      <c r="V1581" t="str">
        <f>RIGHT(Table1[[#This Row],[Category and Sub-Category]],LEN(Table1[[#This Row],[Category and Sub-Category]])-FIND("/",Table1[[#This Row],[Category and Sub-Category]]))</f>
        <v>art books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 s="1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>((Table1[[#This Row],[deadline]]/60)/60/24)+DATE(1970,1,1)</f>
        <v>41050.050069444449</v>
      </c>
      <c r="K1582">
        <v>1332378726</v>
      </c>
      <c r="L1582" s="11">
        <f>((Table1[[#This Row],[launched_at]]/60)/60/24)+DATE(1970,1,1)</f>
        <v>40990.050069444449</v>
      </c>
      <c r="M1582">
        <f>MONTH(Table1[[#This Row],[Date Created Conversion]])</f>
        <v>3</v>
      </c>
      <c r="N1582">
        <f>YEAR(Table1[[#This Row],[Date Created Conversion]])</f>
        <v>2012</v>
      </c>
      <c r="O1582" t="b">
        <v>0</v>
      </c>
      <c r="P1582">
        <v>0</v>
      </c>
      <c r="Q1582" t="b">
        <v>0</v>
      </c>
      <c r="R1582" t="s">
        <v>8290</v>
      </c>
      <c r="S1582" s="6">
        <f>Table1[[#This Row],[pledged]]/Table1[[#This Row],[goal]]</f>
        <v>0</v>
      </c>
      <c r="T1582" s="8" t="str">
        <f>IF(Table1[[#This Row],[pledged]]=0,"no backers",Table1[[#This Row],[pledged]]/Table1[[#This Row],[backers_count]])</f>
        <v>no backers</v>
      </c>
      <c r="U1582" t="str">
        <f>LEFT(Table1[[#This Row],[Category and Sub-Category]],FIND("/",Table1[[#This Row],[Category and Sub-Category]])-1)</f>
        <v>publishing</v>
      </c>
      <c r="V1582" t="str">
        <f>RIGHT(Table1[[#This Row],[Category and Sub-Category]],LEN(Table1[[#This Row],[Category and Sub-Category]])-FIND("/",Table1[[#This Row],[Category and Sub-Category]]))</f>
        <v>art books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 s="12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>((Table1[[#This Row],[deadline]]/60)/60/24)+DATE(1970,1,1)</f>
        <v>42357.448958333334</v>
      </c>
      <c r="K1583">
        <v>1447757190</v>
      </c>
      <c r="L1583" s="11">
        <f>((Table1[[#This Row],[launched_at]]/60)/60/24)+DATE(1970,1,1)</f>
        <v>42325.448958333334</v>
      </c>
      <c r="M1583">
        <f>MONTH(Table1[[#This Row],[Date Created Conversion]])</f>
        <v>11</v>
      </c>
      <c r="N1583">
        <f>YEAR(Table1[[#This Row],[Date Created Conversion]])</f>
        <v>2015</v>
      </c>
      <c r="O1583" t="b">
        <v>0</v>
      </c>
      <c r="P1583">
        <v>1</v>
      </c>
      <c r="Q1583" t="b">
        <v>0</v>
      </c>
      <c r="R1583" t="s">
        <v>8291</v>
      </c>
      <c r="S1583" s="6">
        <f>Table1[[#This Row],[pledged]]/Table1[[#This Row],[goal]]</f>
        <v>5.0000000000000001E-3</v>
      </c>
      <c r="T1583" s="8">
        <f>IF(Table1[[#This Row],[pledged]]=0,"no backers",Table1[[#This Row],[pledged]]/Table1[[#This Row],[backers_count]])</f>
        <v>5</v>
      </c>
      <c r="U1583" t="str">
        <f>LEFT(Table1[[#This Row],[Category and Sub-Category]],FIND("/",Table1[[#This Row],[Category and Sub-Category]])-1)</f>
        <v>photography</v>
      </c>
      <c r="V1583" t="str">
        <f>RIGHT(Table1[[#This Row],[Category and Sub-Category]],LEN(Table1[[#This Row],[Category and Sub-Category]])-FIND("/",Table1[[#This Row],[Category and Sub-Category]]))</f>
        <v>places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 s="12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>((Table1[[#This Row],[deadline]]/60)/60/24)+DATE(1970,1,1)</f>
        <v>42303.888888888891</v>
      </c>
      <c r="K1584">
        <v>1440961053</v>
      </c>
      <c r="L1584" s="11">
        <f>((Table1[[#This Row],[launched_at]]/60)/60/24)+DATE(1970,1,1)</f>
        <v>42246.789965277778</v>
      </c>
      <c r="M1584">
        <f>MONTH(Table1[[#This Row],[Date Created Conversion]])</f>
        <v>8</v>
      </c>
      <c r="N1584">
        <f>YEAR(Table1[[#This Row],[Date Created Conversion]])</f>
        <v>2015</v>
      </c>
      <c r="O1584" t="b">
        <v>0</v>
      </c>
      <c r="P1584">
        <v>3</v>
      </c>
      <c r="Q1584" t="b">
        <v>0</v>
      </c>
      <c r="R1584" t="s">
        <v>8291</v>
      </c>
      <c r="S1584" s="6">
        <f>Table1[[#This Row],[pledged]]/Table1[[#This Row],[goal]]</f>
        <v>9.2999999999999999E-2</v>
      </c>
      <c r="T1584" s="8">
        <f>IF(Table1[[#This Row],[pledged]]=0,"no backers",Table1[[#This Row],[pledged]]/Table1[[#This Row],[backers_count]])</f>
        <v>31</v>
      </c>
      <c r="U1584" t="str">
        <f>LEFT(Table1[[#This Row],[Category and Sub-Category]],FIND("/",Table1[[#This Row],[Category and Sub-Category]])-1)</f>
        <v>photography</v>
      </c>
      <c r="V1584" t="str">
        <f>RIGHT(Table1[[#This Row],[Category and Sub-Category]],LEN(Table1[[#This Row],[Category and Sub-Category]])-FIND("/",Table1[[#This Row],[Category and Sub-Category]]))</f>
        <v>places</v>
      </c>
    </row>
    <row r="1585" spans="1:22" ht="57.6" x14ac:dyDescent="0.3">
      <c r="A1585">
        <v>1583</v>
      </c>
      <c r="B1585" s="3" t="s">
        <v>1584</v>
      </c>
      <c r="C1585" s="3" t="s">
        <v>5693</v>
      </c>
      <c r="D1585" s="12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>((Table1[[#This Row],[deadline]]/60)/60/24)+DATE(1970,1,1)</f>
        <v>41907.904988425929</v>
      </c>
      <c r="K1585">
        <v>1409089391</v>
      </c>
      <c r="L1585" s="11">
        <f>((Table1[[#This Row],[launched_at]]/60)/60/24)+DATE(1970,1,1)</f>
        <v>41877.904988425929</v>
      </c>
      <c r="M1585">
        <f>MONTH(Table1[[#This Row],[Date Created Conversion]])</f>
        <v>8</v>
      </c>
      <c r="N1585">
        <f>YEAR(Table1[[#This Row],[Date Created Conversion]])</f>
        <v>2014</v>
      </c>
      <c r="O1585" t="b">
        <v>0</v>
      </c>
      <c r="P1585">
        <v>1</v>
      </c>
      <c r="Q1585" t="b">
        <v>0</v>
      </c>
      <c r="R1585" t="s">
        <v>8291</v>
      </c>
      <c r="S1585" s="6">
        <f>Table1[[#This Row],[pledged]]/Table1[[#This Row],[goal]]</f>
        <v>7.5000000000000002E-4</v>
      </c>
      <c r="T1585" s="8">
        <f>IF(Table1[[#This Row],[pledged]]=0,"no backers",Table1[[#This Row],[pledged]]/Table1[[#This Row],[backers_count]])</f>
        <v>15</v>
      </c>
      <c r="U1585" t="str">
        <f>LEFT(Table1[[#This Row],[Category and Sub-Category]],FIND("/",Table1[[#This Row],[Category and Sub-Category]])-1)</f>
        <v>photography</v>
      </c>
      <c r="V1585" t="str">
        <f>RIGHT(Table1[[#This Row],[Category and Sub-Category]],LEN(Table1[[#This Row],[Category and Sub-Category]])-FIND("/",Table1[[#This Row],[Category and Sub-Category]]))</f>
        <v>places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 s="12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>((Table1[[#This Row],[deadline]]/60)/60/24)+DATE(1970,1,1)</f>
        <v>41789.649317129632</v>
      </c>
      <c r="K1586">
        <v>1400600101</v>
      </c>
      <c r="L1586" s="11">
        <f>((Table1[[#This Row],[launched_at]]/60)/60/24)+DATE(1970,1,1)</f>
        <v>41779.649317129632</v>
      </c>
      <c r="M1586">
        <f>MONTH(Table1[[#This Row],[Date Created Conversion]])</f>
        <v>5</v>
      </c>
      <c r="N1586">
        <f>YEAR(Table1[[#This Row],[Date Created Conversion]])</f>
        <v>2014</v>
      </c>
      <c r="O1586" t="b">
        <v>0</v>
      </c>
      <c r="P1586">
        <v>0</v>
      </c>
      <c r="Q1586" t="b">
        <v>0</v>
      </c>
      <c r="R1586" t="s">
        <v>8291</v>
      </c>
      <c r="S1586" s="6">
        <f>Table1[[#This Row],[pledged]]/Table1[[#This Row],[goal]]</f>
        <v>0</v>
      </c>
      <c r="T1586" s="8" t="str">
        <f>IF(Table1[[#This Row],[pledged]]=0,"no backers",Table1[[#This Row],[pledged]]/Table1[[#This Row],[backers_count]])</f>
        <v>no backers</v>
      </c>
      <c r="U1586" t="str">
        <f>LEFT(Table1[[#This Row],[Category and Sub-Category]],FIND("/",Table1[[#This Row],[Category and Sub-Category]])-1)</f>
        <v>photography</v>
      </c>
      <c r="V1586" t="str">
        <f>RIGHT(Table1[[#This Row],[Category and Sub-Category]],LEN(Table1[[#This Row],[Category and Sub-Category]])-FIND("/",Table1[[#This Row],[Category and Sub-Category]]))</f>
        <v>places</v>
      </c>
    </row>
    <row r="1587" spans="1:22" ht="57.6" x14ac:dyDescent="0.3">
      <c r="A1587">
        <v>1585</v>
      </c>
      <c r="B1587" s="3" t="s">
        <v>1586</v>
      </c>
      <c r="C1587" s="3" t="s">
        <v>5695</v>
      </c>
      <c r="D1587" s="12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>((Table1[[#This Row],[deadline]]/60)/60/24)+DATE(1970,1,1)</f>
        <v>42729.458333333328</v>
      </c>
      <c r="K1587">
        <v>1480800568</v>
      </c>
      <c r="L1587" s="11">
        <f>((Table1[[#This Row],[launched_at]]/60)/60/24)+DATE(1970,1,1)</f>
        <v>42707.895462962959</v>
      </c>
      <c r="M1587">
        <f>MONTH(Table1[[#This Row],[Date Created Conversion]])</f>
        <v>12</v>
      </c>
      <c r="N1587">
        <f>YEAR(Table1[[#This Row],[Date Created Conversion]])</f>
        <v>2016</v>
      </c>
      <c r="O1587" t="b">
        <v>0</v>
      </c>
      <c r="P1587">
        <v>12</v>
      </c>
      <c r="Q1587" t="b">
        <v>0</v>
      </c>
      <c r="R1587" t="s">
        <v>8291</v>
      </c>
      <c r="S1587" s="6">
        <f>Table1[[#This Row],[pledged]]/Table1[[#This Row],[goal]]</f>
        <v>0.79</v>
      </c>
      <c r="T1587" s="8">
        <f>IF(Table1[[#This Row],[pledged]]=0,"no backers",Table1[[#This Row],[pledged]]/Table1[[#This Row],[backers_count]])</f>
        <v>131.66666666666666</v>
      </c>
      <c r="U1587" t="str">
        <f>LEFT(Table1[[#This Row],[Category and Sub-Category]],FIND("/",Table1[[#This Row],[Category and Sub-Category]])-1)</f>
        <v>photography</v>
      </c>
      <c r="V1587" t="str">
        <f>RIGHT(Table1[[#This Row],[Category and Sub-Category]],LEN(Table1[[#This Row],[Category and Sub-Category]])-FIND("/",Table1[[#This Row],[Category and Sub-Category]]))</f>
        <v>places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 s="12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>((Table1[[#This Row],[deadline]]/60)/60/24)+DATE(1970,1,1)</f>
        <v>42099.062754629631</v>
      </c>
      <c r="K1588">
        <v>1425609022</v>
      </c>
      <c r="L1588" s="11">
        <f>((Table1[[#This Row],[launched_at]]/60)/60/24)+DATE(1970,1,1)</f>
        <v>42069.104421296302</v>
      </c>
      <c r="M1588">
        <f>MONTH(Table1[[#This Row],[Date Created Conversion]])</f>
        <v>3</v>
      </c>
      <c r="N1588">
        <f>YEAR(Table1[[#This Row],[Date Created Conversion]])</f>
        <v>2015</v>
      </c>
      <c r="O1588" t="b">
        <v>0</v>
      </c>
      <c r="P1588">
        <v>0</v>
      </c>
      <c r="Q1588" t="b">
        <v>0</v>
      </c>
      <c r="R1588" t="s">
        <v>8291</v>
      </c>
      <c r="S1588" s="6">
        <f>Table1[[#This Row],[pledged]]/Table1[[#This Row],[goal]]</f>
        <v>0</v>
      </c>
      <c r="T1588" s="8" t="str">
        <f>IF(Table1[[#This Row],[pledged]]=0,"no backers",Table1[[#This Row],[pledged]]/Table1[[#This Row],[backers_count]])</f>
        <v>no backers</v>
      </c>
      <c r="U1588" t="str">
        <f>LEFT(Table1[[#This Row],[Category and Sub-Category]],FIND("/",Table1[[#This Row],[Category and Sub-Category]])-1)</f>
        <v>photography</v>
      </c>
      <c r="V1588" t="str">
        <f>RIGHT(Table1[[#This Row],[Category and Sub-Category]],LEN(Table1[[#This Row],[Category and Sub-Category]])-FIND("/",Table1[[#This Row],[Category and Sub-Category]]))</f>
        <v>places</v>
      </c>
    </row>
    <row r="1589" spans="1:22" ht="57.6" x14ac:dyDescent="0.3">
      <c r="A1589">
        <v>1587</v>
      </c>
      <c r="B1589" s="3" t="s">
        <v>1588</v>
      </c>
      <c r="C1589" s="3" t="s">
        <v>5697</v>
      </c>
      <c r="D1589" s="12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>((Table1[[#This Row],[deadline]]/60)/60/24)+DATE(1970,1,1)</f>
        <v>41986.950983796298</v>
      </c>
      <c r="K1589">
        <v>1415918965</v>
      </c>
      <c r="L1589" s="11">
        <f>((Table1[[#This Row],[launched_at]]/60)/60/24)+DATE(1970,1,1)</f>
        <v>41956.950983796298</v>
      </c>
      <c r="M1589">
        <f>MONTH(Table1[[#This Row],[Date Created Conversion]])</f>
        <v>11</v>
      </c>
      <c r="N1589">
        <f>YEAR(Table1[[#This Row],[Date Created Conversion]])</f>
        <v>2014</v>
      </c>
      <c r="O1589" t="b">
        <v>0</v>
      </c>
      <c r="P1589">
        <v>1</v>
      </c>
      <c r="Q1589" t="b">
        <v>0</v>
      </c>
      <c r="R1589" t="s">
        <v>8291</v>
      </c>
      <c r="S1589" s="6">
        <f>Table1[[#This Row],[pledged]]/Table1[[#This Row],[goal]]</f>
        <v>1.3333333333333334E-4</v>
      </c>
      <c r="T1589" s="8">
        <f>IF(Table1[[#This Row],[pledged]]=0,"no backers",Table1[[#This Row],[pledged]]/Table1[[#This Row],[backers_count]])</f>
        <v>1</v>
      </c>
      <c r="U1589" t="str">
        <f>LEFT(Table1[[#This Row],[Category and Sub-Category]],FIND("/",Table1[[#This Row],[Category and Sub-Category]])-1)</f>
        <v>photography</v>
      </c>
      <c r="V1589" t="str">
        <f>RIGHT(Table1[[#This Row],[Category and Sub-Category]],LEN(Table1[[#This Row],[Category and Sub-Category]])-FIND("/",Table1[[#This Row],[Category and Sub-Category]]))</f>
        <v>places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 s="12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>((Table1[[#This Row],[deadline]]/60)/60/24)+DATE(1970,1,1)</f>
        <v>42035.841666666667</v>
      </c>
      <c r="K1590">
        <v>1420091999</v>
      </c>
      <c r="L1590" s="11">
        <f>((Table1[[#This Row],[launched_at]]/60)/60/24)+DATE(1970,1,1)</f>
        <v>42005.24998842593</v>
      </c>
      <c r="M1590">
        <f>MONTH(Table1[[#This Row],[Date Created Conversion]])</f>
        <v>1</v>
      </c>
      <c r="N1590">
        <f>YEAR(Table1[[#This Row],[Date Created Conversion]])</f>
        <v>2015</v>
      </c>
      <c r="O1590" t="b">
        <v>0</v>
      </c>
      <c r="P1590">
        <v>0</v>
      </c>
      <c r="Q1590" t="b">
        <v>0</v>
      </c>
      <c r="R1590" t="s">
        <v>8291</v>
      </c>
      <c r="S1590" s="6">
        <f>Table1[[#This Row],[pledged]]/Table1[[#This Row],[goal]]</f>
        <v>0</v>
      </c>
      <c r="T1590" s="8" t="str">
        <f>IF(Table1[[#This Row],[pledged]]=0,"no backers",Table1[[#This Row],[pledged]]/Table1[[#This Row],[backers_count]])</f>
        <v>no backers</v>
      </c>
      <c r="U1590" t="str">
        <f>LEFT(Table1[[#This Row],[Category and Sub-Category]],FIND("/",Table1[[#This Row],[Category and Sub-Category]])-1)</f>
        <v>photography</v>
      </c>
      <c r="V1590" t="str">
        <f>RIGHT(Table1[[#This Row],[Category and Sub-Category]],LEN(Table1[[#This Row],[Category and Sub-Category]])-FIND("/",Table1[[#This Row],[Category and Sub-Category]]))</f>
        <v>places</v>
      </c>
    </row>
    <row r="1591" spans="1:22" ht="43.2" x14ac:dyDescent="0.3">
      <c r="A1591">
        <v>1589</v>
      </c>
      <c r="B1591" s="3" t="s">
        <v>1590</v>
      </c>
      <c r="C1591" s="3" t="s">
        <v>5699</v>
      </c>
      <c r="D1591" s="12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>((Table1[[#This Row],[deadline]]/60)/60/24)+DATE(1970,1,1)</f>
        <v>42286.984791666662</v>
      </c>
      <c r="K1591">
        <v>1441841886</v>
      </c>
      <c r="L1591" s="11">
        <f>((Table1[[#This Row],[launched_at]]/60)/60/24)+DATE(1970,1,1)</f>
        <v>42256.984791666662</v>
      </c>
      <c r="M1591">
        <f>MONTH(Table1[[#This Row],[Date Created Conversion]])</f>
        <v>9</v>
      </c>
      <c r="N1591">
        <f>YEAR(Table1[[#This Row],[Date Created Conversion]])</f>
        <v>2015</v>
      </c>
      <c r="O1591" t="b">
        <v>0</v>
      </c>
      <c r="P1591">
        <v>0</v>
      </c>
      <c r="Q1591" t="b">
        <v>0</v>
      </c>
      <c r="R1591" t="s">
        <v>8291</v>
      </c>
      <c r="S1591" s="6">
        <f>Table1[[#This Row],[pledged]]/Table1[[#This Row],[goal]]</f>
        <v>0</v>
      </c>
      <c r="T1591" s="8" t="str">
        <f>IF(Table1[[#This Row],[pledged]]=0,"no backers",Table1[[#This Row],[pledged]]/Table1[[#This Row],[backers_count]])</f>
        <v>no backers</v>
      </c>
      <c r="U1591" t="str">
        <f>LEFT(Table1[[#This Row],[Category and Sub-Category]],FIND("/",Table1[[#This Row],[Category and Sub-Category]])-1)</f>
        <v>photography</v>
      </c>
      <c r="V1591" t="str">
        <f>RIGHT(Table1[[#This Row],[Category and Sub-Category]],LEN(Table1[[#This Row],[Category and Sub-Category]])-FIND("/",Table1[[#This Row],[Category and Sub-Category]]))</f>
        <v>places</v>
      </c>
    </row>
    <row r="1592" spans="1:22" x14ac:dyDescent="0.3">
      <c r="A1592">
        <v>1590</v>
      </c>
      <c r="B1592" s="3" t="s">
        <v>1591</v>
      </c>
      <c r="C1592" s="3" t="s">
        <v>5700</v>
      </c>
      <c r="D1592" s="1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>((Table1[[#This Row],[deadline]]/60)/60/24)+DATE(1970,1,1)</f>
        <v>42270.857222222221</v>
      </c>
      <c r="K1592">
        <v>1440448464</v>
      </c>
      <c r="L1592" s="11">
        <f>((Table1[[#This Row],[launched_at]]/60)/60/24)+DATE(1970,1,1)</f>
        <v>42240.857222222221</v>
      </c>
      <c r="M1592">
        <f>MONTH(Table1[[#This Row],[Date Created Conversion]])</f>
        <v>8</v>
      </c>
      <c r="N1592">
        <f>YEAR(Table1[[#This Row],[Date Created Conversion]])</f>
        <v>2015</v>
      </c>
      <c r="O1592" t="b">
        <v>0</v>
      </c>
      <c r="P1592">
        <v>2</v>
      </c>
      <c r="Q1592" t="b">
        <v>0</v>
      </c>
      <c r="R1592" t="s">
        <v>8291</v>
      </c>
      <c r="S1592" s="6">
        <f>Table1[[#This Row],[pledged]]/Table1[[#This Row],[goal]]</f>
        <v>1.7000000000000001E-2</v>
      </c>
      <c r="T1592" s="8">
        <f>IF(Table1[[#This Row],[pledged]]=0,"no backers",Table1[[#This Row],[pledged]]/Table1[[#This Row],[backers_count]])</f>
        <v>510</v>
      </c>
      <c r="U1592" t="str">
        <f>LEFT(Table1[[#This Row],[Category and Sub-Category]],FIND("/",Table1[[#This Row],[Category and Sub-Category]])-1)</f>
        <v>photography</v>
      </c>
      <c r="V1592" t="str">
        <f>RIGHT(Table1[[#This Row],[Category and Sub-Category]],LEN(Table1[[#This Row],[Category and Sub-Category]])-FIND("/",Table1[[#This Row],[Category and Sub-Category]]))</f>
        <v>places</v>
      </c>
    </row>
    <row r="1593" spans="1:22" ht="57.6" x14ac:dyDescent="0.3">
      <c r="A1593">
        <v>1591</v>
      </c>
      <c r="B1593" s="3" t="s">
        <v>1592</v>
      </c>
      <c r="C1593" s="3" t="s">
        <v>5701</v>
      </c>
      <c r="D1593" s="12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>((Table1[[#This Row],[deadline]]/60)/60/24)+DATE(1970,1,1)</f>
        <v>42463.68450231482</v>
      </c>
      <c r="K1593">
        <v>1457112341</v>
      </c>
      <c r="L1593" s="11">
        <f>((Table1[[#This Row],[launched_at]]/60)/60/24)+DATE(1970,1,1)</f>
        <v>42433.726168981477</v>
      </c>
      <c r="M1593">
        <f>MONTH(Table1[[#This Row],[Date Created Conversion]])</f>
        <v>3</v>
      </c>
      <c r="N1593">
        <f>YEAR(Table1[[#This Row],[Date Created Conversion]])</f>
        <v>2016</v>
      </c>
      <c r="O1593" t="b">
        <v>0</v>
      </c>
      <c r="P1593">
        <v>92</v>
      </c>
      <c r="Q1593" t="b">
        <v>0</v>
      </c>
      <c r="R1593" t="s">
        <v>8291</v>
      </c>
      <c r="S1593" s="6">
        <f>Table1[[#This Row],[pledged]]/Table1[[#This Row],[goal]]</f>
        <v>0.29228571428571426</v>
      </c>
      <c r="T1593" s="8">
        <f>IF(Table1[[#This Row],[pledged]]=0,"no backers",Table1[[#This Row],[pledged]]/Table1[[#This Row],[backers_count]])</f>
        <v>44.478260869565219</v>
      </c>
      <c r="U1593" t="str">
        <f>LEFT(Table1[[#This Row],[Category and Sub-Category]],FIND("/",Table1[[#This Row],[Category and Sub-Category]])-1)</f>
        <v>photography</v>
      </c>
      <c r="V1593" t="str">
        <f>RIGHT(Table1[[#This Row],[Category and Sub-Category]],LEN(Table1[[#This Row],[Category and Sub-Category]])-FIND("/",Table1[[#This Row],[Category and Sub-Category]]))</f>
        <v>places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 s="12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>((Table1[[#This Row],[deadline]]/60)/60/24)+DATE(1970,1,1)</f>
        <v>42091.031076388885</v>
      </c>
      <c r="K1594">
        <v>1423619085</v>
      </c>
      <c r="L1594" s="11">
        <f>((Table1[[#This Row],[launched_at]]/60)/60/24)+DATE(1970,1,1)</f>
        <v>42046.072743055556</v>
      </c>
      <c r="M1594">
        <f>MONTH(Table1[[#This Row],[Date Created Conversion]])</f>
        <v>2</v>
      </c>
      <c r="N1594">
        <f>YEAR(Table1[[#This Row],[Date Created Conversion]])</f>
        <v>2015</v>
      </c>
      <c r="O1594" t="b">
        <v>0</v>
      </c>
      <c r="P1594">
        <v>0</v>
      </c>
      <c r="Q1594" t="b">
        <v>0</v>
      </c>
      <c r="R1594" t="s">
        <v>8291</v>
      </c>
      <c r="S1594" s="6">
        <f>Table1[[#This Row],[pledged]]/Table1[[#This Row],[goal]]</f>
        <v>0</v>
      </c>
      <c r="T1594" s="8" t="str">
        <f>IF(Table1[[#This Row],[pledged]]=0,"no backers",Table1[[#This Row],[pledged]]/Table1[[#This Row],[backers_count]])</f>
        <v>no backers</v>
      </c>
      <c r="U1594" t="str">
        <f>LEFT(Table1[[#This Row],[Category and Sub-Category]],FIND("/",Table1[[#This Row],[Category and Sub-Category]])-1)</f>
        <v>photography</v>
      </c>
      <c r="V1594" t="str">
        <f>RIGHT(Table1[[#This Row],[Category and Sub-Category]],LEN(Table1[[#This Row],[Category and Sub-Category]])-FIND("/",Table1[[#This Row],[Category and Sub-Category]]))</f>
        <v>places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 s="12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>((Table1[[#This Row],[deadline]]/60)/60/24)+DATE(1970,1,1)</f>
        <v>42063.845543981486</v>
      </c>
      <c r="K1595">
        <v>1422562655</v>
      </c>
      <c r="L1595" s="11">
        <f>((Table1[[#This Row],[launched_at]]/60)/60/24)+DATE(1970,1,1)</f>
        <v>42033.845543981486</v>
      </c>
      <c r="M1595">
        <f>MONTH(Table1[[#This Row],[Date Created Conversion]])</f>
        <v>1</v>
      </c>
      <c r="N1595">
        <f>YEAR(Table1[[#This Row],[Date Created Conversion]])</f>
        <v>2015</v>
      </c>
      <c r="O1595" t="b">
        <v>0</v>
      </c>
      <c r="P1595">
        <v>3</v>
      </c>
      <c r="Q1595" t="b">
        <v>0</v>
      </c>
      <c r="R1595" t="s">
        <v>8291</v>
      </c>
      <c r="S1595" s="6">
        <f>Table1[[#This Row],[pledged]]/Table1[[#This Row],[goal]]</f>
        <v>1.3636363636363637E-4</v>
      </c>
      <c r="T1595" s="8">
        <f>IF(Table1[[#This Row],[pledged]]=0,"no backers",Table1[[#This Row],[pledged]]/Table1[[#This Row],[backers_count]])</f>
        <v>1</v>
      </c>
      <c r="U1595" t="str">
        <f>LEFT(Table1[[#This Row],[Category and Sub-Category]],FIND("/",Table1[[#This Row],[Category and Sub-Category]])-1)</f>
        <v>photography</v>
      </c>
      <c r="V1595" t="str">
        <f>RIGHT(Table1[[#This Row],[Category and Sub-Category]],LEN(Table1[[#This Row],[Category and Sub-Category]])-FIND("/",Table1[[#This Row],[Category and Sub-Category]]))</f>
        <v>places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 s="12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>((Table1[[#This Row],[deadline]]/60)/60/24)+DATE(1970,1,1)</f>
        <v>42505.681249999994</v>
      </c>
      <c r="K1596">
        <v>1458147982</v>
      </c>
      <c r="L1596" s="11">
        <f>((Table1[[#This Row],[launched_at]]/60)/60/24)+DATE(1970,1,1)</f>
        <v>42445.712754629625</v>
      </c>
      <c r="M1596">
        <f>MONTH(Table1[[#This Row],[Date Created Conversion]])</f>
        <v>3</v>
      </c>
      <c r="N1596">
        <f>YEAR(Table1[[#This Row],[Date Created Conversion]])</f>
        <v>2016</v>
      </c>
      <c r="O1596" t="b">
        <v>0</v>
      </c>
      <c r="P1596">
        <v>10</v>
      </c>
      <c r="Q1596" t="b">
        <v>0</v>
      </c>
      <c r="R1596" t="s">
        <v>8291</v>
      </c>
      <c r="S1596" s="6">
        <f>Table1[[#This Row],[pledged]]/Table1[[#This Row],[goal]]</f>
        <v>0.20499999999999999</v>
      </c>
      <c r="T1596" s="8">
        <f>IF(Table1[[#This Row],[pledged]]=0,"no backers",Table1[[#This Row],[pledged]]/Table1[[#This Row],[backers_count]])</f>
        <v>20.5</v>
      </c>
      <c r="U1596" t="str">
        <f>LEFT(Table1[[#This Row],[Category and Sub-Category]],FIND("/",Table1[[#This Row],[Category and Sub-Category]])-1)</f>
        <v>photography</v>
      </c>
      <c r="V1596" t="str">
        <f>RIGHT(Table1[[#This Row],[Category and Sub-Category]],LEN(Table1[[#This Row],[Category and Sub-Category]])-FIND("/",Table1[[#This Row],[Category and Sub-Category]]))</f>
        <v>places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 s="12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>((Table1[[#This Row],[deadline]]/60)/60/24)+DATE(1970,1,1)</f>
        <v>41808.842361111114</v>
      </c>
      <c r="K1597">
        <v>1400634728</v>
      </c>
      <c r="L1597" s="11">
        <f>((Table1[[#This Row],[launched_at]]/60)/60/24)+DATE(1970,1,1)</f>
        <v>41780.050092592595</v>
      </c>
      <c r="M1597">
        <f>MONTH(Table1[[#This Row],[Date Created Conversion]])</f>
        <v>5</v>
      </c>
      <c r="N1597">
        <f>YEAR(Table1[[#This Row],[Date Created Conversion]])</f>
        <v>2014</v>
      </c>
      <c r="O1597" t="b">
        <v>0</v>
      </c>
      <c r="P1597">
        <v>7</v>
      </c>
      <c r="Q1597" t="b">
        <v>0</v>
      </c>
      <c r="R1597" t="s">
        <v>8291</v>
      </c>
      <c r="S1597" s="6">
        <f>Table1[[#This Row],[pledged]]/Table1[[#This Row],[goal]]</f>
        <v>2.8E-3</v>
      </c>
      <c r="T1597" s="8">
        <f>IF(Table1[[#This Row],[pledged]]=0,"no backers",Table1[[#This Row],[pledged]]/Table1[[#This Row],[backers_count]])</f>
        <v>40</v>
      </c>
      <c r="U1597" t="str">
        <f>LEFT(Table1[[#This Row],[Category and Sub-Category]],FIND("/",Table1[[#This Row],[Category and Sub-Category]])-1)</f>
        <v>photography</v>
      </c>
      <c r="V1597" t="str">
        <f>RIGHT(Table1[[#This Row],[Category and Sub-Category]],LEN(Table1[[#This Row],[Category and Sub-Category]])-FIND("/",Table1[[#This Row],[Category and Sub-Category]]))</f>
        <v>places</v>
      </c>
    </row>
    <row r="1598" spans="1:22" ht="43.2" x14ac:dyDescent="0.3">
      <c r="A1598">
        <v>1596</v>
      </c>
      <c r="B1598" s="3" t="s">
        <v>1597</v>
      </c>
      <c r="C1598" s="3" t="s">
        <v>5706</v>
      </c>
      <c r="D1598" s="12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>((Table1[[#This Row],[deadline]]/60)/60/24)+DATE(1970,1,1)</f>
        <v>41986.471863425926</v>
      </c>
      <c r="K1598">
        <v>1414577969</v>
      </c>
      <c r="L1598" s="11">
        <f>((Table1[[#This Row],[launched_at]]/60)/60/24)+DATE(1970,1,1)</f>
        <v>41941.430196759262</v>
      </c>
      <c r="M1598">
        <f>MONTH(Table1[[#This Row],[Date Created Conversion]])</f>
        <v>10</v>
      </c>
      <c r="N1598">
        <f>YEAR(Table1[[#This Row],[Date Created Conversion]])</f>
        <v>2014</v>
      </c>
      <c r="O1598" t="b">
        <v>0</v>
      </c>
      <c r="P1598">
        <v>3</v>
      </c>
      <c r="Q1598" t="b">
        <v>0</v>
      </c>
      <c r="R1598" t="s">
        <v>8291</v>
      </c>
      <c r="S1598" s="6">
        <f>Table1[[#This Row],[pledged]]/Table1[[#This Row],[goal]]</f>
        <v>2.3076923076923078E-2</v>
      </c>
      <c r="T1598" s="8">
        <f>IF(Table1[[#This Row],[pledged]]=0,"no backers",Table1[[#This Row],[pledged]]/Table1[[#This Row],[backers_count]])</f>
        <v>25</v>
      </c>
      <c r="U1598" t="str">
        <f>LEFT(Table1[[#This Row],[Category and Sub-Category]],FIND("/",Table1[[#This Row],[Category and Sub-Category]])-1)</f>
        <v>photography</v>
      </c>
      <c r="V1598" t="str">
        <f>RIGHT(Table1[[#This Row],[Category and Sub-Category]],LEN(Table1[[#This Row],[Category and Sub-Category]])-FIND("/",Table1[[#This Row],[Category and Sub-Category]]))</f>
        <v>places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 s="12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>((Table1[[#This Row],[deadline]]/60)/60/24)+DATE(1970,1,1)</f>
        <v>42633.354131944448</v>
      </c>
      <c r="K1599">
        <v>1471768197</v>
      </c>
      <c r="L1599" s="11">
        <f>((Table1[[#This Row],[launched_at]]/60)/60/24)+DATE(1970,1,1)</f>
        <v>42603.354131944448</v>
      </c>
      <c r="M1599">
        <f>MONTH(Table1[[#This Row],[Date Created Conversion]])</f>
        <v>8</v>
      </c>
      <c r="N1599">
        <f>YEAR(Table1[[#This Row],[Date Created Conversion]])</f>
        <v>2016</v>
      </c>
      <c r="O1599" t="b">
        <v>0</v>
      </c>
      <c r="P1599">
        <v>0</v>
      </c>
      <c r="Q1599" t="b">
        <v>0</v>
      </c>
      <c r="R1599" t="s">
        <v>8291</v>
      </c>
      <c r="S1599" s="6">
        <f>Table1[[#This Row],[pledged]]/Table1[[#This Row],[goal]]</f>
        <v>0</v>
      </c>
      <c r="T1599" s="8" t="str">
        <f>IF(Table1[[#This Row],[pledged]]=0,"no backers",Table1[[#This Row],[pledged]]/Table1[[#This Row],[backers_count]])</f>
        <v>no backers</v>
      </c>
      <c r="U1599" t="str">
        <f>LEFT(Table1[[#This Row],[Category and Sub-Category]],FIND("/",Table1[[#This Row],[Category and Sub-Category]])-1)</f>
        <v>photography</v>
      </c>
      <c r="V1599" t="str">
        <f>RIGHT(Table1[[#This Row],[Category and Sub-Category]],LEN(Table1[[#This Row],[Category and Sub-Category]])-FIND("/",Table1[[#This Row],[Category and Sub-Category]]))</f>
        <v>places</v>
      </c>
    </row>
    <row r="1600" spans="1:22" ht="57.6" x14ac:dyDescent="0.3">
      <c r="A1600">
        <v>1598</v>
      </c>
      <c r="B1600" s="3" t="s">
        <v>1599</v>
      </c>
      <c r="C1600" s="3" t="s">
        <v>5708</v>
      </c>
      <c r="D1600" s="12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>((Table1[[#This Row],[deadline]]/60)/60/24)+DATE(1970,1,1)</f>
        <v>42211.667337962965</v>
      </c>
      <c r="K1600">
        <v>1432742458</v>
      </c>
      <c r="L1600" s="11">
        <f>((Table1[[#This Row],[launched_at]]/60)/60/24)+DATE(1970,1,1)</f>
        <v>42151.667337962965</v>
      </c>
      <c r="M1600">
        <f>MONTH(Table1[[#This Row],[Date Created Conversion]])</f>
        <v>5</v>
      </c>
      <c r="N1600">
        <f>YEAR(Table1[[#This Row],[Date Created Conversion]])</f>
        <v>2015</v>
      </c>
      <c r="O1600" t="b">
        <v>0</v>
      </c>
      <c r="P1600">
        <v>1</v>
      </c>
      <c r="Q1600" t="b">
        <v>0</v>
      </c>
      <c r="R1600" t="s">
        <v>8291</v>
      </c>
      <c r="S1600" s="6">
        <f>Table1[[#This Row],[pledged]]/Table1[[#This Row],[goal]]</f>
        <v>1.25E-3</v>
      </c>
      <c r="T1600" s="8">
        <f>IF(Table1[[#This Row],[pledged]]=0,"no backers",Table1[[#This Row],[pledged]]/Table1[[#This Row],[backers_count]])</f>
        <v>1</v>
      </c>
      <c r="U1600" t="str">
        <f>LEFT(Table1[[#This Row],[Category and Sub-Category]],FIND("/",Table1[[#This Row],[Category and Sub-Category]])-1)</f>
        <v>photography</v>
      </c>
      <c r="V1600" t="str">
        <f>RIGHT(Table1[[#This Row],[Category and Sub-Category]],LEN(Table1[[#This Row],[Category and Sub-Category]])-FIND("/",Table1[[#This Row],[Category and Sub-Category]]))</f>
        <v>places</v>
      </c>
    </row>
    <row r="1601" spans="1:22" ht="43.2" x14ac:dyDescent="0.3">
      <c r="A1601">
        <v>1599</v>
      </c>
      <c r="B1601" s="3" t="s">
        <v>1600</v>
      </c>
      <c r="C1601" s="3" t="s">
        <v>5709</v>
      </c>
      <c r="D1601" s="12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>((Table1[[#This Row],[deadline]]/60)/60/24)+DATE(1970,1,1)</f>
        <v>42468.497407407413</v>
      </c>
      <c r="K1601">
        <v>1457528176</v>
      </c>
      <c r="L1601" s="11">
        <f>((Table1[[#This Row],[launched_at]]/60)/60/24)+DATE(1970,1,1)</f>
        <v>42438.53907407407</v>
      </c>
      <c r="M1601">
        <f>MONTH(Table1[[#This Row],[Date Created Conversion]])</f>
        <v>3</v>
      </c>
      <c r="N1601">
        <f>YEAR(Table1[[#This Row],[Date Created Conversion]])</f>
        <v>2016</v>
      </c>
      <c r="O1601" t="b">
        <v>0</v>
      </c>
      <c r="P1601">
        <v>0</v>
      </c>
      <c r="Q1601" t="b">
        <v>0</v>
      </c>
      <c r="R1601" t="s">
        <v>8291</v>
      </c>
      <c r="S1601" s="6">
        <f>Table1[[#This Row],[pledged]]/Table1[[#This Row],[goal]]</f>
        <v>0</v>
      </c>
      <c r="T1601" s="8" t="str">
        <f>IF(Table1[[#This Row],[pledged]]=0,"no backers",Table1[[#This Row],[pledged]]/Table1[[#This Row],[backers_count]])</f>
        <v>no backers</v>
      </c>
      <c r="U1601" t="str">
        <f>LEFT(Table1[[#This Row],[Category and Sub-Category]],FIND("/",Table1[[#This Row],[Category and Sub-Category]])-1)</f>
        <v>photography</v>
      </c>
      <c r="V1601" t="str">
        <f>RIGHT(Table1[[#This Row],[Category and Sub-Category]],LEN(Table1[[#This Row],[Category and Sub-Category]])-FIND("/",Table1[[#This Row],[Category and Sub-Category]]))</f>
        <v>places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 s="1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>((Table1[[#This Row],[deadline]]/60)/60/24)+DATE(1970,1,1)</f>
        <v>41835.21597222222</v>
      </c>
      <c r="K1602">
        <v>1401585752</v>
      </c>
      <c r="L1602" s="11">
        <f>((Table1[[#This Row],[launched_at]]/60)/60/24)+DATE(1970,1,1)</f>
        <v>41791.057314814818</v>
      </c>
      <c r="M1602">
        <f>MONTH(Table1[[#This Row],[Date Created Conversion]])</f>
        <v>6</v>
      </c>
      <c r="N1602">
        <f>YEAR(Table1[[#This Row],[Date Created Conversion]])</f>
        <v>2014</v>
      </c>
      <c r="O1602" t="b">
        <v>0</v>
      </c>
      <c r="P1602">
        <v>9</v>
      </c>
      <c r="Q1602" t="b">
        <v>0</v>
      </c>
      <c r="R1602" t="s">
        <v>8291</v>
      </c>
      <c r="S1602" s="6">
        <f>Table1[[#This Row],[pledged]]/Table1[[#This Row],[goal]]</f>
        <v>7.3400000000000007E-2</v>
      </c>
      <c r="T1602" s="8">
        <f>IF(Table1[[#This Row],[pledged]]=0,"no backers",Table1[[#This Row],[pledged]]/Table1[[#This Row],[backers_count]])</f>
        <v>40.777777777777779</v>
      </c>
      <c r="U1602" t="str">
        <f>LEFT(Table1[[#This Row],[Category and Sub-Category]],FIND("/",Table1[[#This Row],[Category and Sub-Category]])-1)</f>
        <v>photography</v>
      </c>
      <c r="V1602" t="str">
        <f>RIGHT(Table1[[#This Row],[Category and Sub-Category]],LEN(Table1[[#This Row],[Category and Sub-Category]])-FIND("/",Table1[[#This Row],[Category and Sub-Category]]))</f>
        <v>places</v>
      </c>
    </row>
    <row r="1603" spans="1:22" ht="43.2" x14ac:dyDescent="0.3">
      <c r="A1603">
        <v>1601</v>
      </c>
      <c r="B1603" s="3" t="s">
        <v>1602</v>
      </c>
      <c r="C1603" s="3" t="s">
        <v>5711</v>
      </c>
      <c r="D1603" s="12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>((Table1[[#This Row],[deadline]]/60)/60/24)+DATE(1970,1,1)</f>
        <v>40668.092974537038</v>
      </c>
      <c r="K1603">
        <v>1301969633</v>
      </c>
      <c r="L1603" s="11">
        <f>((Table1[[#This Row],[launched_at]]/60)/60/24)+DATE(1970,1,1)</f>
        <v>40638.092974537038</v>
      </c>
      <c r="M1603">
        <f>MONTH(Table1[[#This Row],[Date Created Conversion]])</f>
        <v>4</v>
      </c>
      <c r="N1603">
        <f>YEAR(Table1[[#This Row],[Date Created Conversion]])</f>
        <v>2011</v>
      </c>
      <c r="O1603" t="b">
        <v>0</v>
      </c>
      <c r="P1603">
        <v>56</v>
      </c>
      <c r="Q1603" t="b">
        <v>1</v>
      </c>
      <c r="R1603" t="s">
        <v>8276</v>
      </c>
      <c r="S1603" s="6">
        <f>Table1[[#This Row],[pledged]]/Table1[[#This Row],[goal]]</f>
        <v>1.082492</v>
      </c>
      <c r="T1603" s="8">
        <f>IF(Table1[[#This Row],[pledged]]=0,"no backers",Table1[[#This Row],[pledged]]/Table1[[#This Row],[backers_count]])</f>
        <v>48.325535714285714</v>
      </c>
      <c r="U1603" t="str">
        <f>LEFT(Table1[[#This Row],[Category and Sub-Category]],FIND("/",Table1[[#This Row],[Category and Sub-Category]])-1)</f>
        <v>music</v>
      </c>
      <c r="V1603" t="str">
        <f>RIGHT(Table1[[#This Row],[Category and Sub-Category]],LEN(Table1[[#This Row],[Category and Sub-Category]])-FIND("/",Table1[[#This Row],[Category and Sub-Category]]))</f>
        <v>rock</v>
      </c>
    </row>
    <row r="1604" spans="1:22" ht="43.2" x14ac:dyDescent="0.3">
      <c r="A1604">
        <v>1602</v>
      </c>
      <c r="B1604" s="3" t="s">
        <v>1603</v>
      </c>
      <c r="C1604" s="3" t="s">
        <v>5712</v>
      </c>
      <c r="D1604" s="12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>((Table1[[#This Row],[deadline]]/60)/60/24)+DATE(1970,1,1)</f>
        <v>40830.958333333336</v>
      </c>
      <c r="K1604">
        <v>1314947317</v>
      </c>
      <c r="L1604" s="11">
        <f>((Table1[[#This Row],[launched_at]]/60)/60/24)+DATE(1970,1,1)</f>
        <v>40788.297650462962</v>
      </c>
      <c r="M1604">
        <f>MONTH(Table1[[#This Row],[Date Created Conversion]])</f>
        <v>9</v>
      </c>
      <c r="N1604">
        <f>YEAR(Table1[[#This Row],[Date Created Conversion]])</f>
        <v>2011</v>
      </c>
      <c r="O1604" t="b">
        <v>0</v>
      </c>
      <c r="P1604">
        <v>32</v>
      </c>
      <c r="Q1604" t="b">
        <v>1</v>
      </c>
      <c r="R1604" t="s">
        <v>8276</v>
      </c>
      <c r="S1604" s="6">
        <f>Table1[[#This Row],[pledged]]/Table1[[#This Row],[goal]]</f>
        <v>1.0016666666666667</v>
      </c>
      <c r="T1604" s="8">
        <f>IF(Table1[[#This Row],[pledged]]=0,"no backers",Table1[[#This Row],[pledged]]/Table1[[#This Row],[backers_count]])</f>
        <v>46.953125</v>
      </c>
      <c r="U1604" t="str">
        <f>LEFT(Table1[[#This Row],[Category and Sub-Category]],FIND("/",Table1[[#This Row],[Category and Sub-Category]])-1)</f>
        <v>music</v>
      </c>
      <c r="V1604" t="str">
        <f>RIGHT(Table1[[#This Row],[Category and Sub-Category]],LEN(Table1[[#This Row],[Category and Sub-Category]])-FIND("/",Table1[[#This Row],[Category and Sub-Category]]))</f>
        <v>rock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 s="12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>((Table1[[#This Row],[deadline]]/60)/60/24)+DATE(1970,1,1)</f>
        <v>40936.169664351852</v>
      </c>
      <c r="K1605">
        <v>1322539459</v>
      </c>
      <c r="L1605" s="11">
        <f>((Table1[[#This Row],[launched_at]]/60)/60/24)+DATE(1970,1,1)</f>
        <v>40876.169664351852</v>
      </c>
      <c r="M1605">
        <f>MONTH(Table1[[#This Row],[Date Created Conversion]])</f>
        <v>11</v>
      </c>
      <c r="N1605">
        <f>YEAR(Table1[[#This Row],[Date Created Conversion]])</f>
        <v>2011</v>
      </c>
      <c r="O1605" t="b">
        <v>0</v>
      </c>
      <c r="P1605">
        <v>30</v>
      </c>
      <c r="Q1605" t="b">
        <v>1</v>
      </c>
      <c r="R1605" t="s">
        <v>8276</v>
      </c>
      <c r="S1605" s="6">
        <f>Table1[[#This Row],[pledged]]/Table1[[#This Row],[goal]]</f>
        <v>1.0003299999999999</v>
      </c>
      <c r="T1605" s="8">
        <f>IF(Table1[[#This Row],[pledged]]=0,"no backers",Table1[[#This Row],[pledged]]/Table1[[#This Row],[backers_count]])</f>
        <v>66.688666666666663</v>
      </c>
      <c r="U1605" t="str">
        <f>LEFT(Table1[[#This Row],[Category and Sub-Category]],FIND("/",Table1[[#This Row],[Category and Sub-Category]])-1)</f>
        <v>music</v>
      </c>
      <c r="V1605" t="str">
        <f>RIGHT(Table1[[#This Row],[Category and Sub-Category]],LEN(Table1[[#This Row],[Category and Sub-Category]])-FIND("/",Table1[[#This Row],[Category and Sub-Category]]))</f>
        <v>rock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 s="12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>((Table1[[#This Row],[deadline]]/60)/60/24)+DATE(1970,1,1)</f>
        <v>40985.80364583333</v>
      </c>
      <c r="K1606">
        <v>1328559435</v>
      </c>
      <c r="L1606" s="11">
        <f>((Table1[[#This Row],[launched_at]]/60)/60/24)+DATE(1970,1,1)</f>
        <v>40945.845312500001</v>
      </c>
      <c r="M1606">
        <f>MONTH(Table1[[#This Row],[Date Created Conversion]])</f>
        <v>2</v>
      </c>
      <c r="N1606">
        <f>YEAR(Table1[[#This Row],[Date Created Conversion]])</f>
        <v>2012</v>
      </c>
      <c r="O1606" t="b">
        <v>0</v>
      </c>
      <c r="P1606">
        <v>70</v>
      </c>
      <c r="Q1606" t="b">
        <v>1</v>
      </c>
      <c r="R1606" t="s">
        <v>8276</v>
      </c>
      <c r="S1606" s="6">
        <f>Table1[[#This Row],[pledged]]/Table1[[#This Row],[goal]]</f>
        <v>1.2210714285714286</v>
      </c>
      <c r="T1606" s="8">
        <f>IF(Table1[[#This Row],[pledged]]=0,"no backers",Table1[[#This Row],[pledged]]/Table1[[#This Row],[backers_count]])</f>
        <v>48.842857142857142</v>
      </c>
      <c r="U1606" t="str">
        <f>LEFT(Table1[[#This Row],[Category and Sub-Category]],FIND("/",Table1[[#This Row],[Category and Sub-Category]])-1)</f>
        <v>music</v>
      </c>
      <c r="V1606" t="str">
        <f>RIGHT(Table1[[#This Row],[Category and Sub-Category]],LEN(Table1[[#This Row],[Category and Sub-Category]])-FIND("/",Table1[[#This Row],[Category and Sub-Category]]))</f>
        <v>rock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 s="12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>((Table1[[#This Row],[deadline]]/60)/60/24)+DATE(1970,1,1)</f>
        <v>40756.291666666664</v>
      </c>
      <c r="K1607">
        <v>1311380313</v>
      </c>
      <c r="L1607" s="11">
        <f>((Table1[[#This Row],[launched_at]]/60)/60/24)+DATE(1970,1,1)</f>
        <v>40747.012881944444</v>
      </c>
      <c r="M1607">
        <f>MONTH(Table1[[#This Row],[Date Created Conversion]])</f>
        <v>7</v>
      </c>
      <c r="N1607">
        <f>YEAR(Table1[[#This Row],[Date Created Conversion]])</f>
        <v>2011</v>
      </c>
      <c r="O1607" t="b">
        <v>0</v>
      </c>
      <c r="P1607">
        <v>44</v>
      </c>
      <c r="Q1607" t="b">
        <v>1</v>
      </c>
      <c r="R1607" t="s">
        <v>8276</v>
      </c>
      <c r="S1607" s="6">
        <f>Table1[[#This Row],[pledged]]/Table1[[#This Row],[goal]]</f>
        <v>1.0069333333333335</v>
      </c>
      <c r="T1607" s="8">
        <f>IF(Table1[[#This Row],[pledged]]=0,"no backers",Table1[[#This Row],[pledged]]/Table1[[#This Row],[backers_count]])</f>
        <v>137.30909090909091</v>
      </c>
      <c r="U1607" t="str">
        <f>LEFT(Table1[[#This Row],[Category and Sub-Category]],FIND("/",Table1[[#This Row],[Category and Sub-Category]])-1)</f>
        <v>music</v>
      </c>
      <c r="V1607" t="str">
        <f>RIGHT(Table1[[#This Row],[Category and Sub-Category]],LEN(Table1[[#This Row],[Category and Sub-Category]])-FIND("/",Table1[[#This Row],[Category and Sub-Category]]))</f>
        <v>rock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 s="12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>((Table1[[#This Row],[deadline]]/60)/60/24)+DATE(1970,1,1)</f>
        <v>40626.069884259261</v>
      </c>
      <c r="K1608">
        <v>1293158438</v>
      </c>
      <c r="L1608" s="11">
        <f>((Table1[[#This Row],[launched_at]]/60)/60/24)+DATE(1970,1,1)</f>
        <v>40536.111550925925</v>
      </c>
      <c r="M1608">
        <f>MONTH(Table1[[#This Row],[Date Created Conversion]])</f>
        <v>12</v>
      </c>
      <c r="N1608">
        <f>YEAR(Table1[[#This Row],[Date Created Conversion]])</f>
        <v>2010</v>
      </c>
      <c r="O1608" t="b">
        <v>0</v>
      </c>
      <c r="P1608">
        <v>92</v>
      </c>
      <c r="Q1608" t="b">
        <v>1</v>
      </c>
      <c r="R1608" t="s">
        <v>8276</v>
      </c>
      <c r="S1608" s="6">
        <f>Table1[[#This Row],[pledged]]/Table1[[#This Row],[goal]]</f>
        <v>1.01004125</v>
      </c>
      <c r="T1608" s="8">
        <f>IF(Table1[[#This Row],[pledged]]=0,"no backers",Table1[[#This Row],[pledged]]/Table1[[#This Row],[backers_count]])</f>
        <v>87.829673913043479</v>
      </c>
      <c r="U1608" t="str">
        <f>LEFT(Table1[[#This Row],[Category and Sub-Category]],FIND("/",Table1[[#This Row],[Category and Sub-Category]])-1)</f>
        <v>music</v>
      </c>
      <c r="V1608" t="str">
        <f>RIGHT(Table1[[#This Row],[Category and Sub-Category]],LEN(Table1[[#This Row],[Category and Sub-Category]])-FIND("/",Table1[[#This Row],[Category and Sub-Category]]))</f>
        <v>rock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 s="12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>((Table1[[#This Row],[deadline]]/60)/60/24)+DATE(1970,1,1)</f>
        <v>41074.80846064815</v>
      </c>
      <c r="K1609">
        <v>1337887451</v>
      </c>
      <c r="L1609" s="11">
        <f>((Table1[[#This Row],[launched_at]]/60)/60/24)+DATE(1970,1,1)</f>
        <v>41053.80846064815</v>
      </c>
      <c r="M1609">
        <f>MONTH(Table1[[#This Row],[Date Created Conversion]])</f>
        <v>5</v>
      </c>
      <c r="N1609">
        <f>YEAR(Table1[[#This Row],[Date Created Conversion]])</f>
        <v>2012</v>
      </c>
      <c r="O1609" t="b">
        <v>0</v>
      </c>
      <c r="P1609">
        <v>205</v>
      </c>
      <c r="Q1609" t="b">
        <v>1</v>
      </c>
      <c r="R1609" t="s">
        <v>8276</v>
      </c>
      <c r="S1609" s="6">
        <f>Table1[[#This Row],[pledged]]/Table1[[#This Row],[goal]]</f>
        <v>1.4511000000000001</v>
      </c>
      <c r="T1609" s="8">
        <f>IF(Table1[[#This Row],[pledged]]=0,"no backers",Table1[[#This Row],[pledged]]/Table1[[#This Row],[backers_count]])</f>
        <v>70.785365853658533</v>
      </c>
      <c r="U1609" t="str">
        <f>LEFT(Table1[[#This Row],[Category and Sub-Category]],FIND("/",Table1[[#This Row],[Category and Sub-Category]])-1)</f>
        <v>music</v>
      </c>
      <c r="V1609" t="str">
        <f>RIGHT(Table1[[#This Row],[Category and Sub-Category]],LEN(Table1[[#This Row],[Category and Sub-Category]])-FIND("/",Table1[[#This Row],[Category and Sub-Category]]))</f>
        <v>rock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 s="12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>((Table1[[#This Row],[deadline]]/60)/60/24)+DATE(1970,1,1)</f>
        <v>41640.226388888892</v>
      </c>
      <c r="K1610">
        <v>1385754986</v>
      </c>
      <c r="L1610" s="11">
        <f>((Table1[[#This Row],[launched_at]]/60)/60/24)+DATE(1970,1,1)</f>
        <v>41607.83085648148</v>
      </c>
      <c r="M1610">
        <f>MONTH(Table1[[#This Row],[Date Created Conversion]])</f>
        <v>11</v>
      </c>
      <c r="N1610">
        <f>YEAR(Table1[[#This Row],[Date Created Conversion]])</f>
        <v>2013</v>
      </c>
      <c r="O1610" t="b">
        <v>0</v>
      </c>
      <c r="P1610">
        <v>23</v>
      </c>
      <c r="Q1610" t="b">
        <v>1</v>
      </c>
      <c r="R1610" t="s">
        <v>8276</v>
      </c>
      <c r="S1610" s="6">
        <f>Table1[[#This Row],[pledged]]/Table1[[#This Row],[goal]]</f>
        <v>1.0125</v>
      </c>
      <c r="T1610" s="8">
        <f>IF(Table1[[#This Row],[pledged]]=0,"no backers",Table1[[#This Row],[pledged]]/Table1[[#This Row],[backers_count]])</f>
        <v>52.826086956521742</v>
      </c>
      <c r="U1610" t="str">
        <f>LEFT(Table1[[#This Row],[Category and Sub-Category]],FIND("/",Table1[[#This Row],[Category and Sub-Category]])-1)</f>
        <v>music</v>
      </c>
      <c r="V1610" t="str">
        <f>RIGHT(Table1[[#This Row],[Category and Sub-Category]],LEN(Table1[[#This Row],[Category and Sub-Category]])-FIND("/",Table1[[#This Row],[Category and Sub-Category]]))</f>
        <v>rock</v>
      </c>
    </row>
    <row r="1611" spans="1:22" ht="43.2" x14ac:dyDescent="0.3">
      <c r="A1611">
        <v>1609</v>
      </c>
      <c r="B1611" s="3" t="s">
        <v>1610</v>
      </c>
      <c r="C1611" s="3" t="s">
        <v>5719</v>
      </c>
      <c r="D1611" s="12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>((Table1[[#This Row],[deadline]]/60)/60/24)+DATE(1970,1,1)</f>
        <v>40849.333333333336</v>
      </c>
      <c r="K1611">
        <v>1315612909</v>
      </c>
      <c r="L1611" s="11">
        <f>((Table1[[#This Row],[launched_at]]/60)/60/24)+DATE(1970,1,1)</f>
        <v>40796.001261574071</v>
      </c>
      <c r="M1611">
        <f>MONTH(Table1[[#This Row],[Date Created Conversion]])</f>
        <v>9</v>
      </c>
      <c r="N1611">
        <f>YEAR(Table1[[#This Row],[Date Created Conversion]])</f>
        <v>2011</v>
      </c>
      <c r="O1611" t="b">
        <v>0</v>
      </c>
      <c r="P1611">
        <v>4</v>
      </c>
      <c r="Q1611" t="b">
        <v>1</v>
      </c>
      <c r="R1611" t="s">
        <v>8276</v>
      </c>
      <c r="S1611" s="6">
        <f>Table1[[#This Row],[pledged]]/Table1[[#This Row],[goal]]</f>
        <v>1.1833333333333333</v>
      </c>
      <c r="T1611" s="8">
        <f>IF(Table1[[#This Row],[pledged]]=0,"no backers",Table1[[#This Row],[pledged]]/Table1[[#This Row],[backers_count]])</f>
        <v>443.75</v>
      </c>
      <c r="U1611" t="str">
        <f>LEFT(Table1[[#This Row],[Category and Sub-Category]],FIND("/",Table1[[#This Row],[Category and Sub-Category]])-1)</f>
        <v>music</v>
      </c>
      <c r="V1611" t="str">
        <f>RIGHT(Table1[[#This Row],[Category and Sub-Category]],LEN(Table1[[#This Row],[Category and Sub-Category]])-FIND("/",Table1[[#This Row],[Category and Sub-Category]]))</f>
        <v>rock</v>
      </c>
    </row>
    <row r="1612" spans="1:22" ht="28.8" x14ac:dyDescent="0.3">
      <c r="A1612">
        <v>1610</v>
      </c>
      <c r="B1612" s="3" t="s">
        <v>1611</v>
      </c>
      <c r="C1612" s="3" t="s">
        <v>5720</v>
      </c>
      <c r="D1612" s="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>((Table1[[#This Row],[deadline]]/60)/60/24)+DATE(1970,1,1)</f>
        <v>41258.924884259257</v>
      </c>
      <c r="K1612">
        <v>1353017510</v>
      </c>
      <c r="L1612" s="11">
        <f>((Table1[[#This Row],[launched_at]]/60)/60/24)+DATE(1970,1,1)</f>
        <v>41228.924884259257</v>
      </c>
      <c r="M1612">
        <f>MONTH(Table1[[#This Row],[Date Created Conversion]])</f>
        <v>11</v>
      </c>
      <c r="N1612">
        <f>YEAR(Table1[[#This Row],[Date Created Conversion]])</f>
        <v>2012</v>
      </c>
      <c r="O1612" t="b">
        <v>0</v>
      </c>
      <c r="P1612">
        <v>112</v>
      </c>
      <c r="Q1612" t="b">
        <v>1</v>
      </c>
      <c r="R1612" t="s">
        <v>8276</v>
      </c>
      <c r="S1612" s="6">
        <f>Table1[[#This Row],[pledged]]/Table1[[#This Row],[goal]]</f>
        <v>2.7185000000000001</v>
      </c>
      <c r="T1612" s="8">
        <f>IF(Table1[[#This Row],[pledged]]=0,"no backers",Table1[[#This Row],[pledged]]/Table1[[#This Row],[backers_count]])</f>
        <v>48.544642857142854</v>
      </c>
      <c r="U1612" t="str">
        <f>LEFT(Table1[[#This Row],[Category and Sub-Category]],FIND("/",Table1[[#This Row],[Category and Sub-Category]])-1)</f>
        <v>music</v>
      </c>
      <c r="V1612" t="str">
        <f>RIGHT(Table1[[#This Row],[Category and Sub-Category]],LEN(Table1[[#This Row],[Category and Sub-Category]])-FIND("/",Table1[[#This Row],[Category and Sub-Category]]))</f>
        <v>rock</v>
      </c>
    </row>
    <row r="1613" spans="1:22" x14ac:dyDescent="0.3">
      <c r="A1613">
        <v>1611</v>
      </c>
      <c r="B1613" s="3" t="s">
        <v>1612</v>
      </c>
      <c r="C1613" s="3" t="s">
        <v>5721</v>
      </c>
      <c r="D1613" s="12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>((Table1[[#This Row],[deadline]]/60)/60/24)+DATE(1970,1,1)</f>
        <v>41430.00037037037</v>
      </c>
      <c r="K1613">
        <v>1368576032</v>
      </c>
      <c r="L1613" s="11">
        <f>((Table1[[#This Row],[launched_at]]/60)/60/24)+DATE(1970,1,1)</f>
        <v>41409.00037037037</v>
      </c>
      <c r="M1613">
        <f>MONTH(Table1[[#This Row],[Date Created Conversion]])</f>
        <v>5</v>
      </c>
      <c r="N1613">
        <f>YEAR(Table1[[#This Row],[Date Created Conversion]])</f>
        <v>2013</v>
      </c>
      <c r="O1613" t="b">
        <v>0</v>
      </c>
      <c r="P1613">
        <v>27</v>
      </c>
      <c r="Q1613" t="b">
        <v>1</v>
      </c>
      <c r="R1613" t="s">
        <v>8276</v>
      </c>
      <c r="S1613" s="6">
        <f>Table1[[#This Row],[pledged]]/Table1[[#This Row],[goal]]</f>
        <v>1.25125</v>
      </c>
      <c r="T1613" s="8">
        <f>IF(Table1[[#This Row],[pledged]]=0,"no backers",Table1[[#This Row],[pledged]]/Table1[[#This Row],[backers_count]])</f>
        <v>37.074074074074076</v>
      </c>
      <c r="U1613" t="str">
        <f>LEFT(Table1[[#This Row],[Category and Sub-Category]],FIND("/",Table1[[#This Row],[Category and Sub-Category]])-1)</f>
        <v>music</v>
      </c>
      <c r="V1613" t="str">
        <f>RIGHT(Table1[[#This Row],[Category and Sub-Category]],LEN(Table1[[#This Row],[Category and Sub-Category]])-FIND("/",Table1[[#This Row],[Category and Sub-Category]]))</f>
        <v>rock</v>
      </c>
    </row>
    <row r="1614" spans="1:22" ht="43.2" x14ac:dyDescent="0.3">
      <c r="A1614">
        <v>1612</v>
      </c>
      <c r="B1614" s="3" t="s">
        <v>1613</v>
      </c>
      <c r="C1614" s="3" t="s">
        <v>5722</v>
      </c>
      <c r="D1614" s="12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>((Table1[[#This Row],[deadline]]/60)/60/24)+DATE(1970,1,1)</f>
        <v>41276.874814814815</v>
      </c>
      <c r="K1614">
        <v>1354568384</v>
      </c>
      <c r="L1614" s="11">
        <f>((Table1[[#This Row],[launched_at]]/60)/60/24)+DATE(1970,1,1)</f>
        <v>41246.874814814815</v>
      </c>
      <c r="M1614">
        <f>MONTH(Table1[[#This Row],[Date Created Conversion]])</f>
        <v>12</v>
      </c>
      <c r="N1614">
        <f>YEAR(Table1[[#This Row],[Date Created Conversion]])</f>
        <v>2012</v>
      </c>
      <c r="O1614" t="b">
        <v>0</v>
      </c>
      <c r="P1614">
        <v>11</v>
      </c>
      <c r="Q1614" t="b">
        <v>1</v>
      </c>
      <c r="R1614" t="s">
        <v>8276</v>
      </c>
      <c r="S1614" s="6">
        <f>Table1[[#This Row],[pledged]]/Table1[[#This Row],[goal]]</f>
        <v>1.1000000000000001</v>
      </c>
      <c r="T1614" s="8">
        <f>IF(Table1[[#This Row],[pledged]]=0,"no backers",Table1[[#This Row],[pledged]]/Table1[[#This Row],[backers_count]])</f>
        <v>50</v>
      </c>
      <c r="U1614" t="str">
        <f>LEFT(Table1[[#This Row],[Category and Sub-Category]],FIND("/",Table1[[#This Row],[Category and Sub-Category]])-1)</f>
        <v>music</v>
      </c>
      <c r="V1614" t="str">
        <f>RIGHT(Table1[[#This Row],[Category and Sub-Category]],LEN(Table1[[#This Row],[Category and Sub-Category]])-FIND("/",Table1[[#This Row],[Category and Sub-Category]]))</f>
        <v>rock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 s="12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>((Table1[[#This Row],[deadline]]/60)/60/24)+DATE(1970,1,1)</f>
        <v>41112.069467592592</v>
      </c>
      <c r="K1615">
        <v>1340329202</v>
      </c>
      <c r="L1615" s="11">
        <f>((Table1[[#This Row],[launched_at]]/60)/60/24)+DATE(1970,1,1)</f>
        <v>41082.069467592592</v>
      </c>
      <c r="M1615">
        <f>MONTH(Table1[[#This Row],[Date Created Conversion]])</f>
        <v>6</v>
      </c>
      <c r="N1615">
        <f>YEAR(Table1[[#This Row],[Date Created Conversion]])</f>
        <v>2012</v>
      </c>
      <c r="O1615" t="b">
        <v>0</v>
      </c>
      <c r="P1615">
        <v>26</v>
      </c>
      <c r="Q1615" t="b">
        <v>1</v>
      </c>
      <c r="R1615" t="s">
        <v>8276</v>
      </c>
      <c r="S1615" s="6">
        <f>Table1[[#This Row],[pledged]]/Table1[[#This Row],[goal]]</f>
        <v>1.0149999999999999</v>
      </c>
      <c r="T1615" s="8">
        <f>IF(Table1[[#This Row],[pledged]]=0,"no backers",Table1[[#This Row],[pledged]]/Table1[[#This Row],[backers_count]])</f>
        <v>39.03846153846154</v>
      </c>
      <c r="U1615" t="str">
        <f>LEFT(Table1[[#This Row],[Category and Sub-Category]],FIND("/",Table1[[#This Row],[Category and Sub-Category]])-1)</f>
        <v>music</v>
      </c>
      <c r="V1615" t="str">
        <f>RIGHT(Table1[[#This Row],[Category and Sub-Category]],LEN(Table1[[#This Row],[Category and Sub-Category]])-FIND("/",Table1[[#This Row],[Category and Sub-Category]]))</f>
        <v>rock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 s="12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>((Table1[[#This Row],[deadline]]/60)/60/24)+DATE(1970,1,1)</f>
        <v>41854.708333333336</v>
      </c>
      <c r="K1616">
        <v>1401924769</v>
      </c>
      <c r="L1616" s="11">
        <f>((Table1[[#This Row],[launched_at]]/60)/60/24)+DATE(1970,1,1)</f>
        <v>41794.981122685182</v>
      </c>
      <c r="M1616">
        <f>MONTH(Table1[[#This Row],[Date Created Conversion]])</f>
        <v>6</v>
      </c>
      <c r="N1616">
        <f>YEAR(Table1[[#This Row],[Date Created Conversion]])</f>
        <v>2014</v>
      </c>
      <c r="O1616" t="b">
        <v>0</v>
      </c>
      <c r="P1616">
        <v>77</v>
      </c>
      <c r="Q1616" t="b">
        <v>1</v>
      </c>
      <c r="R1616" t="s">
        <v>8276</v>
      </c>
      <c r="S1616" s="6">
        <f>Table1[[#This Row],[pledged]]/Table1[[#This Row],[goal]]</f>
        <v>1.0269999999999999</v>
      </c>
      <c r="T1616" s="8">
        <f>IF(Table1[[#This Row],[pledged]]=0,"no backers",Table1[[#This Row],[pledged]]/Table1[[#This Row],[backers_count]])</f>
        <v>66.688311688311686</v>
      </c>
      <c r="U1616" t="str">
        <f>LEFT(Table1[[#This Row],[Category and Sub-Category]],FIND("/",Table1[[#This Row],[Category and Sub-Category]])-1)</f>
        <v>music</v>
      </c>
      <c r="V1616" t="str">
        <f>RIGHT(Table1[[#This Row],[Category and Sub-Category]],LEN(Table1[[#This Row],[Category and Sub-Category]])-FIND("/",Table1[[#This Row],[Category and Sub-Category]]))</f>
        <v>rock</v>
      </c>
    </row>
    <row r="1617" spans="1:22" ht="43.2" x14ac:dyDescent="0.3">
      <c r="A1617">
        <v>1615</v>
      </c>
      <c r="B1617" s="3" t="s">
        <v>1616</v>
      </c>
      <c r="C1617" s="3" t="s">
        <v>5725</v>
      </c>
      <c r="D1617" s="12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>((Table1[[#This Row],[deadline]]/60)/60/24)+DATE(1970,1,1)</f>
        <v>40890.092546296299</v>
      </c>
      <c r="K1617">
        <v>1319850796</v>
      </c>
      <c r="L1617" s="11">
        <f>((Table1[[#This Row],[launched_at]]/60)/60/24)+DATE(1970,1,1)</f>
        <v>40845.050879629627</v>
      </c>
      <c r="M1617">
        <f>MONTH(Table1[[#This Row],[Date Created Conversion]])</f>
        <v>10</v>
      </c>
      <c r="N1617">
        <f>YEAR(Table1[[#This Row],[Date Created Conversion]])</f>
        <v>2011</v>
      </c>
      <c r="O1617" t="b">
        <v>0</v>
      </c>
      <c r="P1617">
        <v>136</v>
      </c>
      <c r="Q1617" t="b">
        <v>1</v>
      </c>
      <c r="R1617" t="s">
        <v>8276</v>
      </c>
      <c r="S1617" s="6">
        <f>Table1[[#This Row],[pledged]]/Table1[[#This Row],[goal]]</f>
        <v>1.1412500000000001</v>
      </c>
      <c r="T1617" s="8">
        <f>IF(Table1[[#This Row],[pledged]]=0,"no backers",Table1[[#This Row],[pledged]]/Table1[[#This Row],[backers_count]])</f>
        <v>67.132352941176464</v>
      </c>
      <c r="U1617" t="str">
        <f>LEFT(Table1[[#This Row],[Category and Sub-Category]],FIND("/",Table1[[#This Row],[Category and Sub-Category]])-1)</f>
        <v>music</v>
      </c>
      <c r="V1617" t="str">
        <f>RIGHT(Table1[[#This Row],[Category and Sub-Category]],LEN(Table1[[#This Row],[Category and Sub-Category]])-FIND("/",Table1[[#This Row],[Category and Sub-Category]]))</f>
        <v>rock</v>
      </c>
    </row>
    <row r="1618" spans="1:22" ht="43.2" x14ac:dyDescent="0.3">
      <c r="A1618">
        <v>1616</v>
      </c>
      <c r="B1618" s="3" t="s">
        <v>1617</v>
      </c>
      <c r="C1618" s="3" t="s">
        <v>5726</v>
      </c>
      <c r="D1618" s="12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>((Table1[[#This Row],[deadline]]/60)/60/24)+DATE(1970,1,1)</f>
        <v>41235.916666666664</v>
      </c>
      <c r="K1618">
        <v>1350061821</v>
      </c>
      <c r="L1618" s="11">
        <f>((Table1[[#This Row],[launched_at]]/60)/60/24)+DATE(1970,1,1)</f>
        <v>41194.715520833335</v>
      </c>
      <c r="M1618">
        <f>MONTH(Table1[[#This Row],[Date Created Conversion]])</f>
        <v>10</v>
      </c>
      <c r="N1618">
        <f>YEAR(Table1[[#This Row],[Date Created Conversion]])</f>
        <v>2012</v>
      </c>
      <c r="O1618" t="b">
        <v>0</v>
      </c>
      <c r="P1618">
        <v>157</v>
      </c>
      <c r="Q1618" t="b">
        <v>1</v>
      </c>
      <c r="R1618" t="s">
        <v>8276</v>
      </c>
      <c r="S1618" s="6">
        <f>Table1[[#This Row],[pledged]]/Table1[[#This Row],[goal]]</f>
        <v>1.042</v>
      </c>
      <c r="T1618" s="8">
        <f>IF(Table1[[#This Row],[pledged]]=0,"no backers",Table1[[#This Row],[pledged]]/Table1[[#This Row],[backers_count]])</f>
        <v>66.369426751592357</v>
      </c>
      <c r="U1618" t="str">
        <f>LEFT(Table1[[#This Row],[Category and Sub-Category]],FIND("/",Table1[[#This Row],[Category and Sub-Category]])-1)</f>
        <v>music</v>
      </c>
      <c r="V1618" t="str">
        <f>RIGHT(Table1[[#This Row],[Category and Sub-Category]],LEN(Table1[[#This Row],[Category and Sub-Category]])-FIND("/",Table1[[#This Row],[Category and Sub-Category]]))</f>
        <v>rock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 s="12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>((Table1[[#This Row],[deadline]]/60)/60/24)+DATE(1970,1,1)</f>
        <v>41579.791666666664</v>
      </c>
      <c r="K1619">
        <v>1380470188</v>
      </c>
      <c r="L1619" s="11">
        <f>((Table1[[#This Row],[launched_at]]/60)/60/24)+DATE(1970,1,1)</f>
        <v>41546.664212962962</v>
      </c>
      <c r="M1619">
        <f>MONTH(Table1[[#This Row],[Date Created Conversion]])</f>
        <v>9</v>
      </c>
      <c r="N1619">
        <f>YEAR(Table1[[#This Row],[Date Created Conversion]])</f>
        <v>2013</v>
      </c>
      <c r="O1619" t="b">
        <v>0</v>
      </c>
      <c r="P1619">
        <v>158</v>
      </c>
      <c r="Q1619" t="b">
        <v>1</v>
      </c>
      <c r="R1619" t="s">
        <v>8276</v>
      </c>
      <c r="S1619" s="6">
        <f>Table1[[#This Row],[pledged]]/Table1[[#This Row],[goal]]</f>
        <v>1.4585714285714286</v>
      </c>
      <c r="T1619" s="8">
        <f>IF(Table1[[#This Row],[pledged]]=0,"no backers",Table1[[#This Row],[pledged]]/Table1[[#This Row],[backers_count]])</f>
        <v>64.620253164556956</v>
      </c>
      <c r="U1619" t="str">
        <f>LEFT(Table1[[#This Row],[Category and Sub-Category]],FIND("/",Table1[[#This Row],[Category and Sub-Category]])-1)</f>
        <v>music</v>
      </c>
      <c r="V1619" t="str">
        <f>RIGHT(Table1[[#This Row],[Category and Sub-Category]],LEN(Table1[[#This Row],[Category and Sub-Category]])-FIND("/",Table1[[#This Row],[Category and Sub-Category]]))</f>
        <v>rock</v>
      </c>
    </row>
    <row r="1620" spans="1:22" ht="43.2" x14ac:dyDescent="0.3">
      <c r="A1620">
        <v>1618</v>
      </c>
      <c r="B1620" s="3" t="s">
        <v>1619</v>
      </c>
      <c r="C1620" s="3" t="s">
        <v>5728</v>
      </c>
      <c r="D1620" s="12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>((Table1[[#This Row],[deadline]]/60)/60/24)+DATE(1970,1,1)</f>
        <v>41341.654340277775</v>
      </c>
      <c r="K1620">
        <v>1359301335</v>
      </c>
      <c r="L1620" s="11">
        <f>((Table1[[#This Row],[launched_at]]/60)/60/24)+DATE(1970,1,1)</f>
        <v>41301.654340277775</v>
      </c>
      <c r="M1620">
        <f>MONTH(Table1[[#This Row],[Date Created Conversion]])</f>
        <v>1</v>
      </c>
      <c r="N1620">
        <f>YEAR(Table1[[#This Row],[Date Created Conversion]])</f>
        <v>2013</v>
      </c>
      <c r="O1620" t="b">
        <v>0</v>
      </c>
      <c r="P1620">
        <v>27</v>
      </c>
      <c r="Q1620" t="b">
        <v>1</v>
      </c>
      <c r="R1620" t="s">
        <v>8276</v>
      </c>
      <c r="S1620" s="6">
        <f>Table1[[#This Row],[pledged]]/Table1[[#This Row],[goal]]</f>
        <v>1.0506666666666666</v>
      </c>
      <c r="T1620" s="8">
        <f>IF(Table1[[#This Row],[pledged]]=0,"no backers",Table1[[#This Row],[pledged]]/Table1[[#This Row],[backers_count]])</f>
        <v>58.370370370370374</v>
      </c>
      <c r="U1620" t="str">
        <f>LEFT(Table1[[#This Row],[Category and Sub-Category]],FIND("/",Table1[[#This Row],[Category and Sub-Category]])-1)</f>
        <v>music</v>
      </c>
      <c r="V1620" t="str">
        <f>RIGHT(Table1[[#This Row],[Category and Sub-Category]],LEN(Table1[[#This Row],[Category and Sub-Category]])-FIND("/",Table1[[#This Row],[Category and Sub-Category]]))</f>
        <v>rock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 s="12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>((Table1[[#This Row],[deadline]]/60)/60/24)+DATE(1970,1,1)</f>
        <v>41897.18618055556</v>
      </c>
      <c r="K1621">
        <v>1408940886</v>
      </c>
      <c r="L1621" s="11">
        <f>((Table1[[#This Row],[launched_at]]/60)/60/24)+DATE(1970,1,1)</f>
        <v>41876.18618055556</v>
      </c>
      <c r="M1621">
        <f>MONTH(Table1[[#This Row],[Date Created Conversion]])</f>
        <v>8</v>
      </c>
      <c r="N1621">
        <f>YEAR(Table1[[#This Row],[Date Created Conversion]])</f>
        <v>2014</v>
      </c>
      <c r="O1621" t="b">
        <v>0</v>
      </c>
      <c r="P1621">
        <v>23</v>
      </c>
      <c r="Q1621" t="b">
        <v>1</v>
      </c>
      <c r="R1621" t="s">
        <v>8276</v>
      </c>
      <c r="S1621" s="6">
        <f>Table1[[#This Row],[pledged]]/Table1[[#This Row],[goal]]</f>
        <v>1.3333333333333333</v>
      </c>
      <c r="T1621" s="8">
        <f>IF(Table1[[#This Row],[pledged]]=0,"no backers",Table1[[#This Row],[pledged]]/Table1[[#This Row],[backers_count]])</f>
        <v>86.956521739130437</v>
      </c>
      <c r="U1621" t="str">
        <f>LEFT(Table1[[#This Row],[Category and Sub-Category]],FIND("/",Table1[[#This Row],[Category and Sub-Category]])-1)</f>
        <v>music</v>
      </c>
      <c r="V1621" t="str">
        <f>RIGHT(Table1[[#This Row],[Category and Sub-Category]],LEN(Table1[[#This Row],[Category and Sub-Category]])-FIND("/",Table1[[#This Row],[Category and Sub-Category]]))</f>
        <v>rock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 s="1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>((Table1[[#This Row],[deadline]]/60)/60/24)+DATE(1970,1,1)</f>
        <v>41328.339583333334</v>
      </c>
      <c r="K1622">
        <v>1361002140</v>
      </c>
      <c r="L1622" s="11">
        <f>((Table1[[#This Row],[launched_at]]/60)/60/24)+DATE(1970,1,1)</f>
        <v>41321.339583333334</v>
      </c>
      <c r="M1622">
        <f>MONTH(Table1[[#This Row],[Date Created Conversion]])</f>
        <v>2</v>
      </c>
      <c r="N1622">
        <f>YEAR(Table1[[#This Row],[Date Created Conversion]])</f>
        <v>2013</v>
      </c>
      <c r="O1622" t="b">
        <v>0</v>
      </c>
      <c r="P1622">
        <v>17</v>
      </c>
      <c r="Q1622" t="b">
        <v>1</v>
      </c>
      <c r="R1622" t="s">
        <v>8276</v>
      </c>
      <c r="S1622" s="6">
        <f>Table1[[#This Row],[pledged]]/Table1[[#This Row],[goal]]</f>
        <v>1.1299999999999999</v>
      </c>
      <c r="T1622" s="8">
        <f>IF(Table1[[#This Row],[pledged]]=0,"no backers",Table1[[#This Row],[pledged]]/Table1[[#This Row],[backers_count]])</f>
        <v>66.470588235294116</v>
      </c>
      <c r="U1622" t="str">
        <f>LEFT(Table1[[#This Row],[Category and Sub-Category]],FIND("/",Table1[[#This Row],[Category and Sub-Category]])-1)</f>
        <v>music</v>
      </c>
      <c r="V1622" t="str">
        <f>RIGHT(Table1[[#This Row],[Category and Sub-Category]],LEN(Table1[[#This Row],[Category and Sub-Category]])-FIND("/",Table1[[#This Row],[Category and Sub-Category]]))</f>
        <v>rock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 s="12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>((Table1[[#This Row],[deadline]]/60)/60/24)+DATE(1970,1,1)</f>
        <v>41057.165972222225</v>
      </c>
      <c r="K1623">
        <v>1333550015</v>
      </c>
      <c r="L1623" s="11">
        <f>((Table1[[#This Row],[launched_at]]/60)/60/24)+DATE(1970,1,1)</f>
        <v>41003.60665509259</v>
      </c>
      <c r="M1623">
        <f>MONTH(Table1[[#This Row],[Date Created Conversion]])</f>
        <v>4</v>
      </c>
      <c r="N1623">
        <f>YEAR(Table1[[#This Row],[Date Created Conversion]])</f>
        <v>2012</v>
      </c>
      <c r="O1623" t="b">
        <v>0</v>
      </c>
      <c r="P1623">
        <v>37</v>
      </c>
      <c r="Q1623" t="b">
        <v>1</v>
      </c>
      <c r="R1623" t="s">
        <v>8276</v>
      </c>
      <c r="S1623" s="6">
        <f>Table1[[#This Row],[pledged]]/Table1[[#This Row],[goal]]</f>
        <v>1.212</v>
      </c>
      <c r="T1623" s="8">
        <f>IF(Table1[[#This Row],[pledged]]=0,"no backers",Table1[[#This Row],[pledged]]/Table1[[#This Row],[backers_count]])</f>
        <v>163.78378378378378</v>
      </c>
      <c r="U1623" t="str">
        <f>LEFT(Table1[[#This Row],[Category and Sub-Category]],FIND("/",Table1[[#This Row],[Category and Sub-Category]])-1)</f>
        <v>music</v>
      </c>
      <c r="V1623" t="str">
        <f>RIGHT(Table1[[#This Row],[Category and Sub-Category]],LEN(Table1[[#This Row],[Category and Sub-Category]])-FIND("/",Table1[[#This Row],[Category and Sub-Category]]))</f>
        <v>rock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 s="12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>((Table1[[#This Row],[deadline]]/60)/60/24)+DATE(1970,1,1)</f>
        <v>41990.332638888889</v>
      </c>
      <c r="K1624">
        <v>1415343874</v>
      </c>
      <c r="L1624" s="11">
        <f>((Table1[[#This Row],[launched_at]]/60)/60/24)+DATE(1970,1,1)</f>
        <v>41950.29483796296</v>
      </c>
      <c r="M1624">
        <f>MONTH(Table1[[#This Row],[Date Created Conversion]])</f>
        <v>11</v>
      </c>
      <c r="N1624">
        <f>YEAR(Table1[[#This Row],[Date Created Conversion]])</f>
        <v>2014</v>
      </c>
      <c r="O1624" t="b">
        <v>0</v>
      </c>
      <c r="P1624">
        <v>65</v>
      </c>
      <c r="Q1624" t="b">
        <v>1</v>
      </c>
      <c r="R1624" t="s">
        <v>8276</v>
      </c>
      <c r="S1624" s="6">
        <f>Table1[[#This Row],[pledged]]/Table1[[#This Row],[goal]]</f>
        <v>1.0172463768115942</v>
      </c>
      <c r="T1624" s="8">
        <f>IF(Table1[[#This Row],[pledged]]=0,"no backers",Table1[[#This Row],[pledged]]/Table1[[#This Row],[backers_count]])</f>
        <v>107.98461538461538</v>
      </c>
      <c r="U1624" t="str">
        <f>LEFT(Table1[[#This Row],[Category and Sub-Category]],FIND("/",Table1[[#This Row],[Category and Sub-Category]])-1)</f>
        <v>music</v>
      </c>
      <c r="V1624" t="str">
        <f>RIGHT(Table1[[#This Row],[Category and Sub-Category]],LEN(Table1[[#This Row],[Category and Sub-Category]])-FIND("/",Table1[[#This Row],[Category and Sub-Category]]))</f>
        <v>rock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 s="12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>((Table1[[#This Row],[deadline]]/60)/60/24)+DATE(1970,1,1)</f>
        <v>41513.688530092593</v>
      </c>
      <c r="K1625">
        <v>1372437089</v>
      </c>
      <c r="L1625" s="11">
        <f>((Table1[[#This Row],[launched_at]]/60)/60/24)+DATE(1970,1,1)</f>
        <v>41453.688530092593</v>
      </c>
      <c r="M1625">
        <f>MONTH(Table1[[#This Row],[Date Created Conversion]])</f>
        <v>6</v>
      </c>
      <c r="N1625">
        <f>YEAR(Table1[[#This Row],[Date Created Conversion]])</f>
        <v>2013</v>
      </c>
      <c r="O1625" t="b">
        <v>0</v>
      </c>
      <c r="P1625">
        <v>18</v>
      </c>
      <c r="Q1625" t="b">
        <v>1</v>
      </c>
      <c r="R1625" t="s">
        <v>8276</v>
      </c>
      <c r="S1625" s="6">
        <f>Table1[[#This Row],[pledged]]/Table1[[#This Row],[goal]]</f>
        <v>1.0106666666666666</v>
      </c>
      <c r="T1625" s="8">
        <f>IF(Table1[[#This Row],[pledged]]=0,"no backers",Table1[[#This Row],[pledged]]/Table1[[#This Row],[backers_count]])</f>
        <v>42.111111111111114</v>
      </c>
      <c r="U1625" t="str">
        <f>LEFT(Table1[[#This Row],[Category and Sub-Category]],FIND("/",Table1[[#This Row],[Category and Sub-Category]])-1)</f>
        <v>music</v>
      </c>
      <c r="V1625" t="str">
        <f>RIGHT(Table1[[#This Row],[Category and Sub-Category]],LEN(Table1[[#This Row],[Category and Sub-Category]])-FIND("/",Table1[[#This Row],[Category and Sub-Category]]))</f>
        <v>rock</v>
      </c>
    </row>
    <row r="1626" spans="1:22" ht="43.2" x14ac:dyDescent="0.3">
      <c r="A1626">
        <v>1624</v>
      </c>
      <c r="B1626" s="3" t="s">
        <v>1625</v>
      </c>
      <c r="C1626" s="3" t="s">
        <v>5734</v>
      </c>
      <c r="D1626" s="12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>((Table1[[#This Row],[deadline]]/60)/60/24)+DATE(1970,1,1)</f>
        <v>41283.367303240739</v>
      </c>
      <c r="K1626">
        <v>1354265335</v>
      </c>
      <c r="L1626" s="11">
        <f>((Table1[[#This Row],[launched_at]]/60)/60/24)+DATE(1970,1,1)</f>
        <v>41243.367303240739</v>
      </c>
      <c r="M1626">
        <f>MONTH(Table1[[#This Row],[Date Created Conversion]])</f>
        <v>11</v>
      </c>
      <c r="N1626">
        <f>YEAR(Table1[[#This Row],[Date Created Conversion]])</f>
        <v>2012</v>
      </c>
      <c r="O1626" t="b">
        <v>0</v>
      </c>
      <c r="P1626">
        <v>25</v>
      </c>
      <c r="Q1626" t="b">
        <v>1</v>
      </c>
      <c r="R1626" t="s">
        <v>8276</v>
      </c>
      <c r="S1626" s="6">
        <f>Table1[[#This Row],[pledged]]/Table1[[#This Row],[goal]]</f>
        <v>1.18</v>
      </c>
      <c r="T1626" s="8">
        <f>IF(Table1[[#This Row],[pledged]]=0,"no backers",Table1[[#This Row],[pledged]]/Table1[[#This Row],[backers_count]])</f>
        <v>47.2</v>
      </c>
      <c r="U1626" t="str">
        <f>LEFT(Table1[[#This Row],[Category and Sub-Category]],FIND("/",Table1[[#This Row],[Category and Sub-Category]])-1)</f>
        <v>music</v>
      </c>
      <c r="V1626" t="str">
        <f>RIGHT(Table1[[#This Row],[Category and Sub-Category]],LEN(Table1[[#This Row],[Category and Sub-Category]])-FIND("/",Table1[[#This Row],[Category and Sub-Category]]))</f>
        <v>rock</v>
      </c>
    </row>
    <row r="1627" spans="1:22" ht="57.6" x14ac:dyDescent="0.3">
      <c r="A1627">
        <v>1625</v>
      </c>
      <c r="B1627" s="3" t="s">
        <v>1626</v>
      </c>
      <c r="C1627" s="3" t="s">
        <v>5735</v>
      </c>
      <c r="D1627" s="12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>((Table1[[#This Row],[deadline]]/60)/60/24)+DATE(1970,1,1)</f>
        <v>41163.699687500004</v>
      </c>
      <c r="K1627">
        <v>1344962853</v>
      </c>
      <c r="L1627" s="11">
        <f>((Table1[[#This Row],[launched_at]]/60)/60/24)+DATE(1970,1,1)</f>
        <v>41135.699687500004</v>
      </c>
      <c r="M1627">
        <f>MONTH(Table1[[#This Row],[Date Created Conversion]])</f>
        <v>8</v>
      </c>
      <c r="N1627">
        <f>YEAR(Table1[[#This Row],[Date Created Conversion]])</f>
        <v>2012</v>
      </c>
      <c r="O1627" t="b">
        <v>0</v>
      </c>
      <c r="P1627">
        <v>104</v>
      </c>
      <c r="Q1627" t="b">
        <v>1</v>
      </c>
      <c r="R1627" t="s">
        <v>8276</v>
      </c>
      <c r="S1627" s="6">
        <f>Table1[[#This Row],[pledged]]/Table1[[#This Row],[goal]]</f>
        <v>1.5533333333333332</v>
      </c>
      <c r="T1627" s="8">
        <f>IF(Table1[[#This Row],[pledged]]=0,"no backers",Table1[[#This Row],[pledged]]/Table1[[#This Row],[backers_count]])</f>
        <v>112.01923076923077</v>
      </c>
      <c r="U1627" t="str">
        <f>LEFT(Table1[[#This Row],[Category and Sub-Category]],FIND("/",Table1[[#This Row],[Category and Sub-Category]])-1)</f>
        <v>music</v>
      </c>
      <c r="V1627" t="str">
        <f>RIGHT(Table1[[#This Row],[Category and Sub-Category]],LEN(Table1[[#This Row],[Category and Sub-Category]])-FIND("/",Table1[[#This Row],[Category and Sub-Category]]))</f>
        <v>rock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 s="12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>((Table1[[#This Row],[deadline]]/60)/60/24)+DATE(1970,1,1)</f>
        <v>41609.889664351853</v>
      </c>
      <c r="K1628">
        <v>1383337267</v>
      </c>
      <c r="L1628" s="11">
        <f>((Table1[[#This Row],[launched_at]]/60)/60/24)+DATE(1970,1,1)</f>
        <v>41579.847997685189</v>
      </c>
      <c r="M1628">
        <f>MONTH(Table1[[#This Row],[Date Created Conversion]])</f>
        <v>11</v>
      </c>
      <c r="N1628">
        <f>YEAR(Table1[[#This Row],[Date Created Conversion]])</f>
        <v>2013</v>
      </c>
      <c r="O1628" t="b">
        <v>0</v>
      </c>
      <c r="P1628">
        <v>108</v>
      </c>
      <c r="Q1628" t="b">
        <v>1</v>
      </c>
      <c r="R1628" t="s">
        <v>8276</v>
      </c>
      <c r="S1628" s="6">
        <f>Table1[[#This Row],[pledged]]/Table1[[#This Row],[goal]]</f>
        <v>1.0118750000000001</v>
      </c>
      <c r="T1628" s="8">
        <f>IF(Table1[[#This Row],[pledged]]=0,"no backers",Table1[[#This Row],[pledged]]/Table1[[#This Row],[backers_count]])</f>
        <v>74.953703703703709</v>
      </c>
      <c r="U1628" t="str">
        <f>LEFT(Table1[[#This Row],[Category and Sub-Category]],FIND("/",Table1[[#This Row],[Category and Sub-Category]])-1)</f>
        <v>music</v>
      </c>
      <c r="V1628" t="str">
        <f>RIGHT(Table1[[#This Row],[Category and Sub-Category]],LEN(Table1[[#This Row],[Category and Sub-Category]])-FIND("/",Table1[[#This Row],[Category and Sub-Category]]))</f>
        <v>rock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 s="12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>((Table1[[#This Row],[deadline]]/60)/60/24)+DATE(1970,1,1)</f>
        <v>41239.207638888889</v>
      </c>
      <c r="K1629">
        <v>1351011489</v>
      </c>
      <c r="L1629" s="11">
        <f>((Table1[[#This Row],[launched_at]]/60)/60/24)+DATE(1970,1,1)</f>
        <v>41205.707048611112</v>
      </c>
      <c r="M1629">
        <f>MONTH(Table1[[#This Row],[Date Created Conversion]])</f>
        <v>10</v>
      </c>
      <c r="N1629">
        <f>YEAR(Table1[[#This Row],[Date Created Conversion]])</f>
        <v>2012</v>
      </c>
      <c r="O1629" t="b">
        <v>0</v>
      </c>
      <c r="P1629">
        <v>38</v>
      </c>
      <c r="Q1629" t="b">
        <v>1</v>
      </c>
      <c r="R1629" t="s">
        <v>8276</v>
      </c>
      <c r="S1629" s="6">
        <f>Table1[[#This Row],[pledged]]/Table1[[#This Row],[goal]]</f>
        <v>1.17</v>
      </c>
      <c r="T1629" s="8">
        <f>IF(Table1[[#This Row],[pledged]]=0,"no backers",Table1[[#This Row],[pledged]]/Table1[[#This Row],[backers_count]])</f>
        <v>61.578947368421055</v>
      </c>
      <c r="U1629" t="str">
        <f>LEFT(Table1[[#This Row],[Category and Sub-Category]],FIND("/",Table1[[#This Row],[Category and Sub-Category]])-1)</f>
        <v>music</v>
      </c>
      <c r="V1629" t="str">
        <f>RIGHT(Table1[[#This Row],[Category and Sub-Category]],LEN(Table1[[#This Row],[Category and Sub-Category]])-FIND("/",Table1[[#This Row],[Category and Sub-Category]]))</f>
        <v>rock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 s="12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>((Table1[[#This Row],[deadline]]/60)/60/24)+DATE(1970,1,1)</f>
        <v>41807.737060185187</v>
      </c>
      <c r="K1630">
        <v>1400175682</v>
      </c>
      <c r="L1630" s="11">
        <f>((Table1[[#This Row],[launched_at]]/60)/60/24)+DATE(1970,1,1)</f>
        <v>41774.737060185187</v>
      </c>
      <c r="M1630">
        <f>MONTH(Table1[[#This Row],[Date Created Conversion]])</f>
        <v>5</v>
      </c>
      <c r="N1630">
        <f>YEAR(Table1[[#This Row],[Date Created Conversion]])</f>
        <v>2014</v>
      </c>
      <c r="O1630" t="b">
        <v>0</v>
      </c>
      <c r="P1630">
        <v>88</v>
      </c>
      <c r="Q1630" t="b">
        <v>1</v>
      </c>
      <c r="R1630" t="s">
        <v>8276</v>
      </c>
      <c r="S1630" s="6">
        <f>Table1[[#This Row],[pledged]]/Table1[[#This Row],[goal]]</f>
        <v>1.00925</v>
      </c>
      <c r="T1630" s="8">
        <f>IF(Table1[[#This Row],[pledged]]=0,"no backers",Table1[[#This Row],[pledged]]/Table1[[#This Row],[backers_count]])</f>
        <v>45.875</v>
      </c>
      <c r="U1630" t="str">
        <f>LEFT(Table1[[#This Row],[Category and Sub-Category]],FIND("/",Table1[[#This Row],[Category and Sub-Category]])-1)</f>
        <v>music</v>
      </c>
      <c r="V1630" t="str">
        <f>RIGHT(Table1[[#This Row],[Category and Sub-Category]],LEN(Table1[[#This Row],[Category and Sub-Category]])-FIND("/",Table1[[#This Row],[Category and Sub-Category]]))</f>
        <v>rock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 s="12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>((Table1[[#This Row],[deadline]]/60)/60/24)+DATE(1970,1,1)</f>
        <v>41690.867280092592</v>
      </c>
      <c r="K1631">
        <v>1389041333</v>
      </c>
      <c r="L1631" s="11">
        <f>((Table1[[#This Row],[launched_at]]/60)/60/24)+DATE(1970,1,1)</f>
        <v>41645.867280092592</v>
      </c>
      <c r="M1631">
        <f>MONTH(Table1[[#This Row],[Date Created Conversion]])</f>
        <v>1</v>
      </c>
      <c r="N1631">
        <f>YEAR(Table1[[#This Row],[Date Created Conversion]])</f>
        <v>2014</v>
      </c>
      <c r="O1631" t="b">
        <v>0</v>
      </c>
      <c r="P1631">
        <v>82</v>
      </c>
      <c r="Q1631" t="b">
        <v>1</v>
      </c>
      <c r="R1631" t="s">
        <v>8276</v>
      </c>
      <c r="S1631" s="6">
        <f>Table1[[#This Row],[pledged]]/Table1[[#This Row],[goal]]</f>
        <v>1.0366666666666666</v>
      </c>
      <c r="T1631" s="8">
        <f>IF(Table1[[#This Row],[pledged]]=0,"no backers",Table1[[#This Row],[pledged]]/Table1[[#This Row],[backers_count]])</f>
        <v>75.853658536585371</v>
      </c>
      <c r="U1631" t="str">
        <f>LEFT(Table1[[#This Row],[Category and Sub-Category]],FIND("/",Table1[[#This Row],[Category and Sub-Category]])-1)</f>
        <v>music</v>
      </c>
      <c r="V1631" t="str">
        <f>RIGHT(Table1[[#This Row],[Category and Sub-Category]],LEN(Table1[[#This Row],[Category and Sub-Category]])-FIND("/",Table1[[#This Row],[Category and Sub-Category]]))</f>
        <v>rock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 s="1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>((Table1[[#This Row],[deadline]]/60)/60/24)+DATE(1970,1,1)</f>
        <v>40970.290972222225</v>
      </c>
      <c r="K1632">
        <v>1328040375</v>
      </c>
      <c r="L1632" s="11">
        <f>((Table1[[#This Row],[launched_at]]/60)/60/24)+DATE(1970,1,1)</f>
        <v>40939.837673611109</v>
      </c>
      <c r="M1632">
        <f>MONTH(Table1[[#This Row],[Date Created Conversion]])</f>
        <v>1</v>
      </c>
      <c r="N1632">
        <f>YEAR(Table1[[#This Row],[Date Created Conversion]])</f>
        <v>2012</v>
      </c>
      <c r="O1632" t="b">
        <v>0</v>
      </c>
      <c r="P1632">
        <v>126</v>
      </c>
      <c r="Q1632" t="b">
        <v>1</v>
      </c>
      <c r="R1632" t="s">
        <v>8276</v>
      </c>
      <c r="S1632" s="6">
        <f>Table1[[#This Row],[pledged]]/Table1[[#This Row],[goal]]</f>
        <v>2.6524999999999999</v>
      </c>
      <c r="T1632" s="8">
        <f>IF(Table1[[#This Row],[pledged]]=0,"no backers",Table1[[#This Row],[pledged]]/Table1[[#This Row],[backers_count]])</f>
        <v>84.206349206349202</v>
      </c>
      <c r="U1632" t="str">
        <f>LEFT(Table1[[#This Row],[Category and Sub-Category]],FIND("/",Table1[[#This Row],[Category and Sub-Category]])-1)</f>
        <v>music</v>
      </c>
      <c r="V1632" t="str">
        <f>RIGHT(Table1[[#This Row],[Category and Sub-Category]],LEN(Table1[[#This Row],[Category and Sub-Category]])-FIND("/",Table1[[#This Row],[Category and Sub-Category]]))</f>
        <v>rock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 s="12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>((Table1[[#This Row],[deadline]]/60)/60/24)+DATE(1970,1,1)</f>
        <v>41194.859502314815</v>
      </c>
      <c r="K1633">
        <v>1347482261</v>
      </c>
      <c r="L1633" s="11">
        <f>((Table1[[#This Row],[launched_at]]/60)/60/24)+DATE(1970,1,1)</f>
        <v>41164.859502314815</v>
      </c>
      <c r="M1633">
        <f>MONTH(Table1[[#This Row],[Date Created Conversion]])</f>
        <v>9</v>
      </c>
      <c r="N1633">
        <f>YEAR(Table1[[#This Row],[Date Created Conversion]])</f>
        <v>2012</v>
      </c>
      <c r="O1633" t="b">
        <v>0</v>
      </c>
      <c r="P1633">
        <v>133</v>
      </c>
      <c r="Q1633" t="b">
        <v>1</v>
      </c>
      <c r="R1633" t="s">
        <v>8276</v>
      </c>
      <c r="S1633" s="6">
        <f>Table1[[#This Row],[pledged]]/Table1[[#This Row],[goal]]</f>
        <v>1.5590999999999999</v>
      </c>
      <c r="T1633" s="8">
        <f>IF(Table1[[#This Row],[pledged]]=0,"no backers",Table1[[#This Row],[pledged]]/Table1[[#This Row],[backers_count]])</f>
        <v>117.22556390977444</v>
      </c>
      <c r="U1633" t="str">
        <f>LEFT(Table1[[#This Row],[Category and Sub-Category]],FIND("/",Table1[[#This Row],[Category and Sub-Category]])-1)</f>
        <v>music</v>
      </c>
      <c r="V1633" t="str">
        <f>RIGHT(Table1[[#This Row],[Category and Sub-Category]],LEN(Table1[[#This Row],[Category and Sub-Category]])-FIND("/",Table1[[#This Row],[Category and Sub-Category]]))</f>
        <v>rock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 s="12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>((Table1[[#This Row],[deadline]]/60)/60/24)+DATE(1970,1,1)</f>
        <v>40810.340902777774</v>
      </c>
      <c r="K1634">
        <v>1311667854</v>
      </c>
      <c r="L1634" s="11">
        <f>((Table1[[#This Row],[launched_at]]/60)/60/24)+DATE(1970,1,1)</f>
        <v>40750.340902777774</v>
      </c>
      <c r="M1634">
        <f>MONTH(Table1[[#This Row],[Date Created Conversion]])</f>
        <v>7</v>
      </c>
      <c r="N1634">
        <f>YEAR(Table1[[#This Row],[Date Created Conversion]])</f>
        <v>2011</v>
      </c>
      <c r="O1634" t="b">
        <v>0</v>
      </c>
      <c r="P1634">
        <v>47</v>
      </c>
      <c r="Q1634" t="b">
        <v>1</v>
      </c>
      <c r="R1634" t="s">
        <v>8276</v>
      </c>
      <c r="S1634" s="6">
        <f>Table1[[#This Row],[pledged]]/Table1[[#This Row],[goal]]</f>
        <v>1.0162500000000001</v>
      </c>
      <c r="T1634" s="8">
        <f>IF(Table1[[#This Row],[pledged]]=0,"no backers",Table1[[#This Row],[pledged]]/Table1[[#This Row],[backers_count]])</f>
        <v>86.489361702127653</v>
      </c>
      <c r="U1634" t="str">
        <f>LEFT(Table1[[#This Row],[Category and Sub-Category]],FIND("/",Table1[[#This Row],[Category and Sub-Category]])-1)</f>
        <v>music</v>
      </c>
      <c r="V1634" t="str">
        <f>RIGHT(Table1[[#This Row],[Category and Sub-Category]],LEN(Table1[[#This Row],[Category and Sub-Category]])-FIND("/",Table1[[#This Row],[Category and Sub-Category]]))</f>
        <v>rock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 s="12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>((Table1[[#This Row],[deadline]]/60)/60/24)+DATE(1970,1,1)</f>
        <v>40924.208333333336</v>
      </c>
      <c r="K1635">
        <v>1324329156</v>
      </c>
      <c r="L1635" s="11">
        <f>((Table1[[#This Row],[launched_at]]/60)/60/24)+DATE(1970,1,1)</f>
        <v>40896.883750000001</v>
      </c>
      <c r="M1635">
        <f>MONTH(Table1[[#This Row],[Date Created Conversion]])</f>
        <v>12</v>
      </c>
      <c r="N1635">
        <f>YEAR(Table1[[#This Row],[Date Created Conversion]])</f>
        <v>2011</v>
      </c>
      <c r="O1635" t="b">
        <v>0</v>
      </c>
      <c r="P1635">
        <v>58</v>
      </c>
      <c r="Q1635" t="b">
        <v>1</v>
      </c>
      <c r="R1635" t="s">
        <v>8276</v>
      </c>
      <c r="S1635" s="6">
        <f>Table1[[#This Row],[pledged]]/Table1[[#This Row],[goal]]</f>
        <v>1</v>
      </c>
      <c r="T1635" s="8">
        <f>IF(Table1[[#This Row],[pledged]]=0,"no backers",Table1[[#This Row],[pledged]]/Table1[[#This Row],[backers_count]])</f>
        <v>172.41379310344828</v>
      </c>
      <c r="U1635" t="str">
        <f>LEFT(Table1[[#This Row],[Category and Sub-Category]],FIND("/",Table1[[#This Row],[Category and Sub-Category]])-1)</f>
        <v>music</v>
      </c>
      <c r="V1635" t="str">
        <f>RIGHT(Table1[[#This Row],[Category and Sub-Category]],LEN(Table1[[#This Row],[Category and Sub-Category]])-FIND("/",Table1[[#This Row],[Category and Sub-Category]]))</f>
        <v>rock</v>
      </c>
    </row>
    <row r="1636" spans="1:22" ht="43.2" x14ac:dyDescent="0.3">
      <c r="A1636">
        <v>1634</v>
      </c>
      <c r="B1636" s="3" t="s">
        <v>1635</v>
      </c>
      <c r="C1636" s="3" t="s">
        <v>5744</v>
      </c>
      <c r="D1636" s="12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>((Table1[[#This Row],[deadline]]/60)/60/24)+DATE(1970,1,1)</f>
        <v>40696.249305555553</v>
      </c>
      <c r="K1636">
        <v>1303706001</v>
      </c>
      <c r="L1636" s="11">
        <f>((Table1[[#This Row],[launched_at]]/60)/60/24)+DATE(1970,1,1)</f>
        <v>40658.189826388887</v>
      </c>
      <c r="M1636">
        <f>MONTH(Table1[[#This Row],[Date Created Conversion]])</f>
        <v>4</v>
      </c>
      <c r="N1636">
        <f>YEAR(Table1[[#This Row],[Date Created Conversion]])</f>
        <v>2011</v>
      </c>
      <c r="O1636" t="b">
        <v>0</v>
      </c>
      <c r="P1636">
        <v>32</v>
      </c>
      <c r="Q1636" t="b">
        <v>1</v>
      </c>
      <c r="R1636" t="s">
        <v>8276</v>
      </c>
      <c r="S1636" s="6">
        <f>Table1[[#This Row],[pledged]]/Table1[[#This Row],[goal]]</f>
        <v>1.0049999999999999</v>
      </c>
      <c r="T1636" s="8">
        <f>IF(Table1[[#This Row],[pledged]]=0,"no backers",Table1[[#This Row],[pledged]]/Table1[[#This Row],[backers_count]])</f>
        <v>62.8125</v>
      </c>
      <c r="U1636" t="str">
        <f>LEFT(Table1[[#This Row],[Category and Sub-Category]],FIND("/",Table1[[#This Row],[Category and Sub-Category]])-1)</f>
        <v>music</v>
      </c>
      <c r="V1636" t="str">
        <f>RIGHT(Table1[[#This Row],[Category and Sub-Category]],LEN(Table1[[#This Row],[Category and Sub-Category]])-FIND("/",Table1[[#This Row],[Category and Sub-Category]]))</f>
        <v>rock</v>
      </c>
    </row>
    <row r="1637" spans="1:22" ht="57.6" x14ac:dyDescent="0.3">
      <c r="A1637">
        <v>1635</v>
      </c>
      <c r="B1637" s="3" t="s">
        <v>1636</v>
      </c>
      <c r="C1637" s="3" t="s">
        <v>5745</v>
      </c>
      <c r="D1637" s="12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>((Table1[[#This Row],[deadline]]/60)/60/24)+DATE(1970,1,1)</f>
        <v>42562.868761574078</v>
      </c>
      <c r="K1637">
        <v>1463086261</v>
      </c>
      <c r="L1637" s="11">
        <f>((Table1[[#This Row],[launched_at]]/60)/60/24)+DATE(1970,1,1)</f>
        <v>42502.868761574078</v>
      </c>
      <c r="M1637">
        <f>MONTH(Table1[[#This Row],[Date Created Conversion]])</f>
        <v>5</v>
      </c>
      <c r="N1637">
        <f>YEAR(Table1[[#This Row],[Date Created Conversion]])</f>
        <v>2016</v>
      </c>
      <c r="O1637" t="b">
        <v>0</v>
      </c>
      <c r="P1637">
        <v>37</v>
      </c>
      <c r="Q1637" t="b">
        <v>1</v>
      </c>
      <c r="R1637" t="s">
        <v>8276</v>
      </c>
      <c r="S1637" s="6">
        <f>Table1[[#This Row],[pledged]]/Table1[[#This Row],[goal]]</f>
        <v>1.2529999999999999</v>
      </c>
      <c r="T1637" s="8">
        <f>IF(Table1[[#This Row],[pledged]]=0,"no backers",Table1[[#This Row],[pledged]]/Table1[[#This Row],[backers_count]])</f>
        <v>67.729729729729726</v>
      </c>
      <c r="U1637" t="str">
        <f>LEFT(Table1[[#This Row],[Category and Sub-Category]],FIND("/",Table1[[#This Row],[Category and Sub-Category]])-1)</f>
        <v>music</v>
      </c>
      <c r="V1637" t="str">
        <f>RIGHT(Table1[[#This Row],[Category and Sub-Category]],LEN(Table1[[#This Row],[Category and Sub-Category]])-FIND("/",Table1[[#This Row],[Category and Sub-Category]]))</f>
        <v>rock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 s="12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>((Table1[[#This Row],[deadline]]/60)/60/24)+DATE(1970,1,1)</f>
        <v>40706.166666666664</v>
      </c>
      <c r="K1638">
        <v>1304129088</v>
      </c>
      <c r="L1638" s="11">
        <f>((Table1[[#This Row],[launched_at]]/60)/60/24)+DATE(1970,1,1)</f>
        <v>40663.08666666667</v>
      </c>
      <c r="M1638">
        <f>MONTH(Table1[[#This Row],[Date Created Conversion]])</f>
        <v>4</v>
      </c>
      <c r="N1638">
        <f>YEAR(Table1[[#This Row],[Date Created Conversion]])</f>
        <v>2011</v>
      </c>
      <c r="O1638" t="b">
        <v>0</v>
      </c>
      <c r="P1638">
        <v>87</v>
      </c>
      <c r="Q1638" t="b">
        <v>1</v>
      </c>
      <c r="R1638" t="s">
        <v>8276</v>
      </c>
      <c r="S1638" s="6">
        <f>Table1[[#This Row],[pledged]]/Table1[[#This Row],[goal]]</f>
        <v>1.0355555555555556</v>
      </c>
      <c r="T1638" s="8">
        <f>IF(Table1[[#This Row],[pledged]]=0,"no backers",Table1[[#This Row],[pledged]]/Table1[[#This Row],[backers_count]])</f>
        <v>53.5632183908046</v>
      </c>
      <c r="U1638" t="str">
        <f>LEFT(Table1[[#This Row],[Category and Sub-Category]],FIND("/",Table1[[#This Row],[Category and Sub-Category]])-1)</f>
        <v>music</v>
      </c>
      <c r="V1638" t="str">
        <f>RIGHT(Table1[[#This Row],[Category and Sub-Category]],LEN(Table1[[#This Row],[Category and Sub-Category]])-FIND("/",Table1[[#This Row],[Category and Sub-Category]]))</f>
        <v>rock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 s="12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>((Table1[[#This Row],[deadline]]/60)/60/24)+DATE(1970,1,1)</f>
        <v>40178.98541666667</v>
      </c>
      <c r="K1639">
        <v>1257444140</v>
      </c>
      <c r="L1639" s="11">
        <f>((Table1[[#This Row],[launched_at]]/60)/60/24)+DATE(1970,1,1)</f>
        <v>40122.751620370371</v>
      </c>
      <c r="M1639">
        <f>MONTH(Table1[[#This Row],[Date Created Conversion]])</f>
        <v>11</v>
      </c>
      <c r="N1639">
        <f>YEAR(Table1[[#This Row],[Date Created Conversion]])</f>
        <v>2009</v>
      </c>
      <c r="O1639" t="b">
        <v>0</v>
      </c>
      <c r="P1639">
        <v>15</v>
      </c>
      <c r="Q1639" t="b">
        <v>1</v>
      </c>
      <c r="R1639" t="s">
        <v>8276</v>
      </c>
      <c r="S1639" s="6">
        <f>Table1[[#This Row],[pledged]]/Table1[[#This Row],[goal]]</f>
        <v>1.038</v>
      </c>
      <c r="T1639" s="8">
        <f>IF(Table1[[#This Row],[pledged]]=0,"no backers",Table1[[#This Row],[pledged]]/Table1[[#This Row],[backers_count]])</f>
        <v>34.6</v>
      </c>
      <c r="U1639" t="str">
        <f>LEFT(Table1[[#This Row],[Category and Sub-Category]],FIND("/",Table1[[#This Row],[Category and Sub-Category]])-1)</f>
        <v>music</v>
      </c>
      <c r="V1639" t="str">
        <f>RIGHT(Table1[[#This Row],[Category and Sub-Category]],LEN(Table1[[#This Row],[Category and Sub-Category]])-FIND("/",Table1[[#This Row],[Category and Sub-Category]]))</f>
        <v>rock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 s="12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>((Table1[[#This Row],[deadline]]/60)/60/24)+DATE(1970,1,1)</f>
        <v>41333.892361111109</v>
      </c>
      <c r="K1640">
        <v>1358180968</v>
      </c>
      <c r="L1640" s="11">
        <f>((Table1[[#This Row],[launched_at]]/60)/60/24)+DATE(1970,1,1)</f>
        <v>41288.68712962963</v>
      </c>
      <c r="M1640">
        <f>MONTH(Table1[[#This Row],[Date Created Conversion]])</f>
        <v>1</v>
      </c>
      <c r="N1640">
        <f>YEAR(Table1[[#This Row],[Date Created Conversion]])</f>
        <v>2013</v>
      </c>
      <c r="O1640" t="b">
        <v>0</v>
      </c>
      <c r="P1640">
        <v>27</v>
      </c>
      <c r="Q1640" t="b">
        <v>1</v>
      </c>
      <c r="R1640" t="s">
        <v>8276</v>
      </c>
      <c r="S1640" s="6">
        <f>Table1[[#This Row],[pledged]]/Table1[[#This Row],[goal]]</f>
        <v>1.05</v>
      </c>
      <c r="T1640" s="8">
        <f>IF(Table1[[#This Row],[pledged]]=0,"no backers",Table1[[#This Row],[pledged]]/Table1[[#This Row],[backers_count]])</f>
        <v>38.888888888888886</v>
      </c>
      <c r="U1640" t="str">
        <f>LEFT(Table1[[#This Row],[Category and Sub-Category]],FIND("/",Table1[[#This Row],[Category and Sub-Category]])-1)</f>
        <v>music</v>
      </c>
      <c r="V1640" t="str">
        <f>RIGHT(Table1[[#This Row],[Category and Sub-Category]],LEN(Table1[[#This Row],[Category and Sub-Category]])-FIND("/",Table1[[#This Row],[Category and Sub-Category]]))</f>
        <v>rock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 s="12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>((Table1[[#This Row],[deadline]]/60)/60/24)+DATE(1970,1,1)</f>
        <v>40971.652372685188</v>
      </c>
      <c r="K1641">
        <v>1328197165</v>
      </c>
      <c r="L1641" s="11">
        <f>((Table1[[#This Row],[launched_at]]/60)/60/24)+DATE(1970,1,1)</f>
        <v>40941.652372685188</v>
      </c>
      <c r="M1641">
        <f>MONTH(Table1[[#This Row],[Date Created Conversion]])</f>
        <v>2</v>
      </c>
      <c r="N1641">
        <f>YEAR(Table1[[#This Row],[Date Created Conversion]])</f>
        <v>2012</v>
      </c>
      <c r="O1641" t="b">
        <v>0</v>
      </c>
      <c r="P1641">
        <v>19</v>
      </c>
      <c r="Q1641" t="b">
        <v>1</v>
      </c>
      <c r="R1641" t="s">
        <v>8276</v>
      </c>
      <c r="S1641" s="6">
        <f>Table1[[#This Row],[pledged]]/Table1[[#This Row],[goal]]</f>
        <v>1</v>
      </c>
      <c r="T1641" s="8">
        <f>IF(Table1[[#This Row],[pledged]]=0,"no backers",Table1[[#This Row],[pledged]]/Table1[[#This Row],[backers_count]])</f>
        <v>94.736842105263165</v>
      </c>
      <c r="U1641" t="str">
        <f>LEFT(Table1[[#This Row],[Category and Sub-Category]],FIND("/",Table1[[#This Row],[Category and Sub-Category]])-1)</f>
        <v>music</v>
      </c>
      <c r="V1641" t="str">
        <f>RIGHT(Table1[[#This Row],[Category and Sub-Category]],LEN(Table1[[#This Row],[Category and Sub-Category]])-FIND("/",Table1[[#This Row],[Category and Sub-Category]]))</f>
        <v>rock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 s="1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>((Table1[[#This Row],[deadline]]/60)/60/24)+DATE(1970,1,1)</f>
        <v>40393.082638888889</v>
      </c>
      <c r="K1642">
        <v>1279603955</v>
      </c>
      <c r="L1642" s="11">
        <f>((Table1[[#This Row],[launched_at]]/60)/60/24)+DATE(1970,1,1)</f>
        <v>40379.23096064815</v>
      </c>
      <c r="M1642">
        <f>MONTH(Table1[[#This Row],[Date Created Conversion]])</f>
        <v>7</v>
      </c>
      <c r="N1642">
        <f>YEAR(Table1[[#This Row],[Date Created Conversion]])</f>
        <v>2010</v>
      </c>
      <c r="O1642" t="b">
        <v>0</v>
      </c>
      <c r="P1642">
        <v>17</v>
      </c>
      <c r="Q1642" t="b">
        <v>1</v>
      </c>
      <c r="R1642" t="s">
        <v>8276</v>
      </c>
      <c r="S1642" s="6">
        <f>Table1[[#This Row],[pledged]]/Table1[[#This Row],[goal]]</f>
        <v>1.6986000000000001</v>
      </c>
      <c r="T1642" s="8">
        <f>IF(Table1[[#This Row],[pledged]]=0,"no backers",Table1[[#This Row],[pledged]]/Table1[[#This Row],[backers_count]])</f>
        <v>39.967058823529413</v>
      </c>
      <c r="U1642" t="str">
        <f>LEFT(Table1[[#This Row],[Category and Sub-Category]],FIND("/",Table1[[#This Row],[Category and Sub-Category]])-1)</f>
        <v>music</v>
      </c>
      <c r="V1642" t="str">
        <f>RIGHT(Table1[[#This Row],[Category and Sub-Category]],LEN(Table1[[#This Row],[Category and Sub-Category]])-FIND("/",Table1[[#This Row],[Category and Sub-Category]]))</f>
        <v>rock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 s="12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>((Table1[[#This Row],[deadline]]/60)/60/24)+DATE(1970,1,1)</f>
        <v>41992.596574074079</v>
      </c>
      <c r="K1643">
        <v>1416406744</v>
      </c>
      <c r="L1643" s="11">
        <f>((Table1[[#This Row],[launched_at]]/60)/60/24)+DATE(1970,1,1)</f>
        <v>41962.596574074079</v>
      </c>
      <c r="M1643">
        <f>MONTH(Table1[[#This Row],[Date Created Conversion]])</f>
        <v>11</v>
      </c>
      <c r="N1643">
        <f>YEAR(Table1[[#This Row],[Date Created Conversion]])</f>
        <v>2014</v>
      </c>
      <c r="O1643" t="b">
        <v>0</v>
      </c>
      <c r="P1643">
        <v>26</v>
      </c>
      <c r="Q1643" t="b">
        <v>1</v>
      </c>
      <c r="R1643" t="s">
        <v>8292</v>
      </c>
      <c r="S1643" s="6">
        <f>Table1[[#This Row],[pledged]]/Table1[[#This Row],[goal]]</f>
        <v>1.014</v>
      </c>
      <c r="T1643" s="8">
        <f>IF(Table1[[#This Row],[pledged]]=0,"no backers",Table1[[#This Row],[pledged]]/Table1[[#This Row],[backers_count]])</f>
        <v>97.5</v>
      </c>
      <c r="U1643" t="str">
        <f>LEFT(Table1[[#This Row],[Category and Sub-Category]],FIND("/",Table1[[#This Row],[Category and Sub-Category]])-1)</f>
        <v>music</v>
      </c>
      <c r="V1643" t="str">
        <f>RIGHT(Table1[[#This Row],[Category and Sub-Category]],LEN(Table1[[#This Row],[Category and Sub-Category]])-FIND("/",Table1[[#This Row],[Category and Sub-Category]]))</f>
        <v>pop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 s="12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>((Table1[[#This Row],[deadline]]/60)/60/24)+DATE(1970,1,1)</f>
        <v>40708.024618055555</v>
      </c>
      <c r="K1644">
        <v>1306283727</v>
      </c>
      <c r="L1644" s="11">
        <f>((Table1[[#This Row],[launched_at]]/60)/60/24)+DATE(1970,1,1)</f>
        <v>40688.024618055555</v>
      </c>
      <c r="M1644">
        <f>MONTH(Table1[[#This Row],[Date Created Conversion]])</f>
        <v>5</v>
      </c>
      <c r="N1644">
        <f>YEAR(Table1[[#This Row],[Date Created Conversion]])</f>
        <v>2011</v>
      </c>
      <c r="O1644" t="b">
        <v>0</v>
      </c>
      <c r="P1644">
        <v>28</v>
      </c>
      <c r="Q1644" t="b">
        <v>1</v>
      </c>
      <c r="R1644" t="s">
        <v>8292</v>
      </c>
      <c r="S1644" s="6">
        <f>Table1[[#This Row],[pledged]]/Table1[[#This Row],[goal]]</f>
        <v>1</v>
      </c>
      <c r="T1644" s="8">
        <f>IF(Table1[[#This Row],[pledged]]=0,"no backers",Table1[[#This Row],[pledged]]/Table1[[#This Row],[backers_count]])</f>
        <v>42.857142857142854</v>
      </c>
      <c r="U1644" t="str">
        <f>LEFT(Table1[[#This Row],[Category and Sub-Category]],FIND("/",Table1[[#This Row],[Category and Sub-Category]])-1)</f>
        <v>music</v>
      </c>
      <c r="V1644" t="str">
        <f>RIGHT(Table1[[#This Row],[Category and Sub-Category]],LEN(Table1[[#This Row],[Category and Sub-Category]])-FIND("/",Table1[[#This Row],[Category and Sub-Category]]))</f>
        <v>pop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 s="12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>((Table1[[#This Row],[deadline]]/60)/60/24)+DATE(1970,1,1)</f>
        <v>41176.824212962965</v>
      </c>
      <c r="K1645">
        <v>1345924012</v>
      </c>
      <c r="L1645" s="11">
        <f>((Table1[[#This Row],[launched_at]]/60)/60/24)+DATE(1970,1,1)</f>
        <v>41146.824212962965</v>
      </c>
      <c r="M1645">
        <f>MONTH(Table1[[#This Row],[Date Created Conversion]])</f>
        <v>8</v>
      </c>
      <c r="N1645">
        <f>YEAR(Table1[[#This Row],[Date Created Conversion]])</f>
        <v>2012</v>
      </c>
      <c r="O1645" t="b">
        <v>0</v>
      </c>
      <c r="P1645">
        <v>37</v>
      </c>
      <c r="Q1645" t="b">
        <v>1</v>
      </c>
      <c r="R1645" t="s">
        <v>8292</v>
      </c>
      <c r="S1645" s="6">
        <f>Table1[[#This Row],[pledged]]/Table1[[#This Row],[goal]]</f>
        <v>1.2470000000000001</v>
      </c>
      <c r="T1645" s="8">
        <f>IF(Table1[[#This Row],[pledged]]=0,"no backers",Table1[[#This Row],[pledged]]/Table1[[#This Row],[backers_count]])</f>
        <v>168.51351351351352</v>
      </c>
      <c r="U1645" t="str">
        <f>LEFT(Table1[[#This Row],[Category and Sub-Category]],FIND("/",Table1[[#This Row],[Category and Sub-Category]])-1)</f>
        <v>music</v>
      </c>
      <c r="V1645" t="str">
        <f>RIGHT(Table1[[#This Row],[Category and Sub-Category]],LEN(Table1[[#This Row],[Category and Sub-Category]])-FIND("/",Table1[[#This Row],[Category and Sub-Category]]))</f>
        <v>pop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 s="12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>((Table1[[#This Row],[deadline]]/60)/60/24)+DATE(1970,1,1)</f>
        <v>41235.101388888892</v>
      </c>
      <c r="K1646">
        <v>1348363560</v>
      </c>
      <c r="L1646" s="11">
        <f>((Table1[[#This Row],[launched_at]]/60)/60/24)+DATE(1970,1,1)</f>
        <v>41175.05972222222</v>
      </c>
      <c r="M1646">
        <f>MONTH(Table1[[#This Row],[Date Created Conversion]])</f>
        <v>9</v>
      </c>
      <c r="N1646">
        <f>YEAR(Table1[[#This Row],[Date Created Conversion]])</f>
        <v>2012</v>
      </c>
      <c r="O1646" t="b">
        <v>0</v>
      </c>
      <c r="P1646">
        <v>128</v>
      </c>
      <c r="Q1646" t="b">
        <v>1</v>
      </c>
      <c r="R1646" t="s">
        <v>8292</v>
      </c>
      <c r="S1646" s="6">
        <f>Table1[[#This Row],[pledged]]/Table1[[#This Row],[goal]]</f>
        <v>1.095</v>
      </c>
      <c r="T1646" s="8">
        <f>IF(Table1[[#This Row],[pledged]]=0,"no backers",Table1[[#This Row],[pledged]]/Table1[[#This Row],[backers_count]])</f>
        <v>85.546875</v>
      </c>
      <c r="U1646" t="str">
        <f>LEFT(Table1[[#This Row],[Category and Sub-Category]],FIND("/",Table1[[#This Row],[Category and Sub-Category]])-1)</f>
        <v>music</v>
      </c>
      <c r="V1646" t="str">
        <f>RIGHT(Table1[[#This Row],[Category and Sub-Category]],LEN(Table1[[#This Row],[Category and Sub-Category]])-FIND("/",Table1[[#This Row],[Category and Sub-Category]]))</f>
        <v>pop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 s="12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>((Table1[[#This Row],[deadline]]/60)/60/24)+DATE(1970,1,1)</f>
        <v>41535.617361111108</v>
      </c>
      <c r="K1647">
        <v>1378306140</v>
      </c>
      <c r="L1647" s="11">
        <f>((Table1[[#This Row],[launched_at]]/60)/60/24)+DATE(1970,1,1)</f>
        <v>41521.617361111108</v>
      </c>
      <c r="M1647">
        <f>MONTH(Table1[[#This Row],[Date Created Conversion]])</f>
        <v>9</v>
      </c>
      <c r="N1647">
        <f>YEAR(Table1[[#This Row],[Date Created Conversion]])</f>
        <v>2013</v>
      </c>
      <c r="O1647" t="b">
        <v>0</v>
      </c>
      <c r="P1647">
        <v>10</v>
      </c>
      <c r="Q1647" t="b">
        <v>1</v>
      </c>
      <c r="R1647" t="s">
        <v>8292</v>
      </c>
      <c r="S1647" s="6">
        <f>Table1[[#This Row],[pledged]]/Table1[[#This Row],[goal]]</f>
        <v>1.1080000000000001</v>
      </c>
      <c r="T1647" s="8">
        <f>IF(Table1[[#This Row],[pledged]]=0,"no backers",Table1[[#This Row],[pledged]]/Table1[[#This Row],[backers_count]])</f>
        <v>554</v>
      </c>
      <c r="U1647" t="str">
        <f>LEFT(Table1[[#This Row],[Category and Sub-Category]],FIND("/",Table1[[#This Row],[Category and Sub-Category]])-1)</f>
        <v>music</v>
      </c>
      <c r="V1647" t="str">
        <f>RIGHT(Table1[[#This Row],[Category and Sub-Category]],LEN(Table1[[#This Row],[Category and Sub-Category]])-FIND("/",Table1[[#This Row],[Category and Sub-Category]]))</f>
        <v>pop</v>
      </c>
    </row>
    <row r="1648" spans="1:22" ht="57.6" x14ac:dyDescent="0.3">
      <c r="A1648">
        <v>1646</v>
      </c>
      <c r="B1648" s="3" t="s">
        <v>1647</v>
      </c>
      <c r="C1648" s="3" t="s">
        <v>5756</v>
      </c>
      <c r="D1648" s="12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>((Table1[[#This Row],[deadline]]/60)/60/24)+DATE(1970,1,1)</f>
        <v>41865.757638888892</v>
      </c>
      <c r="K1648">
        <v>1405248503</v>
      </c>
      <c r="L1648" s="11">
        <f>((Table1[[#This Row],[launched_at]]/60)/60/24)+DATE(1970,1,1)</f>
        <v>41833.450266203705</v>
      </c>
      <c r="M1648">
        <f>MONTH(Table1[[#This Row],[Date Created Conversion]])</f>
        <v>7</v>
      </c>
      <c r="N1648">
        <f>YEAR(Table1[[#This Row],[Date Created Conversion]])</f>
        <v>2014</v>
      </c>
      <c r="O1648" t="b">
        <v>0</v>
      </c>
      <c r="P1648">
        <v>83</v>
      </c>
      <c r="Q1648" t="b">
        <v>1</v>
      </c>
      <c r="R1648" t="s">
        <v>8292</v>
      </c>
      <c r="S1648" s="6">
        <f>Table1[[#This Row],[pledged]]/Table1[[#This Row],[goal]]</f>
        <v>1.1020000000000001</v>
      </c>
      <c r="T1648" s="8">
        <f>IF(Table1[[#This Row],[pledged]]=0,"no backers",Table1[[#This Row],[pledged]]/Table1[[#This Row],[backers_count]])</f>
        <v>26.554216867469879</v>
      </c>
      <c r="U1648" t="str">
        <f>LEFT(Table1[[#This Row],[Category and Sub-Category]],FIND("/",Table1[[#This Row],[Category and Sub-Category]])-1)</f>
        <v>music</v>
      </c>
      <c r="V1648" t="str">
        <f>RIGHT(Table1[[#This Row],[Category and Sub-Category]],LEN(Table1[[#This Row],[Category and Sub-Category]])-FIND("/",Table1[[#This Row],[Category and Sub-Category]]))</f>
        <v>pop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 s="12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>((Table1[[#This Row],[deadline]]/60)/60/24)+DATE(1970,1,1)</f>
        <v>41069.409456018519</v>
      </c>
      <c r="K1649">
        <v>1336643377</v>
      </c>
      <c r="L1649" s="11">
        <f>((Table1[[#This Row],[launched_at]]/60)/60/24)+DATE(1970,1,1)</f>
        <v>41039.409456018519</v>
      </c>
      <c r="M1649">
        <f>MONTH(Table1[[#This Row],[Date Created Conversion]])</f>
        <v>5</v>
      </c>
      <c r="N1649">
        <f>YEAR(Table1[[#This Row],[Date Created Conversion]])</f>
        <v>2012</v>
      </c>
      <c r="O1649" t="b">
        <v>0</v>
      </c>
      <c r="P1649">
        <v>46</v>
      </c>
      <c r="Q1649" t="b">
        <v>1</v>
      </c>
      <c r="R1649" t="s">
        <v>8292</v>
      </c>
      <c r="S1649" s="6">
        <f>Table1[[#This Row],[pledged]]/Table1[[#This Row],[goal]]</f>
        <v>1.0471999999999999</v>
      </c>
      <c r="T1649" s="8">
        <f>IF(Table1[[#This Row],[pledged]]=0,"no backers",Table1[[#This Row],[pledged]]/Table1[[#This Row],[backers_count]])</f>
        <v>113.82608695652173</v>
      </c>
      <c r="U1649" t="str">
        <f>LEFT(Table1[[#This Row],[Category and Sub-Category]],FIND("/",Table1[[#This Row],[Category and Sub-Category]])-1)</f>
        <v>music</v>
      </c>
      <c r="V1649" t="str">
        <f>RIGHT(Table1[[#This Row],[Category and Sub-Category]],LEN(Table1[[#This Row],[Category and Sub-Category]])-FIND("/",Table1[[#This Row],[Category and Sub-Category]]))</f>
        <v>pop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 s="12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>((Table1[[#This Row],[deadline]]/60)/60/24)+DATE(1970,1,1)</f>
        <v>40622.662986111114</v>
      </c>
      <c r="K1650">
        <v>1298048082</v>
      </c>
      <c r="L1650" s="11">
        <f>((Table1[[#This Row],[launched_at]]/60)/60/24)+DATE(1970,1,1)</f>
        <v>40592.704652777778</v>
      </c>
      <c r="M1650">
        <f>MONTH(Table1[[#This Row],[Date Created Conversion]])</f>
        <v>2</v>
      </c>
      <c r="N1650">
        <f>YEAR(Table1[[#This Row],[Date Created Conversion]])</f>
        <v>2011</v>
      </c>
      <c r="O1650" t="b">
        <v>0</v>
      </c>
      <c r="P1650">
        <v>90</v>
      </c>
      <c r="Q1650" t="b">
        <v>1</v>
      </c>
      <c r="R1650" t="s">
        <v>8292</v>
      </c>
      <c r="S1650" s="6">
        <f>Table1[[#This Row],[pledged]]/Table1[[#This Row],[goal]]</f>
        <v>1.2526086956521738</v>
      </c>
      <c r="T1650" s="8">
        <f>IF(Table1[[#This Row],[pledged]]=0,"no backers",Table1[[#This Row],[pledged]]/Table1[[#This Row],[backers_count]])</f>
        <v>32.011111111111113</v>
      </c>
      <c r="U1650" t="str">
        <f>LEFT(Table1[[#This Row],[Category and Sub-Category]],FIND("/",Table1[[#This Row],[Category and Sub-Category]])-1)</f>
        <v>music</v>
      </c>
      <c r="V1650" t="str">
        <f>RIGHT(Table1[[#This Row],[Category and Sub-Category]],LEN(Table1[[#This Row],[Category and Sub-Category]])-FIND("/",Table1[[#This Row],[Category and Sub-Category]]))</f>
        <v>pop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 s="12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>((Table1[[#This Row],[deadline]]/60)/60/24)+DATE(1970,1,1)</f>
        <v>41782.684664351851</v>
      </c>
      <c r="K1651">
        <v>1396974355</v>
      </c>
      <c r="L1651" s="11">
        <f>((Table1[[#This Row],[launched_at]]/60)/60/24)+DATE(1970,1,1)</f>
        <v>41737.684664351851</v>
      </c>
      <c r="M1651">
        <f>MONTH(Table1[[#This Row],[Date Created Conversion]])</f>
        <v>4</v>
      </c>
      <c r="N1651">
        <f>YEAR(Table1[[#This Row],[Date Created Conversion]])</f>
        <v>2014</v>
      </c>
      <c r="O1651" t="b">
        <v>0</v>
      </c>
      <c r="P1651">
        <v>81</v>
      </c>
      <c r="Q1651" t="b">
        <v>1</v>
      </c>
      <c r="R1651" t="s">
        <v>8292</v>
      </c>
      <c r="S1651" s="6">
        <f>Table1[[#This Row],[pledged]]/Table1[[#This Row],[goal]]</f>
        <v>1.0058763157894737</v>
      </c>
      <c r="T1651" s="8">
        <f>IF(Table1[[#This Row],[pledged]]=0,"no backers",Table1[[#This Row],[pledged]]/Table1[[#This Row],[backers_count]])</f>
        <v>47.189259259259259</v>
      </c>
      <c r="U1651" t="str">
        <f>LEFT(Table1[[#This Row],[Category and Sub-Category]],FIND("/",Table1[[#This Row],[Category and Sub-Category]])-1)</f>
        <v>music</v>
      </c>
      <c r="V1651" t="str">
        <f>RIGHT(Table1[[#This Row],[Category and Sub-Category]],LEN(Table1[[#This Row],[Category and Sub-Category]])-FIND("/",Table1[[#This Row],[Category and Sub-Category]]))</f>
        <v>pop</v>
      </c>
    </row>
    <row r="1652" spans="1:22" ht="43.2" x14ac:dyDescent="0.3">
      <c r="A1652">
        <v>1650</v>
      </c>
      <c r="B1652" s="3" t="s">
        <v>1651</v>
      </c>
      <c r="C1652" s="3" t="s">
        <v>5760</v>
      </c>
      <c r="D1652" s="1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>((Table1[[#This Row],[deadline]]/60)/60/24)+DATE(1970,1,1)</f>
        <v>41556.435613425929</v>
      </c>
      <c r="K1652">
        <v>1378722437</v>
      </c>
      <c r="L1652" s="11">
        <f>((Table1[[#This Row],[launched_at]]/60)/60/24)+DATE(1970,1,1)</f>
        <v>41526.435613425929</v>
      </c>
      <c r="M1652">
        <f>MONTH(Table1[[#This Row],[Date Created Conversion]])</f>
        <v>9</v>
      </c>
      <c r="N1652">
        <f>YEAR(Table1[[#This Row],[Date Created Conversion]])</f>
        <v>2013</v>
      </c>
      <c r="O1652" t="b">
        <v>0</v>
      </c>
      <c r="P1652">
        <v>32</v>
      </c>
      <c r="Q1652" t="b">
        <v>1</v>
      </c>
      <c r="R1652" t="s">
        <v>8292</v>
      </c>
      <c r="S1652" s="6">
        <f>Table1[[#This Row],[pledged]]/Table1[[#This Row],[goal]]</f>
        <v>1.4155</v>
      </c>
      <c r="T1652" s="8">
        <f>IF(Table1[[#This Row],[pledged]]=0,"no backers",Table1[[#This Row],[pledged]]/Table1[[#This Row],[backers_count]])</f>
        <v>88.46875</v>
      </c>
      <c r="U1652" t="str">
        <f>LEFT(Table1[[#This Row],[Category and Sub-Category]],FIND("/",Table1[[#This Row],[Category and Sub-Category]])-1)</f>
        <v>music</v>
      </c>
      <c r="V1652" t="str">
        <f>RIGHT(Table1[[#This Row],[Category and Sub-Category]],LEN(Table1[[#This Row],[Category and Sub-Category]])-FIND("/",Table1[[#This Row],[Category and Sub-Category]]))</f>
        <v>pop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 s="12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>((Table1[[#This Row],[deadline]]/60)/60/24)+DATE(1970,1,1)</f>
        <v>40659.290972222225</v>
      </c>
      <c r="K1653">
        <v>1300916220</v>
      </c>
      <c r="L1653" s="11">
        <f>((Table1[[#This Row],[launched_at]]/60)/60/24)+DATE(1970,1,1)</f>
        <v>40625.900694444441</v>
      </c>
      <c r="M1653">
        <f>MONTH(Table1[[#This Row],[Date Created Conversion]])</f>
        <v>3</v>
      </c>
      <c r="N1653">
        <f>YEAR(Table1[[#This Row],[Date Created Conversion]])</f>
        <v>2011</v>
      </c>
      <c r="O1653" t="b">
        <v>0</v>
      </c>
      <c r="P1653">
        <v>20</v>
      </c>
      <c r="Q1653" t="b">
        <v>1</v>
      </c>
      <c r="R1653" t="s">
        <v>8292</v>
      </c>
      <c r="S1653" s="6">
        <f>Table1[[#This Row],[pledged]]/Table1[[#This Row],[goal]]</f>
        <v>1.0075000000000001</v>
      </c>
      <c r="T1653" s="8">
        <f>IF(Table1[[#This Row],[pledged]]=0,"no backers",Table1[[#This Row],[pledged]]/Table1[[#This Row],[backers_count]])</f>
        <v>100.75</v>
      </c>
      <c r="U1653" t="str">
        <f>LEFT(Table1[[#This Row],[Category and Sub-Category]],FIND("/",Table1[[#This Row],[Category and Sub-Category]])-1)</f>
        <v>music</v>
      </c>
      <c r="V1653" t="str">
        <f>RIGHT(Table1[[#This Row],[Category and Sub-Category]],LEN(Table1[[#This Row],[Category and Sub-Category]])-FIND("/",Table1[[#This Row],[Category and Sub-Category]]))</f>
        <v>pop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 s="12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>((Table1[[#This Row],[deadline]]/60)/60/24)+DATE(1970,1,1)</f>
        <v>41602.534641203703</v>
      </c>
      <c r="K1654">
        <v>1382701793</v>
      </c>
      <c r="L1654" s="11">
        <f>((Table1[[#This Row],[launched_at]]/60)/60/24)+DATE(1970,1,1)</f>
        <v>41572.492974537039</v>
      </c>
      <c r="M1654">
        <f>MONTH(Table1[[#This Row],[Date Created Conversion]])</f>
        <v>10</v>
      </c>
      <c r="N1654">
        <f>YEAR(Table1[[#This Row],[Date Created Conversion]])</f>
        <v>2013</v>
      </c>
      <c r="O1654" t="b">
        <v>0</v>
      </c>
      <c r="P1654">
        <v>70</v>
      </c>
      <c r="Q1654" t="b">
        <v>1</v>
      </c>
      <c r="R1654" t="s">
        <v>8292</v>
      </c>
      <c r="S1654" s="6">
        <f>Table1[[#This Row],[pledged]]/Table1[[#This Row],[goal]]</f>
        <v>1.0066666666666666</v>
      </c>
      <c r="T1654" s="8">
        <f>IF(Table1[[#This Row],[pledged]]=0,"no backers",Table1[[#This Row],[pledged]]/Table1[[#This Row],[backers_count]])</f>
        <v>64.714285714285708</v>
      </c>
      <c r="U1654" t="str">
        <f>LEFT(Table1[[#This Row],[Category and Sub-Category]],FIND("/",Table1[[#This Row],[Category and Sub-Category]])-1)</f>
        <v>music</v>
      </c>
      <c r="V1654" t="str">
        <f>RIGHT(Table1[[#This Row],[Category and Sub-Category]],LEN(Table1[[#This Row],[Category and Sub-Category]])-FIND("/",Table1[[#This Row],[Category and Sub-Category]]))</f>
        <v>pop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 s="12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>((Table1[[#This Row],[deadline]]/60)/60/24)+DATE(1970,1,1)</f>
        <v>40657.834444444445</v>
      </c>
      <c r="K1655">
        <v>1300996896</v>
      </c>
      <c r="L1655" s="11">
        <f>((Table1[[#This Row],[launched_at]]/60)/60/24)+DATE(1970,1,1)</f>
        <v>40626.834444444445</v>
      </c>
      <c r="M1655">
        <f>MONTH(Table1[[#This Row],[Date Created Conversion]])</f>
        <v>3</v>
      </c>
      <c r="N1655">
        <f>YEAR(Table1[[#This Row],[Date Created Conversion]])</f>
        <v>2011</v>
      </c>
      <c r="O1655" t="b">
        <v>0</v>
      </c>
      <c r="P1655">
        <v>168</v>
      </c>
      <c r="Q1655" t="b">
        <v>1</v>
      </c>
      <c r="R1655" t="s">
        <v>8292</v>
      </c>
      <c r="S1655" s="6">
        <f>Table1[[#This Row],[pledged]]/Table1[[#This Row],[goal]]</f>
        <v>1.7423040000000001</v>
      </c>
      <c r="T1655" s="8">
        <f>IF(Table1[[#This Row],[pledged]]=0,"no backers",Table1[[#This Row],[pledged]]/Table1[[#This Row],[backers_count]])</f>
        <v>51.854285714285716</v>
      </c>
      <c r="U1655" t="str">
        <f>LEFT(Table1[[#This Row],[Category and Sub-Category]],FIND("/",Table1[[#This Row],[Category and Sub-Category]])-1)</f>
        <v>music</v>
      </c>
      <c r="V1655" t="str">
        <f>RIGHT(Table1[[#This Row],[Category and Sub-Category]],LEN(Table1[[#This Row],[Category and Sub-Category]])-FIND("/",Table1[[#This Row],[Category and Sub-Category]]))</f>
        <v>pop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 s="12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>((Table1[[#This Row],[deadline]]/60)/60/24)+DATE(1970,1,1)</f>
        <v>41017.890740740739</v>
      </c>
      <c r="K1656">
        <v>1332192160</v>
      </c>
      <c r="L1656" s="11">
        <f>((Table1[[#This Row],[launched_at]]/60)/60/24)+DATE(1970,1,1)</f>
        <v>40987.890740740739</v>
      </c>
      <c r="M1656">
        <f>MONTH(Table1[[#This Row],[Date Created Conversion]])</f>
        <v>3</v>
      </c>
      <c r="N1656">
        <f>YEAR(Table1[[#This Row],[Date Created Conversion]])</f>
        <v>2012</v>
      </c>
      <c r="O1656" t="b">
        <v>0</v>
      </c>
      <c r="P1656">
        <v>34</v>
      </c>
      <c r="Q1656" t="b">
        <v>1</v>
      </c>
      <c r="R1656" t="s">
        <v>8292</v>
      </c>
      <c r="S1656" s="6">
        <f>Table1[[#This Row],[pledged]]/Table1[[#This Row],[goal]]</f>
        <v>1.199090909090909</v>
      </c>
      <c r="T1656" s="8">
        <f>IF(Table1[[#This Row],[pledged]]=0,"no backers",Table1[[#This Row],[pledged]]/Table1[[#This Row],[backers_count]])</f>
        <v>38.794117647058826</v>
      </c>
      <c r="U1656" t="str">
        <f>LEFT(Table1[[#This Row],[Category and Sub-Category]],FIND("/",Table1[[#This Row],[Category and Sub-Category]])-1)</f>
        <v>music</v>
      </c>
      <c r="V1656" t="str">
        <f>RIGHT(Table1[[#This Row],[Category and Sub-Category]],LEN(Table1[[#This Row],[Category and Sub-Category]])-FIND("/",Table1[[#This Row],[Category and Sub-Category]]))</f>
        <v>pop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 s="12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>((Table1[[#This Row],[deadline]]/60)/60/24)+DATE(1970,1,1)</f>
        <v>41004.750231481477</v>
      </c>
      <c r="K1657">
        <v>1331060420</v>
      </c>
      <c r="L1657" s="11">
        <f>((Table1[[#This Row],[launched_at]]/60)/60/24)+DATE(1970,1,1)</f>
        <v>40974.791898148149</v>
      </c>
      <c r="M1657">
        <f>MONTH(Table1[[#This Row],[Date Created Conversion]])</f>
        <v>3</v>
      </c>
      <c r="N1657">
        <f>YEAR(Table1[[#This Row],[Date Created Conversion]])</f>
        <v>2012</v>
      </c>
      <c r="O1657" t="b">
        <v>0</v>
      </c>
      <c r="P1657">
        <v>48</v>
      </c>
      <c r="Q1657" t="b">
        <v>1</v>
      </c>
      <c r="R1657" t="s">
        <v>8292</v>
      </c>
      <c r="S1657" s="6">
        <f>Table1[[#This Row],[pledged]]/Table1[[#This Row],[goal]]</f>
        <v>1.4286666666666668</v>
      </c>
      <c r="T1657" s="8">
        <f>IF(Table1[[#This Row],[pledged]]=0,"no backers",Table1[[#This Row],[pledged]]/Table1[[#This Row],[backers_count]])</f>
        <v>44.645833333333336</v>
      </c>
      <c r="U1657" t="str">
        <f>LEFT(Table1[[#This Row],[Category and Sub-Category]],FIND("/",Table1[[#This Row],[Category and Sub-Category]])-1)</f>
        <v>music</v>
      </c>
      <c r="V1657" t="str">
        <f>RIGHT(Table1[[#This Row],[Category and Sub-Category]],LEN(Table1[[#This Row],[Category and Sub-Category]])-FIND("/",Table1[[#This Row],[Category and Sub-Category]]))</f>
        <v>pop</v>
      </c>
    </row>
    <row r="1658" spans="1:22" ht="57.6" x14ac:dyDescent="0.3">
      <c r="A1658">
        <v>1656</v>
      </c>
      <c r="B1658" s="3" t="s">
        <v>1657</v>
      </c>
      <c r="C1658" s="3" t="s">
        <v>5766</v>
      </c>
      <c r="D1658" s="12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>((Table1[[#This Row],[deadline]]/60)/60/24)+DATE(1970,1,1)</f>
        <v>41256.928842592592</v>
      </c>
      <c r="K1658">
        <v>1352845052</v>
      </c>
      <c r="L1658" s="11">
        <f>((Table1[[#This Row],[launched_at]]/60)/60/24)+DATE(1970,1,1)</f>
        <v>41226.928842592592</v>
      </c>
      <c r="M1658">
        <f>MONTH(Table1[[#This Row],[Date Created Conversion]])</f>
        <v>11</v>
      </c>
      <c r="N1658">
        <f>YEAR(Table1[[#This Row],[Date Created Conversion]])</f>
        <v>2012</v>
      </c>
      <c r="O1658" t="b">
        <v>0</v>
      </c>
      <c r="P1658">
        <v>48</v>
      </c>
      <c r="Q1658" t="b">
        <v>1</v>
      </c>
      <c r="R1658" t="s">
        <v>8292</v>
      </c>
      <c r="S1658" s="6">
        <f>Table1[[#This Row],[pledged]]/Table1[[#This Row],[goal]]</f>
        <v>1.0033493333333334</v>
      </c>
      <c r="T1658" s="8">
        <f>IF(Table1[[#This Row],[pledged]]=0,"no backers",Table1[[#This Row],[pledged]]/Table1[[#This Row],[backers_count]])</f>
        <v>156.77333333333334</v>
      </c>
      <c r="U1658" t="str">
        <f>LEFT(Table1[[#This Row],[Category and Sub-Category]],FIND("/",Table1[[#This Row],[Category and Sub-Category]])-1)</f>
        <v>music</v>
      </c>
      <c r="V1658" t="str">
        <f>RIGHT(Table1[[#This Row],[Category and Sub-Category]],LEN(Table1[[#This Row],[Category and Sub-Category]])-FIND("/",Table1[[#This Row],[Category and Sub-Category]]))</f>
        <v>pop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 s="12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>((Table1[[#This Row],[deadline]]/60)/60/24)+DATE(1970,1,1)</f>
        <v>41053.782037037039</v>
      </c>
      <c r="K1659">
        <v>1335293168</v>
      </c>
      <c r="L1659" s="11">
        <f>((Table1[[#This Row],[launched_at]]/60)/60/24)+DATE(1970,1,1)</f>
        <v>41023.782037037039</v>
      </c>
      <c r="M1659">
        <f>MONTH(Table1[[#This Row],[Date Created Conversion]])</f>
        <v>4</v>
      </c>
      <c r="N1659">
        <f>YEAR(Table1[[#This Row],[Date Created Conversion]])</f>
        <v>2012</v>
      </c>
      <c r="O1659" t="b">
        <v>0</v>
      </c>
      <c r="P1659">
        <v>221</v>
      </c>
      <c r="Q1659" t="b">
        <v>1</v>
      </c>
      <c r="R1659" t="s">
        <v>8292</v>
      </c>
      <c r="S1659" s="6">
        <f>Table1[[#This Row],[pledged]]/Table1[[#This Row],[goal]]</f>
        <v>1.0493380000000001</v>
      </c>
      <c r="T1659" s="8">
        <f>IF(Table1[[#This Row],[pledged]]=0,"no backers",Table1[[#This Row],[pledged]]/Table1[[#This Row],[backers_count]])</f>
        <v>118.70339366515837</v>
      </c>
      <c r="U1659" t="str">
        <f>LEFT(Table1[[#This Row],[Category and Sub-Category]],FIND("/",Table1[[#This Row],[Category and Sub-Category]])-1)</f>
        <v>music</v>
      </c>
      <c r="V1659" t="str">
        <f>RIGHT(Table1[[#This Row],[Category and Sub-Category]],LEN(Table1[[#This Row],[Category and Sub-Category]])-FIND("/",Table1[[#This Row],[Category and Sub-Category]]))</f>
        <v>pop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 s="12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>((Table1[[#This Row],[deadline]]/60)/60/24)+DATE(1970,1,1)</f>
        <v>41261.597222222219</v>
      </c>
      <c r="K1660">
        <v>1352524767</v>
      </c>
      <c r="L1660" s="11">
        <f>((Table1[[#This Row],[launched_at]]/60)/60/24)+DATE(1970,1,1)</f>
        <v>41223.22184027778</v>
      </c>
      <c r="M1660">
        <f>MONTH(Table1[[#This Row],[Date Created Conversion]])</f>
        <v>11</v>
      </c>
      <c r="N1660">
        <f>YEAR(Table1[[#This Row],[Date Created Conversion]])</f>
        <v>2012</v>
      </c>
      <c r="O1660" t="b">
        <v>0</v>
      </c>
      <c r="P1660">
        <v>107</v>
      </c>
      <c r="Q1660" t="b">
        <v>1</v>
      </c>
      <c r="R1660" t="s">
        <v>8292</v>
      </c>
      <c r="S1660" s="6">
        <f>Table1[[#This Row],[pledged]]/Table1[[#This Row],[goal]]</f>
        <v>1.3223333333333334</v>
      </c>
      <c r="T1660" s="8">
        <f>IF(Table1[[#This Row],[pledged]]=0,"no backers",Table1[[#This Row],[pledged]]/Table1[[#This Row],[backers_count]])</f>
        <v>74.149532710280369</v>
      </c>
      <c r="U1660" t="str">
        <f>LEFT(Table1[[#This Row],[Category and Sub-Category]],FIND("/",Table1[[#This Row],[Category and Sub-Category]])-1)</f>
        <v>music</v>
      </c>
      <c r="V1660" t="str">
        <f>RIGHT(Table1[[#This Row],[Category and Sub-Category]],LEN(Table1[[#This Row],[Category and Sub-Category]])-FIND("/",Table1[[#This Row],[Category and Sub-Category]]))</f>
        <v>pop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 s="12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>((Table1[[#This Row],[deadline]]/60)/60/24)+DATE(1970,1,1)</f>
        <v>41625.5</v>
      </c>
      <c r="K1661">
        <v>1384811721</v>
      </c>
      <c r="L1661" s="11">
        <f>((Table1[[#This Row],[launched_at]]/60)/60/24)+DATE(1970,1,1)</f>
        <v>41596.913437499999</v>
      </c>
      <c r="M1661">
        <f>MONTH(Table1[[#This Row],[Date Created Conversion]])</f>
        <v>11</v>
      </c>
      <c r="N1661">
        <f>YEAR(Table1[[#This Row],[Date Created Conversion]])</f>
        <v>2013</v>
      </c>
      <c r="O1661" t="b">
        <v>0</v>
      </c>
      <c r="P1661">
        <v>45</v>
      </c>
      <c r="Q1661" t="b">
        <v>1</v>
      </c>
      <c r="R1661" t="s">
        <v>8292</v>
      </c>
      <c r="S1661" s="6">
        <f>Table1[[#This Row],[pledged]]/Table1[[#This Row],[goal]]</f>
        <v>1.1279999999999999</v>
      </c>
      <c r="T1661" s="8">
        <f>IF(Table1[[#This Row],[pledged]]=0,"no backers",Table1[[#This Row],[pledged]]/Table1[[#This Row],[backers_count]])</f>
        <v>12.533333333333333</v>
      </c>
      <c r="U1661" t="str">
        <f>LEFT(Table1[[#This Row],[Category and Sub-Category]],FIND("/",Table1[[#This Row],[Category and Sub-Category]])-1)</f>
        <v>music</v>
      </c>
      <c r="V1661" t="str">
        <f>RIGHT(Table1[[#This Row],[Category and Sub-Category]],LEN(Table1[[#This Row],[Category and Sub-Category]])-FIND("/",Table1[[#This Row],[Category and Sub-Category]]))</f>
        <v>pop</v>
      </c>
    </row>
    <row r="1662" spans="1:22" ht="57.6" x14ac:dyDescent="0.3">
      <c r="A1662">
        <v>1660</v>
      </c>
      <c r="B1662" s="3" t="s">
        <v>1661</v>
      </c>
      <c r="C1662" s="3" t="s">
        <v>5770</v>
      </c>
      <c r="D1662" s="1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>((Table1[[#This Row],[deadline]]/60)/60/24)+DATE(1970,1,1)</f>
        <v>42490.915972222225</v>
      </c>
      <c r="K1662">
        <v>1459355950</v>
      </c>
      <c r="L1662" s="11">
        <f>((Table1[[#This Row],[launched_at]]/60)/60/24)+DATE(1970,1,1)</f>
        <v>42459.693865740745</v>
      </c>
      <c r="M1662">
        <f>MONTH(Table1[[#This Row],[Date Created Conversion]])</f>
        <v>3</v>
      </c>
      <c r="N1662">
        <f>YEAR(Table1[[#This Row],[Date Created Conversion]])</f>
        <v>2016</v>
      </c>
      <c r="O1662" t="b">
        <v>0</v>
      </c>
      <c r="P1662">
        <v>36</v>
      </c>
      <c r="Q1662" t="b">
        <v>1</v>
      </c>
      <c r="R1662" t="s">
        <v>8292</v>
      </c>
      <c r="S1662" s="6">
        <f>Table1[[#This Row],[pledged]]/Table1[[#This Row],[goal]]</f>
        <v>12.5375</v>
      </c>
      <c r="T1662" s="8">
        <f>IF(Table1[[#This Row],[pledged]]=0,"no backers",Table1[[#This Row],[pledged]]/Table1[[#This Row],[backers_count]])</f>
        <v>27.861111111111111</v>
      </c>
      <c r="U1662" t="str">
        <f>LEFT(Table1[[#This Row],[Category and Sub-Category]],FIND("/",Table1[[#This Row],[Category and Sub-Category]])-1)</f>
        <v>music</v>
      </c>
      <c r="V1662" t="str">
        <f>RIGHT(Table1[[#This Row],[Category and Sub-Category]],LEN(Table1[[#This Row],[Category and Sub-Category]])-FIND("/",Table1[[#This Row],[Category and Sub-Category]]))</f>
        <v>pop</v>
      </c>
    </row>
    <row r="1663" spans="1:22" ht="57.6" x14ac:dyDescent="0.3">
      <c r="A1663">
        <v>1661</v>
      </c>
      <c r="B1663" s="3" t="s">
        <v>1662</v>
      </c>
      <c r="C1663" s="3" t="s">
        <v>5771</v>
      </c>
      <c r="D1663" s="12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>((Table1[[#This Row],[deadline]]/60)/60/24)+DATE(1970,1,1)</f>
        <v>42386.875</v>
      </c>
      <c r="K1663">
        <v>1449359831</v>
      </c>
      <c r="L1663" s="11">
        <f>((Table1[[#This Row],[launched_at]]/60)/60/24)+DATE(1970,1,1)</f>
        <v>42343.998043981483</v>
      </c>
      <c r="M1663">
        <f>MONTH(Table1[[#This Row],[Date Created Conversion]])</f>
        <v>12</v>
      </c>
      <c r="N1663">
        <f>YEAR(Table1[[#This Row],[Date Created Conversion]])</f>
        <v>2015</v>
      </c>
      <c r="O1663" t="b">
        <v>0</v>
      </c>
      <c r="P1663">
        <v>101</v>
      </c>
      <c r="Q1663" t="b">
        <v>1</v>
      </c>
      <c r="R1663" t="s">
        <v>8292</v>
      </c>
      <c r="S1663" s="6">
        <f>Table1[[#This Row],[pledged]]/Table1[[#This Row],[goal]]</f>
        <v>1.0250632911392406</v>
      </c>
      <c r="T1663" s="8">
        <f>IF(Table1[[#This Row],[pledged]]=0,"no backers",Table1[[#This Row],[pledged]]/Table1[[#This Row],[backers_count]])</f>
        <v>80.178217821782184</v>
      </c>
      <c r="U1663" t="str">
        <f>LEFT(Table1[[#This Row],[Category and Sub-Category]],FIND("/",Table1[[#This Row],[Category and Sub-Category]])-1)</f>
        <v>music</v>
      </c>
      <c r="V1663" t="str">
        <f>RIGHT(Table1[[#This Row],[Category and Sub-Category]],LEN(Table1[[#This Row],[Category and Sub-Category]])-FIND("/",Table1[[#This Row],[Category and Sub-Category]]))</f>
        <v>pop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 s="12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>((Table1[[#This Row],[deadline]]/60)/60/24)+DATE(1970,1,1)</f>
        <v>40908.239999999998</v>
      </c>
      <c r="K1664">
        <v>1320122736</v>
      </c>
      <c r="L1664" s="11">
        <f>((Table1[[#This Row],[launched_at]]/60)/60/24)+DATE(1970,1,1)</f>
        <v>40848.198333333334</v>
      </c>
      <c r="M1664">
        <f>MONTH(Table1[[#This Row],[Date Created Conversion]])</f>
        <v>11</v>
      </c>
      <c r="N1664">
        <f>YEAR(Table1[[#This Row],[Date Created Conversion]])</f>
        <v>2011</v>
      </c>
      <c r="O1664" t="b">
        <v>0</v>
      </c>
      <c r="P1664">
        <v>62</v>
      </c>
      <c r="Q1664" t="b">
        <v>1</v>
      </c>
      <c r="R1664" t="s">
        <v>8292</v>
      </c>
      <c r="S1664" s="6">
        <f>Table1[[#This Row],[pledged]]/Table1[[#This Row],[goal]]</f>
        <v>1.026375</v>
      </c>
      <c r="T1664" s="8">
        <f>IF(Table1[[#This Row],[pledged]]=0,"no backers",Table1[[#This Row],[pledged]]/Table1[[#This Row],[backers_count]])</f>
        <v>132.43548387096774</v>
      </c>
      <c r="U1664" t="str">
        <f>LEFT(Table1[[#This Row],[Category and Sub-Category]],FIND("/",Table1[[#This Row],[Category and Sub-Category]])-1)</f>
        <v>music</v>
      </c>
      <c r="V1664" t="str">
        <f>RIGHT(Table1[[#This Row],[Category and Sub-Category]],LEN(Table1[[#This Row],[Category and Sub-Category]])-FIND("/",Table1[[#This Row],[Category and Sub-Category]]))</f>
        <v>pop</v>
      </c>
    </row>
    <row r="1665" spans="1:22" ht="43.2" x14ac:dyDescent="0.3">
      <c r="A1665">
        <v>1663</v>
      </c>
      <c r="B1665" s="3" t="s">
        <v>1664</v>
      </c>
      <c r="C1665" s="3" t="s">
        <v>5773</v>
      </c>
      <c r="D1665" s="12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>((Table1[[#This Row],[deadline]]/60)/60/24)+DATE(1970,1,1)</f>
        <v>42036.02207175926</v>
      </c>
      <c r="K1665">
        <v>1420158707</v>
      </c>
      <c r="L1665" s="11">
        <f>((Table1[[#This Row],[launched_at]]/60)/60/24)+DATE(1970,1,1)</f>
        <v>42006.02207175926</v>
      </c>
      <c r="M1665">
        <f>MONTH(Table1[[#This Row],[Date Created Conversion]])</f>
        <v>1</v>
      </c>
      <c r="N1665">
        <f>YEAR(Table1[[#This Row],[Date Created Conversion]])</f>
        <v>2015</v>
      </c>
      <c r="O1665" t="b">
        <v>0</v>
      </c>
      <c r="P1665">
        <v>32</v>
      </c>
      <c r="Q1665" t="b">
        <v>1</v>
      </c>
      <c r="R1665" t="s">
        <v>8292</v>
      </c>
      <c r="S1665" s="6">
        <f>Table1[[#This Row],[pledged]]/Table1[[#This Row],[goal]]</f>
        <v>1.08</v>
      </c>
      <c r="T1665" s="8">
        <f>IF(Table1[[#This Row],[pledged]]=0,"no backers",Table1[[#This Row],[pledged]]/Table1[[#This Row],[backers_count]])</f>
        <v>33.75</v>
      </c>
      <c r="U1665" t="str">
        <f>LEFT(Table1[[#This Row],[Category and Sub-Category]],FIND("/",Table1[[#This Row],[Category and Sub-Category]])-1)</f>
        <v>music</v>
      </c>
      <c r="V1665" t="str">
        <f>RIGHT(Table1[[#This Row],[Category and Sub-Category]],LEN(Table1[[#This Row],[Category and Sub-Category]])-FIND("/",Table1[[#This Row],[Category and Sub-Category]]))</f>
        <v>pop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 s="12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>((Table1[[#This Row],[deadline]]/60)/60/24)+DATE(1970,1,1)</f>
        <v>40984.165972222225</v>
      </c>
      <c r="K1666">
        <v>1328033818</v>
      </c>
      <c r="L1666" s="11">
        <f>((Table1[[#This Row],[launched_at]]/60)/60/24)+DATE(1970,1,1)</f>
        <v>40939.761782407404</v>
      </c>
      <c r="M1666">
        <f>MONTH(Table1[[#This Row],[Date Created Conversion]])</f>
        <v>1</v>
      </c>
      <c r="N1666">
        <f>YEAR(Table1[[#This Row],[Date Created Conversion]])</f>
        <v>2012</v>
      </c>
      <c r="O1666" t="b">
        <v>0</v>
      </c>
      <c r="P1666">
        <v>89</v>
      </c>
      <c r="Q1666" t="b">
        <v>1</v>
      </c>
      <c r="R1666" t="s">
        <v>8292</v>
      </c>
      <c r="S1666" s="6">
        <f>Table1[[#This Row],[pledged]]/Table1[[#This Row],[goal]]</f>
        <v>1.2240879999999998</v>
      </c>
      <c r="T1666" s="8">
        <f>IF(Table1[[#This Row],[pledged]]=0,"no backers",Table1[[#This Row],[pledged]]/Table1[[#This Row],[backers_count]])</f>
        <v>34.384494382022467</v>
      </c>
      <c r="U1666" t="str">
        <f>LEFT(Table1[[#This Row],[Category and Sub-Category]],FIND("/",Table1[[#This Row],[Category and Sub-Category]])-1)</f>
        <v>music</v>
      </c>
      <c r="V1666" t="str">
        <f>RIGHT(Table1[[#This Row],[Category and Sub-Category]],LEN(Table1[[#This Row],[Category and Sub-Category]])-FIND("/",Table1[[#This Row],[Category and Sub-Category]]))</f>
        <v>pop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 s="12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>((Table1[[#This Row],[deadline]]/60)/60/24)+DATE(1970,1,1)</f>
        <v>40596.125</v>
      </c>
      <c r="K1667">
        <v>1295624113</v>
      </c>
      <c r="L1667" s="11">
        <f>((Table1[[#This Row],[launched_at]]/60)/60/24)+DATE(1970,1,1)</f>
        <v>40564.649456018517</v>
      </c>
      <c r="M1667">
        <f>MONTH(Table1[[#This Row],[Date Created Conversion]])</f>
        <v>1</v>
      </c>
      <c r="N1667">
        <f>YEAR(Table1[[#This Row],[Date Created Conversion]])</f>
        <v>2011</v>
      </c>
      <c r="O1667" t="b">
        <v>0</v>
      </c>
      <c r="P1667">
        <v>93</v>
      </c>
      <c r="Q1667" t="b">
        <v>1</v>
      </c>
      <c r="R1667" t="s">
        <v>8292</v>
      </c>
      <c r="S1667" s="6">
        <f>Table1[[#This Row],[pledged]]/Table1[[#This Row],[goal]]</f>
        <v>1.1945714285714286</v>
      </c>
      <c r="T1667" s="8">
        <f>IF(Table1[[#This Row],[pledged]]=0,"no backers",Table1[[#This Row],[pledged]]/Table1[[#This Row],[backers_count]])</f>
        <v>44.956989247311824</v>
      </c>
      <c r="U1667" t="str">
        <f>LEFT(Table1[[#This Row],[Category and Sub-Category]],FIND("/",Table1[[#This Row],[Category and Sub-Category]])-1)</f>
        <v>music</v>
      </c>
      <c r="V1667" t="str">
        <f>RIGHT(Table1[[#This Row],[Category and Sub-Category]],LEN(Table1[[#This Row],[Category and Sub-Category]])-FIND("/",Table1[[#This Row],[Category and Sub-Category]]))</f>
        <v>pop</v>
      </c>
    </row>
    <row r="1668" spans="1:22" ht="43.2" x14ac:dyDescent="0.3">
      <c r="A1668">
        <v>1666</v>
      </c>
      <c r="B1668" s="3" t="s">
        <v>1667</v>
      </c>
      <c r="C1668" s="3" t="s">
        <v>5776</v>
      </c>
      <c r="D1668" s="12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>((Table1[[#This Row],[deadline]]/60)/60/24)+DATE(1970,1,1)</f>
        <v>41361.211493055554</v>
      </c>
      <c r="K1668">
        <v>1361858673</v>
      </c>
      <c r="L1668" s="11">
        <f>((Table1[[#This Row],[launched_at]]/60)/60/24)+DATE(1970,1,1)</f>
        <v>41331.253159722226</v>
      </c>
      <c r="M1668">
        <f>MONTH(Table1[[#This Row],[Date Created Conversion]])</f>
        <v>2</v>
      </c>
      <c r="N1668">
        <f>YEAR(Table1[[#This Row],[Date Created Conversion]])</f>
        <v>2013</v>
      </c>
      <c r="O1668" t="b">
        <v>0</v>
      </c>
      <c r="P1668">
        <v>98</v>
      </c>
      <c r="Q1668" t="b">
        <v>1</v>
      </c>
      <c r="R1668" t="s">
        <v>8292</v>
      </c>
      <c r="S1668" s="6">
        <f>Table1[[#This Row],[pledged]]/Table1[[#This Row],[goal]]</f>
        <v>1.6088</v>
      </c>
      <c r="T1668" s="8">
        <f>IF(Table1[[#This Row],[pledged]]=0,"no backers",Table1[[#This Row],[pledged]]/Table1[[#This Row],[backers_count]])</f>
        <v>41.04081632653061</v>
      </c>
      <c r="U1668" t="str">
        <f>LEFT(Table1[[#This Row],[Category and Sub-Category]],FIND("/",Table1[[#This Row],[Category and Sub-Category]])-1)</f>
        <v>music</v>
      </c>
      <c r="V1668" t="str">
        <f>RIGHT(Table1[[#This Row],[Category and Sub-Category]],LEN(Table1[[#This Row],[Category and Sub-Category]])-FIND("/",Table1[[#This Row],[Category and Sub-Category]]))</f>
        <v>pop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 s="12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>((Table1[[#This Row],[deadline]]/60)/60/24)+DATE(1970,1,1)</f>
        <v>41709.290972222225</v>
      </c>
      <c r="K1669">
        <v>1392169298</v>
      </c>
      <c r="L1669" s="11">
        <f>((Table1[[#This Row],[launched_at]]/60)/60/24)+DATE(1970,1,1)</f>
        <v>41682.0705787037</v>
      </c>
      <c r="M1669">
        <f>MONTH(Table1[[#This Row],[Date Created Conversion]])</f>
        <v>2</v>
      </c>
      <c r="N1669">
        <f>YEAR(Table1[[#This Row],[Date Created Conversion]])</f>
        <v>2014</v>
      </c>
      <c r="O1669" t="b">
        <v>0</v>
      </c>
      <c r="P1669">
        <v>82</v>
      </c>
      <c r="Q1669" t="b">
        <v>1</v>
      </c>
      <c r="R1669" t="s">
        <v>8292</v>
      </c>
      <c r="S1669" s="6">
        <f>Table1[[#This Row],[pledged]]/Table1[[#This Row],[goal]]</f>
        <v>1.2685294117647059</v>
      </c>
      <c r="T1669" s="8">
        <f>IF(Table1[[#This Row],[pledged]]=0,"no backers",Table1[[#This Row],[pledged]]/Table1[[#This Row],[backers_count]])</f>
        <v>52.597560975609753</v>
      </c>
      <c r="U1669" t="str">
        <f>LEFT(Table1[[#This Row],[Category and Sub-Category]],FIND("/",Table1[[#This Row],[Category and Sub-Category]])-1)</f>
        <v>music</v>
      </c>
      <c r="V1669" t="str">
        <f>RIGHT(Table1[[#This Row],[Category and Sub-Category]],LEN(Table1[[#This Row],[Category and Sub-Category]])-FIND("/",Table1[[#This Row],[Category and Sub-Category]]))</f>
        <v>pop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 s="12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>((Table1[[#This Row],[deadline]]/60)/60/24)+DATE(1970,1,1)</f>
        <v>40875.191423611112</v>
      </c>
      <c r="K1670">
        <v>1319859339</v>
      </c>
      <c r="L1670" s="11">
        <f>((Table1[[#This Row],[launched_at]]/60)/60/24)+DATE(1970,1,1)</f>
        <v>40845.14975694444</v>
      </c>
      <c r="M1670">
        <f>MONTH(Table1[[#This Row],[Date Created Conversion]])</f>
        <v>10</v>
      </c>
      <c r="N1670">
        <f>YEAR(Table1[[#This Row],[Date Created Conversion]])</f>
        <v>2011</v>
      </c>
      <c r="O1670" t="b">
        <v>0</v>
      </c>
      <c r="P1670">
        <v>116</v>
      </c>
      <c r="Q1670" t="b">
        <v>1</v>
      </c>
      <c r="R1670" t="s">
        <v>8292</v>
      </c>
      <c r="S1670" s="6">
        <f>Table1[[#This Row],[pledged]]/Table1[[#This Row],[goal]]</f>
        <v>1.026375</v>
      </c>
      <c r="T1670" s="8">
        <f>IF(Table1[[#This Row],[pledged]]=0,"no backers",Table1[[#This Row],[pledged]]/Table1[[#This Row],[backers_count]])</f>
        <v>70.784482758620683</v>
      </c>
      <c r="U1670" t="str">
        <f>LEFT(Table1[[#This Row],[Category and Sub-Category]],FIND("/",Table1[[#This Row],[Category and Sub-Category]])-1)</f>
        <v>music</v>
      </c>
      <c r="V1670" t="str">
        <f>RIGHT(Table1[[#This Row],[Category and Sub-Category]],LEN(Table1[[#This Row],[Category and Sub-Category]])-FIND("/",Table1[[#This Row],[Category and Sub-Category]]))</f>
        <v>pop</v>
      </c>
    </row>
    <row r="1671" spans="1:22" ht="57.6" x14ac:dyDescent="0.3">
      <c r="A1671">
        <v>1669</v>
      </c>
      <c r="B1671" s="3" t="s">
        <v>1670</v>
      </c>
      <c r="C1671" s="3" t="s">
        <v>5779</v>
      </c>
      <c r="D1671" s="12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>((Table1[[#This Row],[deadline]]/60)/60/24)+DATE(1970,1,1)</f>
        <v>42521.885138888887</v>
      </c>
      <c r="K1671">
        <v>1459545276</v>
      </c>
      <c r="L1671" s="11">
        <f>((Table1[[#This Row],[launched_at]]/60)/60/24)+DATE(1970,1,1)</f>
        <v>42461.885138888887</v>
      </c>
      <c r="M1671">
        <f>MONTH(Table1[[#This Row],[Date Created Conversion]])</f>
        <v>4</v>
      </c>
      <c r="N1671">
        <f>YEAR(Table1[[#This Row],[Date Created Conversion]])</f>
        <v>2016</v>
      </c>
      <c r="O1671" t="b">
        <v>0</v>
      </c>
      <c r="P1671">
        <v>52</v>
      </c>
      <c r="Q1671" t="b">
        <v>1</v>
      </c>
      <c r="R1671" t="s">
        <v>8292</v>
      </c>
      <c r="S1671" s="6">
        <f>Table1[[#This Row],[pledged]]/Table1[[#This Row],[goal]]</f>
        <v>1.3975</v>
      </c>
      <c r="T1671" s="8">
        <f>IF(Table1[[#This Row],[pledged]]=0,"no backers",Table1[[#This Row],[pledged]]/Table1[[#This Row],[backers_count]])</f>
        <v>53.75</v>
      </c>
      <c r="U1671" t="str">
        <f>LEFT(Table1[[#This Row],[Category and Sub-Category]],FIND("/",Table1[[#This Row],[Category and Sub-Category]])-1)</f>
        <v>music</v>
      </c>
      <c r="V1671" t="str">
        <f>RIGHT(Table1[[#This Row],[Category and Sub-Category]],LEN(Table1[[#This Row],[Category and Sub-Category]])-FIND("/",Table1[[#This Row],[Category and Sub-Category]]))</f>
        <v>pop</v>
      </c>
    </row>
    <row r="1672" spans="1:22" ht="57.6" x14ac:dyDescent="0.3">
      <c r="A1672">
        <v>1670</v>
      </c>
      <c r="B1672" s="3" t="s">
        <v>1671</v>
      </c>
      <c r="C1672" s="3" t="s">
        <v>5780</v>
      </c>
      <c r="D1672" s="1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>((Table1[[#This Row],[deadline]]/60)/60/24)+DATE(1970,1,1)</f>
        <v>40364.166666666664</v>
      </c>
      <c r="K1672">
        <v>1273961999</v>
      </c>
      <c r="L1672" s="11">
        <f>((Table1[[#This Row],[launched_at]]/60)/60/24)+DATE(1970,1,1)</f>
        <v>40313.930543981485</v>
      </c>
      <c r="M1672">
        <f>MONTH(Table1[[#This Row],[Date Created Conversion]])</f>
        <v>5</v>
      </c>
      <c r="N1672">
        <f>YEAR(Table1[[#This Row],[Date Created Conversion]])</f>
        <v>2010</v>
      </c>
      <c r="O1672" t="b">
        <v>0</v>
      </c>
      <c r="P1672">
        <v>23</v>
      </c>
      <c r="Q1672" t="b">
        <v>1</v>
      </c>
      <c r="R1672" t="s">
        <v>8292</v>
      </c>
      <c r="S1672" s="6">
        <f>Table1[[#This Row],[pledged]]/Table1[[#This Row],[goal]]</f>
        <v>1.026</v>
      </c>
      <c r="T1672" s="8">
        <f>IF(Table1[[#This Row],[pledged]]=0,"no backers",Table1[[#This Row],[pledged]]/Table1[[#This Row],[backers_count]])</f>
        <v>44.608695652173914</v>
      </c>
      <c r="U1672" t="str">
        <f>LEFT(Table1[[#This Row],[Category and Sub-Category]],FIND("/",Table1[[#This Row],[Category and Sub-Category]])-1)</f>
        <v>music</v>
      </c>
      <c r="V1672" t="str">
        <f>RIGHT(Table1[[#This Row],[Category and Sub-Category]],LEN(Table1[[#This Row],[Category and Sub-Category]])-FIND("/",Table1[[#This Row],[Category and Sub-Category]]))</f>
        <v>pop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 s="12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>((Table1[[#This Row],[deadline]]/60)/60/24)+DATE(1970,1,1)</f>
        <v>42583.54414351852</v>
      </c>
      <c r="K1673">
        <v>1467464614</v>
      </c>
      <c r="L1673" s="11">
        <f>((Table1[[#This Row],[launched_at]]/60)/60/24)+DATE(1970,1,1)</f>
        <v>42553.54414351852</v>
      </c>
      <c r="M1673">
        <f>MONTH(Table1[[#This Row],[Date Created Conversion]])</f>
        <v>7</v>
      </c>
      <c r="N1673">
        <f>YEAR(Table1[[#This Row],[Date Created Conversion]])</f>
        <v>2016</v>
      </c>
      <c r="O1673" t="b">
        <v>0</v>
      </c>
      <c r="P1673">
        <v>77</v>
      </c>
      <c r="Q1673" t="b">
        <v>1</v>
      </c>
      <c r="R1673" t="s">
        <v>8292</v>
      </c>
      <c r="S1673" s="6">
        <f>Table1[[#This Row],[pledged]]/Table1[[#This Row],[goal]]</f>
        <v>1.0067349999999999</v>
      </c>
      <c r="T1673" s="8">
        <f>IF(Table1[[#This Row],[pledged]]=0,"no backers",Table1[[#This Row],[pledged]]/Table1[[#This Row],[backers_count]])</f>
        <v>26.148961038961041</v>
      </c>
      <c r="U1673" t="str">
        <f>LEFT(Table1[[#This Row],[Category and Sub-Category]],FIND("/",Table1[[#This Row],[Category and Sub-Category]])-1)</f>
        <v>music</v>
      </c>
      <c r="V1673" t="str">
        <f>RIGHT(Table1[[#This Row],[Category and Sub-Category]],LEN(Table1[[#This Row],[Category and Sub-Category]])-FIND("/",Table1[[#This Row],[Category and Sub-Category]]))</f>
        <v>pop</v>
      </c>
    </row>
    <row r="1674" spans="1:22" ht="43.2" x14ac:dyDescent="0.3">
      <c r="A1674">
        <v>1672</v>
      </c>
      <c r="B1674" s="3" t="s">
        <v>1673</v>
      </c>
      <c r="C1674" s="3" t="s">
        <v>5782</v>
      </c>
      <c r="D1674" s="12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>((Table1[[#This Row],[deadline]]/60)/60/24)+DATE(1970,1,1)</f>
        <v>41064.656597222223</v>
      </c>
      <c r="K1674">
        <v>1336232730</v>
      </c>
      <c r="L1674" s="11">
        <f>((Table1[[#This Row],[launched_at]]/60)/60/24)+DATE(1970,1,1)</f>
        <v>41034.656597222223</v>
      </c>
      <c r="M1674">
        <f>MONTH(Table1[[#This Row],[Date Created Conversion]])</f>
        <v>5</v>
      </c>
      <c r="N1674">
        <f>YEAR(Table1[[#This Row],[Date Created Conversion]])</f>
        <v>2012</v>
      </c>
      <c r="O1674" t="b">
        <v>0</v>
      </c>
      <c r="P1674">
        <v>49</v>
      </c>
      <c r="Q1674" t="b">
        <v>1</v>
      </c>
      <c r="R1674" t="s">
        <v>8292</v>
      </c>
      <c r="S1674" s="6">
        <f>Table1[[#This Row],[pledged]]/Table1[[#This Row],[goal]]</f>
        <v>1.1294117647058823</v>
      </c>
      <c r="T1674" s="8">
        <f>IF(Table1[[#This Row],[pledged]]=0,"no backers",Table1[[#This Row],[pledged]]/Table1[[#This Row],[backers_count]])</f>
        <v>39.183673469387756</v>
      </c>
      <c r="U1674" t="str">
        <f>LEFT(Table1[[#This Row],[Category and Sub-Category]],FIND("/",Table1[[#This Row],[Category and Sub-Category]])-1)</f>
        <v>music</v>
      </c>
      <c r="V1674" t="str">
        <f>RIGHT(Table1[[#This Row],[Category and Sub-Category]],LEN(Table1[[#This Row],[Category and Sub-Category]])-FIND("/",Table1[[#This Row],[Category and Sub-Category]]))</f>
        <v>pop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 s="12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>((Table1[[#This Row],[deadline]]/60)/60/24)+DATE(1970,1,1)</f>
        <v>42069.878379629634</v>
      </c>
      <c r="K1675">
        <v>1423083892</v>
      </c>
      <c r="L1675" s="11">
        <f>((Table1[[#This Row],[launched_at]]/60)/60/24)+DATE(1970,1,1)</f>
        <v>42039.878379629634</v>
      </c>
      <c r="M1675">
        <f>MONTH(Table1[[#This Row],[Date Created Conversion]])</f>
        <v>2</v>
      </c>
      <c r="N1675">
        <f>YEAR(Table1[[#This Row],[Date Created Conversion]])</f>
        <v>2015</v>
      </c>
      <c r="O1675" t="b">
        <v>0</v>
      </c>
      <c r="P1675">
        <v>59</v>
      </c>
      <c r="Q1675" t="b">
        <v>1</v>
      </c>
      <c r="R1675" t="s">
        <v>8292</v>
      </c>
      <c r="S1675" s="6">
        <f>Table1[[#This Row],[pledged]]/Table1[[#This Row],[goal]]</f>
        <v>1.2809523809523808</v>
      </c>
      <c r="T1675" s="8">
        <f>IF(Table1[[#This Row],[pledged]]=0,"no backers",Table1[[#This Row],[pledged]]/Table1[[#This Row],[backers_count]])</f>
        <v>45.593220338983052</v>
      </c>
      <c r="U1675" t="str">
        <f>LEFT(Table1[[#This Row],[Category and Sub-Category]],FIND("/",Table1[[#This Row],[Category and Sub-Category]])-1)</f>
        <v>music</v>
      </c>
      <c r="V1675" t="str">
        <f>RIGHT(Table1[[#This Row],[Category and Sub-Category]],LEN(Table1[[#This Row],[Category and Sub-Category]])-FIND("/",Table1[[#This Row],[Category and Sub-Category]]))</f>
        <v>pop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 s="12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>((Table1[[#This Row],[deadline]]/60)/60/24)+DATE(1970,1,1)</f>
        <v>42600.290972222225</v>
      </c>
      <c r="K1676">
        <v>1468852306</v>
      </c>
      <c r="L1676" s="11">
        <f>((Table1[[#This Row],[launched_at]]/60)/60/24)+DATE(1970,1,1)</f>
        <v>42569.605393518519</v>
      </c>
      <c r="M1676">
        <f>MONTH(Table1[[#This Row],[Date Created Conversion]])</f>
        <v>7</v>
      </c>
      <c r="N1676">
        <f>YEAR(Table1[[#This Row],[Date Created Conversion]])</f>
        <v>2016</v>
      </c>
      <c r="O1676" t="b">
        <v>0</v>
      </c>
      <c r="P1676">
        <v>113</v>
      </c>
      <c r="Q1676" t="b">
        <v>1</v>
      </c>
      <c r="R1676" t="s">
        <v>8292</v>
      </c>
      <c r="S1676" s="6">
        <f>Table1[[#This Row],[pledged]]/Table1[[#This Row],[goal]]</f>
        <v>2.0169999999999999</v>
      </c>
      <c r="T1676" s="8">
        <f>IF(Table1[[#This Row],[pledged]]=0,"no backers",Table1[[#This Row],[pledged]]/Table1[[#This Row],[backers_count]])</f>
        <v>89.247787610619469</v>
      </c>
      <c r="U1676" t="str">
        <f>LEFT(Table1[[#This Row],[Category and Sub-Category]],FIND("/",Table1[[#This Row],[Category and Sub-Category]])-1)</f>
        <v>music</v>
      </c>
      <c r="V1676" t="str">
        <f>RIGHT(Table1[[#This Row],[Category and Sub-Category]],LEN(Table1[[#This Row],[Category and Sub-Category]])-FIND("/",Table1[[#This Row],[Category and Sub-Category]]))</f>
        <v>pop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 s="12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>((Table1[[#This Row],[deadline]]/60)/60/24)+DATE(1970,1,1)</f>
        <v>40832.918749999997</v>
      </c>
      <c r="K1677">
        <v>1316194540</v>
      </c>
      <c r="L1677" s="11">
        <f>((Table1[[#This Row],[launched_at]]/60)/60/24)+DATE(1970,1,1)</f>
        <v>40802.733101851853</v>
      </c>
      <c r="M1677">
        <f>MONTH(Table1[[#This Row],[Date Created Conversion]])</f>
        <v>9</v>
      </c>
      <c r="N1677">
        <f>YEAR(Table1[[#This Row],[Date Created Conversion]])</f>
        <v>2011</v>
      </c>
      <c r="O1677" t="b">
        <v>0</v>
      </c>
      <c r="P1677">
        <v>34</v>
      </c>
      <c r="Q1677" t="b">
        <v>1</v>
      </c>
      <c r="R1677" t="s">
        <v>8292</v>
      </c>
      <c r="S1677" s="6">
        <f>Table1[[#This Row],[pledged]]/Table1[[#This Row],[goal]]</f>
        <v>1.37416</v>
      </c>
      <c r="T1677" s="8">
        <f>IF(Table1[[#This Row],[pledged]]=0,"no backers",Table1[[#This Row],[pledged]]/Table1[[#This Row],[backers_count]])</f>
        <v>40.416470588235299</v>
      </c>
      <c r="U1677" t="str">
        <f>LEFT(Table1[[#This Row],[Category and Sub-Category]],FIND("/",Table1[[#This Row],[Category and Sub-Category]])-1)</f>
        <v>music</v>
      </c>
      <c r="V1677" t="str">
        <f>RIGHT(Table1[[#This Row],[Category and Sub-Category]],LEN(Table1[[#This Row],[Category and Sub-Category]])-FIND("/",Table1[[#This Row],[Category and Sub-Category]]))</f>
        <v>pop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 s="12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>((Table1[[#This Row],[deadline]]/60)/60/24)+DATE(1970,1,1)</f>
        <v>41020.165972222225</v>
      </c>
      <c r="K1678">
        <v>1330968347</v>
      </c>
      <c r="L1678" s="11">
        <f>((Table1[[#This Row],[launched_at]]/60)/60/24)+DATE(1970,1,1)</f>
        <v>40973.72623842593</v>
      </c>
      <c r="M1678">
        <f>MONTH(Table1[[#This Row],[Date Created Conversion]])</f>
        <v>3</v>
      </c>
      <c r="N1678">
        <f>YEAR(Table1[[#This Row],[Date Created Conversion]])</f>
        <v>2012</v>
      </c>
      <c r="O1678" t="b">
        <v>0</v>
      </c>
      <c r="P1678">
        <v>42</v>
      </c>
      <c r="Q1678" t="b">
        <v>1</v>
      </c>
      <c r="R1678" t="s">
        <v>8292</v>
      </c>
      <c r="S1678" s="6">
        <f>Table1[[#This Row],[pledged]]/Table1[[#This Row],[goal]]</f>
        <v>1.1533333333333333</v>
      </c>
      <c r="T1678" s="8">
        <f>IF(Table1[[#This Row],[pledged]]=0,"no backers",Table1[[#This Row],[pledged]]/Table1[[#This Row],[backers_count]])</f>
        <v>82.38095238095238</v>
      </c>
      <c r="U1678" t="str">
        <f>LEFT(Table1[[#This Row],[Category and Sub-Category]],FIND("/",Table1[[#This Row],[Category and Sub-Category]])-1)</f>
        <v>music</v>
      </c>
      <c r="V1678" t="str">
        <f>RIGHT(Table1[[#This Row],[Category and Sub-Category]],LEN(Table1[[#This Row],[Category and Sub-Category]])-FIND("/",Table1[[#This Row],[Category and Sub-Category]]))</f>
        <v>pop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 s="12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>((Table1[[#This Row],[deadline]]/60)/60/24)+DATE(1970,1,1)</f>
        <v>42476.249305555553</v>
      </c>
      <c r="K1679">
        <v>1455615976</v>
      </c>
      <c r="L1679" s="11">
        <f>((Table1[[#This Row],[launched_at]]/60)/60/24)+DATE(1970,1,1)</f>
        <v>42416.407129629632</v>
      </c>
      <c r="M1679">
        <f>MONTH(Table1[[#This Row],[Date Created Conversion]])</f>
        <v>2</v>
      </c>
      <c r="N1679">
        <f>YEAR(Table1[[#This Row],[Date Created Conversion]])</f>
        <v>2016</v>
      </c>
      <c r="O1679" t="b">
        <v>0</v>
      </c>
      <c r="P1679">
        <v>42</v>
      </c>
      <c r="Q1679" t="b">
        <v>1</v>
      </c>
      <c r="R1679" t="s">
        <v>8292</v>
      </c>
      <c r="S1679" s="6">
        <f>Table1[[#This Row],[pledged]]/Table1[[#This Row],[goal]]</f>
        <v>1.1166666666666667</v>
      </c>
      <c r="T1679" s="8">
        <f>IF(Table1[[#This Row],[pledged]]=0,"no backers",Table1[[#This Row],[pledged]]/Table1[[#This Row],[backers_count]])</f>
        <v>159.52380952380952</v>
      </c>
      <c r="U1679" t="str">
        <f>LEFT(Table1[[#This Row],[Category and Sub-Category]],FIND("/",Table1[[#This Row],[Category and Sub-Category]])-1)</f>
        <v>music</v>
      </c>
      <c r="V1679" t="str">
        <f>RIGHT(Table1[[#This Row],[Category and Sub-Category]],LEN(Table1[[#This Row],[Category and Sub-Category]])-FIND("/",Table1[[#This Row],[Category and Sub-Category]]))</f>
        <v>pop</v>
      </c>
    </row>
    <row r="1680" spans="1:22" ht="43.2" x14ac:dyDescent="0.3">
      <c r="A1680">
        <v>1678</v>
      </c>
      <c r="B1680" s="3" t="s">
        <v>1679</v>
      </c>
      <c r="C1680" s="3" t="s">
        <v>5788</v>
      </c>
      <c r="D1680" s="12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>((Table1[[#This Row],[deadline]]/60)/60/24)+DATE(1970,1,1)</f>
        <v>41676.854988425926</v>
      </c>
      <c r="K1680">
        <v>1390509071</v>
      </c>
      <c r="L1680" s="11">
        <f>((Table1[[#This Row],[launched_at]]/60)/60/24)+DATE(1970,1,1)</f>
        <v>41662.854988425926</v>
      </c>
      <c r="M1680">
        <f>MONTH(Table1[[#This Row],[Date Created Conversion]])</f>
        <v>1</v>
      </c>
      <c r="N1680">
        <f>YEAR(Table1[[#This Row],[Date Created Conversion]])</f>
        <v>2014</v>
      </c>
      <c r="O1680" t="b">
        <v>0</v>
      </c>
      <c r="P1680">
        <v>49</v>
      </c>
      <c r="Q1680" t="b">
        <v>1</v>
      </c>
      <c r="R1680" t="s">
        <v>8292</v>
      </c>
      <c r="S1680" s="6">
        <f>Table1[[#This Row],[pledged]]/Table1[[#This Row],[goal]]</f>
        <v>1.1839999999999999</v>
      </c>
      <c r="T1680" s="8">
        <f>IF(Table1[[#This Row],[pledged]]=0,"no backers",Table1[[#This Row],[pledged]]/Table1[[#This Row],[backers_count]])</f>
        <v>36.244897959183675</v>
      </c>
      <c r="U1680" t="str">
        <f>LEFT(Table1[[#This Row],[Category and Sub-Category]],FIND("/",Table1[[#This Row],[Category and Sub-Category]])-1)</f>
        <v>music</v>
      </c>
      <c r="V1680" t="str">
        <f>RIGHT(Table1[[#This Row],[Category and Sub-Category]],LEN(Table1[[#This Row],[Category and Sub-Category]])-FIND("/",Table1[[#This Row],[Category and Sub-Category]]))</f>
        <v>pop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 s="12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>((Table1[[#This Row],[deadline]]/60)/60/24)+DATE(1970,1,1)</f>
        <v>40746.068807870368</v>
      </c>
      <c r="K1681">
        <v>1309311545</v>
      </c>
      <c r="L1681" s="11">
        <f>((Table1[[#This Row],[launched_at]]/60)/60/24)+DATE(1970,1,1)</f>
        <v>40723.068807870368</v>
      </c>
      <c r="M1681">
        <f>MONTH(Table1[[#This Row],[Date Created Conversion]])</f>
        <v>6</v>
      </c>
      <c r="N1681">
        <f>YEAR(Table1[[#This Row],[Date Created Conversion]])</f>
        <v>2011</v>
      </c>
      <c r="O1681" t="b">
        <v>0</v>
      </c>
      <c r="P1681">
        <v>56</v>
      </c>
      <c r="Q1681" t="b">
        <v>1</v>
      </c>
      <c r="R1681" t="s">
        <v>8292</v>
      </c>
      <c r="S1681" s="6">
        <f>Table1[[#This Row],[pledged]]/Table1[[#This Row],[goal]]</f>
        <v>1.75</v>
      </c>
      <c r="T1681" s="8">
        <f>IF(Table1[[#This Row],[pledged]]=0,"no backers",Table1[[#This Row],[pledged]]/Table1[[#This Row],[backers_count]])</f>
        <v>62.5</v>
      </c>
      <c r="U1681" t="str">
        <f>LEFT(Table1[[#This Row],[Category and Sub-Category]],FIND("/",Table1[[#This Row],[Category and Sub-Category]])-1)</f>
        <v>music</v>
      </c>
      <c r="V1681" t="str">
        <f>RIGHT(Table1[[#This Row],[Category and Sub-Category]],LEN(Table1[[#This Row],[Category and Sub-Category]])-FIND("/",Table1[[#This Row],[Category and Sub-Category]]))</f>
        <v>pop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 s="1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>((Table1[[#This Row],[deadline]]/60)/60/24)+DATE(1970,1,1)</f>
        <v>41832.757719907408</v>
      </c>
      <c r="K1682">
        <v>1402596667</v>
      </c>
      <c r="L1682" s="11">
        <f>((Table1[[#This Row],[launched_at]]/60)/60/24)+DATE(1970,1,1)</f>
        <v>41802.757719907408</v>
      </c>
      <c r="M1682">
        <f>MONTH(Table1[[#This Row],[Date Created Conversion]])</f>
        <v>6</v>
      </c>
      <c r="N1682">
        <f>YEAR(Table1[[#This Row],[Date Created Conversion]])</f>
        <v>2014</v>
      </c>
      <c r="O1682" t="b">
        <v>0</v>
      </c>
      <c r="P1682">
        <v>25</v>
      </c>
      <c r="Q1682" t="b">
        <v>1</v>
      </c>
      <c r="R1682" t="s">
        <v>8292</v>
      </c>
      <c r="S1682" s="6">
        <f>Table1[[#This Row],[pledged]]/Table1[[#This Row],[goal]]</f>
        <v>1.175</v>
      </c>
      <c r="T1682" s="8">
        <f>IF(Table1[[#This Row],[pledged]]=0,"no backers",Table1[[#This Row],[pledged]]/Table1[[#This Row],[backers_count]])</f>
        <v>47</v>
      </c>
      <c r="U1682" t="str">
        <f>LEFT(Table1[[#This Row],[Category and Sub-Category]],FIND("/",Table1[[#This Row],[Category and Sub-Category]])-1)</f>
        <v>music</v>
      </c>
      <c r="V1682" t="str">
        <f>RIGHT(Table1[[#This Row],[Category and Sub-Category]],LEN(Table1[[#This Row],[Category and Sub-Category]])-FIND("/",Table1[[#This Row],[Category and Sub-Category]]))</f>
        <v>pop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 s="12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>((Table1[[#This Row],[deadline]]/60)/60/24)+DATE(1970,1,1)</f>
        <v>42823.083333333328</v>
      </c>
      <c r="K1683">
        <v>1486522484</v>
      </c>
      <c r="L1683" s="11">
        <f>((Table1[[#This Row],[launched_at]]/60)/60/24)+DATE(1970,1,1)</f>
        <v>42774.121342592596</v>
      </c>
      <c r="M1683">
        <f>MONTH(Table1[[#This Row],[Date Created Conversion]])</f>
        <v>2</v>
      </c>
      <c r="N1683">
        <f>YEAR(Table1[[#This Row],[Date Created Conversion]])</f>
        <v>2017</v>
      </c>
      <c r="O1683" t="b">
        <v>0</v>
      </c>
      <c r="P1683">
        <v>884</v>
      </c>
      <c r="Q1683" t="b">
        <v>0</v>
      </c>
      <c r="R1683" t="s">
        <v>8293</v>
      </c>
      <c r="S1683" s="6">
        <f>Table1[[#This Row],[pledged]]/Table1[[#This Row],[goal]]</f>
        <v>1.0142212307692309</v>
      </c>
      <c r="T1683" s="8">
        <f>IF(Table1[[#This Row],[pledged]]=0,"no backers",Table1[[#This Row],[pledged]]/Table1[[#This Row],[backers_count]])</f>
        <v>74.575090497737563</v>
      </c>
      <c r="U1683" t="str">
        <f>LEFT(Table1[[#This Row],[Category and Sub-Category]],FIND("/",Table1[[#This Row],[Category and Sub-Category]])-1)</f>
        <v>music</v>
      </c>
      <c r="V1683" t="str">
        <f>RIGHT(Table1[[#This Row],[Category and Sub-Category]],LEN(Table1[[#This Row],[Category and Sub-Category]])-FIND("/",Table1[[#This Row],[Category and Sub-Category]]))</f>
        <v>faith</v>
      </c>
    </row>
    <row r="1684" spans="1:22" ht="43.2" x14ac:dyDescent="0.3">
      <c r="A1684">
        <v>1682</v>
      </c>
      <c r="B1684" s="3" t="s">
        <v>1683</v>
      </c>
      <c r="C1684" s="3" t="s">
        <v>5792</v>
      </c>
      <c r="D1684" s="12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>((Table1[[#This Row],[deadline]]/60)/60/24)+DATE(1970,1,1)</f>
        <v>42839.171990740739</v>
      </c>
      <c r="K1684">
        <v>1486962460</v>
      </c>
      <c r="L1684" s="11">
        <f>((Table1[[#This Row],[launched_at]]/60)/60/24)+DATE(1970,1,1)</f>
        <v>42779.21365740741</v>
      </c>
      <c r="M1684">
        <f>MONTH(Table1[[#This Row],[Date Created Conversion]])</f>
        <v>2</v>
      </c>
      <c r="N1684">
        <f>YEAR(Table1[[#This Row],[Date Created Conversion]])</f>
        <v>2017</v>
      </c>
      <c r="O1684" t="b">
        <v>0</v>
      </c>
      <c r="P1684">
        <v>0</v>
      </c>
      <c r="Q1684" t="b">
        <v>0</v>
      </c>
      <c r="R1684" t="s">
        <v>8293</v>
      </c>
      <c r="S1684" s="6">
        <f>Table1[[#This Row],[pledged]]/Table1[[#This Row],[goal]]</f>
        <v>0</v>
      </c>
      <c r="T1684" s="8" t="str">
        <f>IF(Table1[[#This Row],[pledged]]=0,"no backers",Table1[[#This Row],[pledged]]/Table1[[#This Row],[backers_count]])</f>
        <v>no backers</v>
      </c>
      <c r="U1684" t="str">
        <f>LEFT(Table1[[#This Row],[Category and Sub-Category]],FIND("/",Table1[[#This Row],[Category and Sub-Category]])-1)</f>
        <v>music</v>
      </c>
      <c r="V1684" t="str">
        <f>RIGHT(Table1[[#This Row],[Category and Sub-Category]],LEN(Table1[[#This Row],[Category and Sub-Category]])-FIND("/",Table1[[#This Row],[Category and Sub-Category]]))</f>
        <v>faith</v>
      </c>
    </row>
    <row r="1685" spans="1:22" ht="43.2" x14ac:dyDescent="0.3">
      <c r="A1685">
        <v>1683</v>
      </c>
      <c r="B1685" s="3" t="s">
        <v>1684</v>
      </c>
      <c r="C1685" s="3" t="s">
        <v>5793</v>
      </c>
      <c r="D1685" s="12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>((Table1[[#This Row],[deadline]]/60)/60/24)+DATE(1970,1,1)</f>
        <v>42832.781689814816</v>
      </c>
      <c r="K1685">
        <v>1489517138</v>
      </c>
      <c r="L1685" s="11">
        <f>((Table1[[#This Row],[launched_at]]/60)/60/24)+DATE(1970,1,1)</f>
        <v>42808.781689814816</v>
      </c>
      <c r="M1685">
        <f>MONTH(Table1[[#This Row],[Date Created Conversion]])</f>
        <v>3</v>
      </c>
      <c r="N1685">
        <f>YEAR(Table1[[#This Row],[Date Created Conversion]])</f>
        <v>2017</v>
      </c>
      <c r="O1685" t="b">
        <v>0</v>
      </c>
      <c r="P1685">
        <v>10</v>
      </c>
      <c r="Q1685" t="b">
        <v>0</v>
      </c>
      <c r="R1685" t="s">
        <v>8293</v>
      </c>
      <c r="S1685" s="6">
        <f>Table1[[#This Row],[pledged]]/Table1[[#This Row],[goal]]</f>
        <v>0.21714285714285714</v>
      </c>
      <c r="T1685" s="8">
        <f>IF(Table1[[#This Row],[pledged]]=0,"no backers",Table1[[#This Row],[pledged]]/Table1[[#This Row],[backers_count]])</f>
        <v>76</v>
      </c>
      <c r="U1685" t="str">
        <f>LEFT(Table1[[#This Row],[Category and Sub-Category]],FIND("/",Table1[[#This Row],[Category and Sub-Category]])-1)</f>
        <v>music</v>
      </c>
      <c r="V1685" t="str">
        <f>RIGHT(Table1[[#This Row],[Category and Sub-Category]],LEN(Table1[[#This Row],[Category and Sub-Category]])-FIND("/",Table1[[#This Row],[Category and Sub-Category]]))</f>
        <v>faith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 s="12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>((Table1[[#This Row],[deadline]]/60)/60/24)+DATE(1970,1,1)</f>
        <v>42811.773622685185</v>
      </c>
      <c r="K1686">
        <v>1487360041</v>
      </c>
      <c r="L1686" s="11">
        <f>((Table1[[#This Row],[launched_at]]/60)/60/24)+DATE(1970,1,1)</f>
        <v>42783.815289351856</v>
      </c>
      <c r="M1686">
        <f>MONTH(Table1[[#This Row],[Date Created Conversion]])</f>
        <v>2</v>
      </c>
      <c r="N1686">
        <f>YEAR(Table1[[#This Row],[Date Created Conversion]])</f>
        <v>2017</v>
      </c>
      <c r="O1686" t="b">
        <v>0</v>
      </c>
      <c r="P1686">
        <v>101</v>
      </c>
      <c r="Q1686" t="b">
        <v>0</v>
      </c>
      <c r="R1686" t="s">
        <v>8293</v>
      </c>
      <c r="S1686" s="6">
        <f>Table1[[#This Row],[pledged]]/Table1[[#This Row],[goal]]</f>
        <v>1.0912500000000001</v>
      </c>
      <c r="T1686" s="8">
        <f>IF(Table1[[#This Row],[pledged]]=0,"no backers",Table1[[#This Row],[pledged]]/Table1[[#This Row],[backers_count]])</f>
        <v>86.43564356435644</v>
      </c>
      <c r="U1686" t="str">
        <f>LEFT(Table1[[#This Row],[Category and Sub-Category]],FIND("/",Table1[[#This Row],[Category and Sub-Category]])-1)</f>
        <v>music</v>
      </c>
      <c r="V1686" t="str">
        <f>RIGHT(Table1[[#This Row],[Category and Sub-Category]],LEN(Table1[[#This Row],[Category and Sub-Category]])-FIND("/",Table1[[#This Row],[Category and Sub-Category]]))</f>
        <v>faith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 s="12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>((Table1[[#This Row],[deadline]]/60)/60/24)+DATE(1970,1,1)</f>
        <v>42818.208599537036</v>
      </c>
      <c r="K1687">
        <v>1487743223</v>
      </c>
      <c r="L1687" s="11">
        <f>((Table1[[#This Row],[launched_at]]/60)/60/24)+DATE(1970,1,1)</f>
        <v>42788.2502662037</v>
      </c>
      <c r="M1687">
        <f>MONTH(Table1[[#This Row],[Date Created Conversion]])</f>
        <v>2</v>
      </c>
      <c r="N1687">
        <f>YEAR(Table1[[#This Row],[Date Created Conversion]])</f>
        <v>2017</v>
      </c>
      <c r="O1687" t="b">
        <v>0</v>
      </c>
      <c r="P1687">
        <v>15</v>
      </c>
      <c r="Q1687" t="b">
        <v>0</v>
      </c>
      <c r="R1687" t="s">
        <v>8293</v>
      </c>
      <c r="S1687" s="6">
        <f>Table1[[#This Row],[pledged]]/Table1[[#This Row],[goal]]</f>
        <v>1.0285714285714285</v>
      </c>
      <c r="T1687" s="8">
        <f>IF(Table1[[#This Row],[pledged]]=0,"no backers",Table1[[#This Row],[pledged]]/Table1[[#This Row],[backers_count]])</f>
        <v>24</v>
      </c>
      <c r="U1687" t="str">
        <f>LEFT(Table1[[#This Row],[Category and Sub-Category]],FIND("/",Table1[[#This Row],[Category and Sub-Category]])-1)</f>
        <v>music</v>
      </c>
      <c r="V1687" t="str">
        <f>RIGHT(Table1[[#This Row],[Category and Sub-Category]],LEN(Table1[[#This Row],[Category and Sub-Category]])-FIND("/",Table1[[#This Row],[Category and Sub-Category]]))</f>
        <v>faith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 s="12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>((Table1[[#This Row],[deadline]]/60)/60/24)+DATE(1970,1,1)</f>
        <v>42852.802303240736</v>
      </c>
      <c r="K1688">
        <v>1488140119</v>
      </c>
      <c r="L1688" s="11">
        <f>((Table1[[#This Row],[launched_at]]/60)/60/24)+DATE(1970,1,1)</f>
        <v>42792.843969907408</v>
      </c>
      <c r="M1688">
        <f>MONTH(Table1[[#This Row],[Date Created Conversion]])</f>
        <v>2</v>
      </c>
      <c r="N1688">
        <f>YEAR(Table1[[#This Row],[Date Created Conversion]])</f>
        <v>2017</v>
      </c>
      <c r="O1688" t="b">
        <v>0</v>
      </c>
      <c r="P1688">
        <v>1</v>
      </c>
      <c r="Q1688" t="b">
        <v>0</v>
      </c>
      <c r="R1688" t="s">
        <v>8293</v>
      </c>
      <c r="S1688" s="6">
        <f>Table1[[#This Row],[pledged]]/Table1[[#This Row],[goal]]</f>
        <v>3.5999999999999999E-3</v>
      </c>
      <c r="T1688" s="8">
        <f>IF(Table1[[#This Row],[pledged]]=0,"no backers",Table1[[#This Row],[pledged]]/Table1[[#This Row],[backers_count]])</f>
        <v>18</v>
      </c>
      <c r="U1688" t="str">
        <f>LEFT(Table1[[#This Row],[Category and Sub-Category]],FIND("/",Table1[[#This Row],[Category and Sub-Category]])-1)</f>
        <v>music</v>
      </c>
      <c r="V1688" t="str">
        <f>RIGHT(Table1[[#This Row],[Category and Sub-Category]],LEN(Table1[[#This Row],[Category and Sub-Category]])-FIND("/",Table1[[#This Row],[Category and Sub-Category]]))</f>
        <v>faith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 s="12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>((Table1[[#This Row],[deadline]]/60)/60/24)+DATE(1970,1,1)</f>
        <v>42835.84375</v>
      </c>
      <c r="K1689">
        <v>1488935245</v>
      </c>
      <c r="L1689" s="11">
        <f>((Table1[[#This Row],[launched_at]]/60)/60/24)+DATE(1970,1,1)</f>
        <v>42802.046817129631</v>
      </c>
      <c r="M1689">
        <f>MONTH(Table1[[#This Row],[Date Created Conversion]])</f>
        <v>3</v>
      </c>
      <c r="N1689">
        <f>YEAR(Table1[[#This Row],[Date Created Conversion]])</f>
        <v>2017</v>
      </c>
      <c r="O1689" t="b">
        <v>0</v>
      </c>
      <c r="P1689">
        <v>39</v>
      </c>
      <c r="Q1689" t="b">
        <v>0</v>
      </c>
      <c r="R1689" t="s">
        <v>8293</v>
      </c>
      <c r="S1689" s="6">
        <f>Table1[[#This Row],[pledged]]/Table1[[#This Row],[goal]]</f>
        <v>0.3125</v>
      </c>
      <c r="T1689" s="8">
        <f>IF(Table1[[#This Row],[pledged]]=0,"no backers",Table1[[#This Row],[pledged]]/Table1[[#This Row],[backers_count]])</f>
        <v>80.128205128205124</v>
      </c>
      <c r="U1689" t="str">
        <f>LEFT(Table1[[#This Row],[Category and Sub-Category]],FIND("/",Table1[[#This Row],[Category and Sub-Category]])-1)</f>
        <v>music</v>
      </c>
      <c r="V1689" t="str">
        <f>RIGHT(Table1[[#This Row],[Category and Sub-Category]],LEN(Table1[[#This Row],[Category and Sub-Category]])-FIND("/",Table1[[#This Row],[Category and Sub-Category]]))</f>
        <v>faith</v>
      </c>
    </row>
    <row r="1690" spans="1:22" ht="57.6" x14ac:dyDescent="0.3">
      <c r="A1690">
        <v>1688</v>
      </c>
      <c r="B1690" s="3" t="s">
        <v>1689</v>
      </c>
      <c r="C1690" s="3" t="s">
        <v>5798</v>
      </c>
      <c r="D1690" s="12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>((Table1[[#This Row],[deadline]]/60)/60/24)+DATE(1970,1,1)</f>
        <v>42834.492986111116</v>
      </c>
      <c r="K1690">
        <v>1489150194</v>
      </c>
      <c r="L1690" s="11">
        <f>((Table1[[#This Row],[launched_at]]/60)/60/24)+DATE(1970,1,1)</f>
        <v>42804.534652777773</v>
      </c>
      <c r="M1690">
        <f>MONTH(Table1[[#This Row],[Date Created Conversion]])</f>
        <v>3</v>
      </c>
      <c r="N1690">
        <f>YEAR(Table1[[#This Row],[Date Created Conversion]])</f>
        <v>2017</v>
      </c>
      <c r="O1690" t="b">
        <v>0</v>
      </c>
      <c r="P1690">
        <v>7</v>
      </c>
      <c r="Q1690" t="b">
        <v>0</v>
      </c>
      <c r="R1690" t="s">
        <v>8293</v>
      </c>
      <c r="S1690" s="6">
        <f>Table1[[#This Row],[pledged]]/Table1[[#This Row],[goal]]</f>
        <v>0.443</v>
      </c>
      <c r="T1690" s="8">
        <f>IF(Table1[[#This Row],[pledged]]=0,"no backers",Table1[[#This Row],[pledged]]/Table1[[#This Row],[backers_count]])</f>
        <v>253.14285714285714</v>
      </c>
      <c r="U1690" t="str">
        <f>LEFT(Table1[[#This Row],[Category and Sub-Category]],FIND("/",Table1[[#This Row],[Category and Sub-Category]])-1)</f>
        <v>music</v>
      </c>
      <c r="V1690" t="str">
        <f>RIGHT(Table1[[#This Row],[Category and Sub-Category]],LEN(Table1[[#This Row],[Category and Sub-Category]])-FIND("/",Table1[[#This Row],[Category and Sub-Category]]))</f>
        <v>faith</v>
      </c>
    </row>
    <row r="1691" spans="1:22" ht="28.8" x14ac:dyDescent="0.3">
      <c r="A1691">
        <v>1689</v>
      </c>
      <c r="B1691" s="3" t="s">
        <v>1690</v>
      </c>
      <c r="C1691" s="3" t="s">
        <v>5799</v>
      </c>
      <c r="D1691" s="12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>((Table1[[#This Row],[deadline]]/60)/60/24)+DATE(1970,1,1)</f>
        <v>42810.900810185187</v>
      </c>
      <c r="K1691">
        <v>1487111830</v>
      </c>
      <c r="L1691" s="11">
        <f>((Table1[[#This Row],[launched_at]]/60)/60/24)+DATE(1970,1,1)</f>
        <v>42780.942476851851</v>
      </c>
      <c r="M1691">
        <f>MONTH(Table1[[#This Row],[Date Created Conversion]])</f>
        <v>2</v>
      </c>
      <c r="N1691">
        <f>YEAR(Table1[[#This Row],[Date Created Conversion]])</f>
        <v>2017</v>
      </c>
      <c r="O1691" t="b">
        <v>0</v>
      </c>
      <c r="P1691">
        <v>14</v>
      </c>
      <c r="Q1691" t="b">
        <v>0</v>
      </c>
      <c r="R1691" t="s">
        <v>8293</v>
      </c>
      <c r="S1691" s="6">
        <f>Table1[[#This Row],[pledged]]/Table1[[#This Row],[goal]]</f>
        <v>1</v>
      </c>
      <c r="T1691" s="8">
        <f>IF(Table1[[#This Row],[pledged]]=0,"no backers",Table1[[#This Row],[pledged]]/Table1[[#This Row],[backers_count]])</f>
        <v>171.42857142857142</v>
      </c>
      <c r="U1691" t="str">
        <f>LEFT(Table1[[#This Row],[Category and Sub-Category]],FIND("/",Table1[[#This Row],[Category and Sub-Category]])-1)</f>
        <v>music</v>
      </c>
      <c r="V1691" t="str">
        <f>RIGHT(Table1[[#This Row],[Category and Sub-Category]],LEN(Table1[[#This Row],[Category and Sub-Category]])-FIND("/",Table1[[#This Row],[Category and Sub-Category]]))</f>
        <v>faith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 s="1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>((Table1[[#This Row],[deadline]]/60)/60/24)+DATE(1970,1,1)</f>
        <v>42831.389374999999</v>
      </c>
      <c r="K1692">
        <v>1488882042</v>
      </c>
      <c r="L1692" s="11">
        <f>((Table1[[#This Row],[launched_at]]/60)/60/24)+DATE(1970,1,1)</f>
        <v>42801.43104166667</v>
      </c>
      <c r="M1692">
        <f>MONTH(Table1[[#This Row],[Date Created Conversion]])</f>
        <v>3</v>
      </c>
      <c r="N1692">
        <f>YEAR(Table1[[#This Row],[Date Created Conversion]])</f>
        <v>2017</v>
      </c>
      <c r="O1692" t="b">
        <v>0</v>
      </c>
      <c r="P1692">
        <v>11</v>
      </c>
      <c r="Q1692" t="b">
        <v>0</v>
      </c>
      <c r="R1692" t="s">
        <v>8293</v>
      </c>
      <c r="S1692" s="6">
        <f>Table1[[#This Row],[pledged]]/Table1[[#This Row],[goal]]</f>
        <v>0.254</v>
      </c>
      <c r="T1692" s="8">
        <f>IF(Table1[[#This Row],[pledged]]=0,"no backers",Table1[[#This Row],[pledged]]/Table1[[#This Row],[backers_count]])</f>
        <v>57.727272727272727</v>
      </c>
      <c r="U1692" t="str">
        <f>LEFT(Table1[[#This Row],[Category and Sub-Category]],FIND("/",Table1[[#This Row],[Category and Sub-Category]])-1)</f>
        <v>music</v>
      </c>
      <c r="V1692" t="str">
        <f>RIGHT(Table1[[#This Row],[Category and Sub-Category]],LEN(Table1[[#This Row],[Category and Sub-Category]])-FIND("/",Table1[[#This Row],[Category and Sub-Category]]))</f>
        <v>faith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 s="12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>((Table1[[#This Row],[deadline]]/60)/60/24)+DATE(1970,1,1)</f>
        <v>42828.041666666672</v>
      </c>
      <c r="K1693">
        <v>1488387008</v>
      </c>
      <c r="L1693" s="11">
        <f>((Table1[[#This Row],[launched_at]]/60)/60/24)+DATE(1970,1,1)</f>
        <v>42795.701481481476</v>
      </c>
      <c r="M1693">
        <f>MONTH(Table1[[#This Row],[Date Created Conversion]])</f>
        <v>3</v>
      </c>
      <c r="N1693">
        <f>YEAR(Table1[[#This Row],[Date Created Conversion]])</f>
        <v>2017</v>
      </c>
      <c r="O1693" t="b">
        <v>0</v>
      </c>
      <c r="P1693">
        <v>38</v>
      </c>
      <c r="Q1693" t="b">
        <v>0</v>
      </c>
      <c r="R1693" t="s">
        <v>8293</v>
      </c>
      <c r="S1693" s="6">
        <f>Table1[[#This Row],[pledged]]/Table1[[#This Row],[goal]]</f>
        <v>0.33473333333333333</v>
      </c>
      <c r="T1693" s="8">
        <f>IF(Table1[[#This Row],[pledged]]=0,"no backers",Table1[[#This Row],[pledged]]/Table1[[#This Row],[backers_count]])</f>
        <v>264.26315789473682</v>
      </c>
      <c r="U1693" t="str">
        <f>LEFT(Table1[[#This Row],[Category and Sub-Category]],FIND("/",Table1[[#This Row],[Category and Sub-Category]])-1)</f>
        <v>music</v>
      </c>
      <c r="V1693" t="str">
        <f>RIGHT(Table1[[#This Row],[Category and Sub-Category]],LEN(Table1[[#This Row],[Category and Sub-Category]])-FIND("/",Table1[[#This Row],[Category and Sub-Category]]))</f>
        <v>faith</v>
      </c>
    </row>
    <row r="1694" spans="1:22" ht="43.2" x14ac:dyDescent="0.3">
      <c r="A1694">
        <v>1692</v>
      </c>
      <c r="B1694" s="3" t="s">
        <v>1693</v>
      </c>
      <c r="C1694" s="3" t="s">
        <v>5802</v>
      </c>
      <c r="D1694" s="12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>((Table1[[#This Row],[deadline]]/60)/60/24)+DATE(1970,1,1)</f>
        <v>42820.999305555553</v>
      </c>
      <c r="K1694">
        <v>1487734667</v>
      </c>
      <c r="L1694" s="11">
        <f>((Table1[[#This Row],[launched_at]]/60)/60/24)+DATE(1970,1,1)</f>
        <v>42788.151238425926</v>
      </c>
      <c r="M1694">
        <f>MONTH(Table1[[#This Row],[Date Created Conversion]])</f>
        <v>2</v>
      </c>
      <c r="N1694">
        <f>YEAR(Table1[[#This Row],[Date Created Conversion]])</f>
        <v>2017</v>
      </c>
      <c r="O1694" t="b">
        <v>0</v>
      </c>
      <c r="P1694">
        <v>15</v>
      </c>
      <c r="Q1694" t="b">
        <v>0</v>
      </c>
      <c r="R1694" t="s">
        <v>8293</v>
      </c>
      <c r="S1694" s="6">
        <f>Table1[[#This Row],[pledged]]/Table1[[#This Row],[goal]]</f>
        <v>0.47799999999999998</v>
      </c>
      <c r="T1694" s="8">
        <f>IF(Table1[[#This Row],[pledged]]=0,"no backers",Table1[[#This Row],[pledged]]/Table1[[#This Row],[backers_count]])</f>
        <v>159.33333333333334</v>
      </c>
      <c r="U1694" t="str">
        <f>LEFT(Table1[[#This Row],[Category and Sub-Category]],FIND("/",Table1[[#This Row],[Category and Sub-Category]])-1)</f>
        <v>music</v>
      </c>
      <c r="V1694" t="str">
        <f>RIGHT(Table1[[#This Row],[Category and Sub-Category]],LEN(Table1[[#This Row],[Category and Sub-Category]])-FIND("/",Table1[[#This Row],[Category and Sub-Category]]))</f>
        <v>faith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 s="12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>((Table1[[#This Row],[deadline]]/60)/60/24)+DATE(1970,1,1)</f>
        <v>42834.833333333328</v>
      </c>
      <c r="K1695">
        <v>1489097112</v>
      </c>
      <c r="L1695" s="11">
        <f>((Table1[[#This Row],[launched_at]]/60)/60/24)+DATE(1970,1,1)</f>
        <v>42803.920277777783</v>
      </c>
      <c r="M1695">
        <f>MONTH(Table1[[#This Row],[Date Created Conversion]])</f>
        <v>3</v>
      </c>
      <c r="N1695">
        <f>YEAR(Table1[[#This Row],[Date Created Conversion]])</f>
        <v>2017</v>
      </c>
      <c r="O1695" t="b">
        <v>0</v>
      </c>
      <c r="P1695">
        <v>8</v>
      </c>
      <c r="Q1695" t="b">
        <v>0</v>
      </c>
      <c r="R1695" t="s">
        <v>8293</v>
      </c>
      <c r="S1695" s="6">
        <f>Table1[[#This Row],[pledged]]/Table1[[#This Row],[goal]]</f>
        <v>9.3333333333333338E-2</v>
      </c>
      <c r="T1695" s="8">
        <f>IF(Table1[[#This Row],[pledged]]=0,"no backers",Table1[[#This Row],[pledged]]/Table1[[#This Row],[backers_count]])</f>
        <v>35</v>
      </c>
      <c r="U1695" t="str">
        <f>LEFT(Table1[[#This Row],[Category and Sub-Category]],FIND("/",Table1[[#This Row],[Category and Sub-Category]])-1)</f>
        <v>music</v>
      </c>
      <c r="V1695" t="str">
        <f>RIGHT(Table1[[#This Row],[Category and Sub-Category]],LEN(Table1[[#This Row],[Category and Sub-Category]])-FIND("/",Table1[[#This Row],[Category and Sub-Category]]))</f>
        <v>faith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 s="12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>((Table1[[#This Row],[deadline]]/60)/60/24)+DATE(1970,1,1)</f>
        <v>42821.191666666666</v>
      </c>
      <c r="K1696">
        <v>1488038674</v>
      </c>
      <c r="L1696" s="11">
        <f>((Table1[[#This Row],[launched_at]]/60)/60/24)+DATE(1970,1,1)</f>
        <v>42791.669837962967</v>
      </c>
      <c r="M1696">
        <f>MONTH(Table1[[#This Row],[Date Created Conversion]])</f>
        <v>2</v>
      </c>
      <c r="N1696">
        <f>YEAR(Table1[[#This Row],[Date Created Conversion]])</f>
        <v>2017</v>
      </c>
      <c r="O1696" t="b">
        <v>0</v>
      </c>
      <c r="P1696">
        <v>1</v>
      </c>
      <c r="Q1696" t="b">
        <v>0</v>
      </c>
      <c r="R1696" t="s">
        <v>8293</v>
      </c>
      <c r="S1696" s="6">
        <f>Table1[[#This Row],[pledged]]/Table1[[#This Row],[goal]]</f>
        <v>5.0000000000000001E-4</v>
      </c>
      <c r="T1696" s="8">
        <f>IF(Table1[[#This Row],[pledged]]=0,"no backers",Table1[[#This Row],[pledged]]/Table1[[#This Row],[backers_count]])</f>
        <v>5</v>
      </c>
      <c r="U1696" t="str">
        <f>LEFT(Table1[[#This Row],[Category and Sub-Category]],FIND("/",Table1[[#This Row],[Category and Sub-Category]])-1)</f>
        <v>music</v>
      </c>
      <c r="V1696" t="str">
        <f>RIGHT(Table1[[#This Row],[Category and Sub-Category]],LEN(Table1[[#This Row],[Category and Sub-Category]])-FIND("/",Table1[[#This Row],[Category and Sub-Category]]))</f>
        <v>faith</v>
      </c>
    </row>
    <row r="1697" spans="1:22" ht="57.6" x14ac:dyDescent="0.3">
      <c r="A1697">
        <v>1695</v>
      </c>
      <c r="B1697" s="3" t="s">
        <v>1696</v>
      </c>
      <c r="C1697" s="3" t="s">
        <v>5805</v>
      </c>
      <c r="D1697" s="12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>((Table1[[#This Row],[deadline]]/60)/60/24)+DATE(1970,1,1)</f>
        <v>42835.041666666672</v>
      </c>
      <c r="K1697">
        <v>1488847514</v>
      </c>
      <c r="L1697" s="11">
        <f>((Table1[[#This Row],[launched_at]]/60)/60/24)+DATE(1970,1,1)</f>
        <v>42801.031412037039</v>
      </c>
      <c r="M1697">
        <f>MONTH(Table1[[#This Row],[Date Created Conversion]])</f>
        <v>3</v>
      </c>
      <c r="N1697">
        <f>YEAR(Table1[[#This Row],[Date Created Conversion]])</f>
        <v>2017</v>
      </c>
      <c r="O1697" t="b">
        <v>0</v>
      </c>
      <c r="P1697">
        <v>23</v>
      </c>
      <c r="Q1697" t="b">
        <v>0</v>
      </c>
      <c r="R1697" t="s">
        <v>8293</v>
      </c>
      <c r="S1697" s="6">
        <f>Table1[[#This Row],[pledged]]/Table1[[#This Row],[goal]]</f>
        <v>0.11708333333333333</v>
      </c>
      <c r="T1697" s="8">
        <f>IF(Table1[[#This Row],[pledged]]=0,"no backers",Table1[[#This Row],[pledged]]/Table1[[#This Row],[backers_count]])</f>
        <v>61.086956521739133</v>
      </c>
      <c r="U1697" t="str">
        <f>LEFT(Table1[[#This Row],[Category and Sub-Category]],FIND("/",Table1[[#This Row],[Category and Sub-Category]])-1)</f>
        <v>music</v>
      </c>
      <c r="V1697" t="str">
        <f>RIGHT(Table1[[#This Row],[Category and Sub-Category]],LEN(Table1[[#This Row],[Category and Sub-Category]])-FIND("/",Table1[[#This Row],[Category and Sub-Category]]))</f>
        <v>faith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 s="12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>((Table1[[#This Row],[deadline]]/60)/60/24)+DATE(1970,1,1)</f>
        <v>42826.027905092589</v>
      </c>
      <c r="K1698">
        <v>1488418811</v>
      </c>
      <c r="L1698" s="11">
        <f>((Table1[[#This Row],[launched_at]]/60)/60/24)+DATE(1970,1,1)</f>
        <v>42796.069571759261</v>
      </c>
      <c r="M1698">
        <f>MONTH(Table1[[#This Row],[Date Created Conversion]])</f>
        <v>3</v>
      </c>
      <c r="N1698">
        <f>YEAR(Table1[[#This Row],[Date Created Conversion]])</f>
        <v>2017</v>
      </c>
      <c r="O1698" t="b">
        <v>0</v>
      </c>
      <c r="P1698">
        <v>0</v>
      </c>
      <c r="Q1698" t="b">
        <v>0</v>
      </c>
      <c r="R1698" t="s">
        <v>8293</v>
      </c>
      <c r="S1698" s="6">
        <f>Table1[[#This Row],[pledged]]/Table1[[#This Row],[goal]]</f>
        <v>0</v>
      </c>
      <c r="T1698" s="8" t="str">
        <f>IF(Table1[[#This Row],[pledged]]=0,"no backers",Table1[[#This Row],[pledged]]/Table1[[#This Row],[backers_count]])</f>
        <v>no backers</v>
      </c>
      <c r="U1698" t="str">
        <f>LEFT(Table1[[#This Row],[Category and Sub-Category]],FIND("/",Table1[[#This Row],[Category and Sub-Category]])-1)</f>
        <v>music</v>
      </c>
      <c r="V1698" t="str">
        <f>RIGHT(Table1[[#This Row],[Category and Sub-Category]],LEN(Table1[[#This Row],[Category and Sub-Category]])-FIND("/",Table1[[#This Row],[Category and Sub-Category]]))</f>
        <v>faith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 s="12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>((Table1[[#This Row],[deadline]]/60)/60/24)+DATE(1970,1,1)</f>
        <v>42834.991296296299</v>
      </c>
      <c r="K1699">
        <v>1489193248</v>
      </c>
      <c r="L1699" s="11">
        <f>((Table1[[#This Row],[launched_at]]/60)/60/24)+DATE(1970,1,1)</f>
        <v>42805.032962962956</v>
      </c>
      <c r="M1699">
        <f>MONTH(Table1[[#This Row],[Date Created Conversion]])</f>
        <v>3</v>
      </c>
      <c r="N1699">
        <f>YEAR(Table1[[#This Row],[Date Created Conversion]])</f>
        <v>2017</v>
      </c>
      <c r="O1699" t="b">
        <v>0</v>
      </c>
      <c r="P1699">
        <v>22</v>
      </c>
      <c r="Q1699" t="b">
        <v>0</v>
      </c>
      <c r="R1699" t="s">
        <v>8293</v>
      </c>
      <c r="S1699" s="6">
        <f>Table1[[#This Row],[pledged]]/Table1[[#This Row],[goal]]</f>
        <v>0.20208000000000001</v>
      </c>
      <c r="T1699" s="8">
        <f>IF(Table1[[#This Row],[pledged]]=0,"no backers",Table1[[#This Row],[pledged]]/Table1[[#This Row],[backers_count]])</f>
        <v>114.81818181818181</v>
      </c>
      <c r="U1699" t="str">
        <f>LEFT(Table1[[#This Row],[Category and Sub-Category]],FIND("/",Table1[[#This Row],[Category and Sub-Category]])-1)</f>
        <v>music</v>
      </c>
      <c r="V1699" t="str">
        <f>RIGHT(Table1[[#This Row],[Category and Sub-Category]],LEN(Table1[[#This Row],[Category and Sub-Category]])-FIND("/",Table1[[#This Row],[Category and Sub-Category]]))</f>
        <v>faith</v>
      </c>
    </row>
    <row r="1700" spans="1:22" ht="72" x14ac:dyDescent="0.3">
      <c r="A1700">
        <v>1698</v>
      </c>
      <c r="B1700" s="3" t="s">
        <v>1699</v>
      </c>
      <c r="C1700" s="3" t="s">
        <v>5808</v>
      </c>
      <c r="D1700" s="12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>((Table1[[#This Row],[deadline]]/60)/60/24)+DATE(1970,1,1)</f>
        <v>42820.147916666669</v>
      </c>
      <c r="K1700">
        <v>1488430760</v>
      </c>
      <c r="L1700" s="11">
        <f>((Table1[[#This Row],[launched_at]]/60)/60/24)+DATE(1970,1,1)</f>
        <v>42796.207870370374</v>
      </c>
      <c r="M1700">
        <f>MONTH(Table1[[#This Row],[Date Created Conversion]])</f>
        <v>3</v>
      </c>
      <c r="N1700">
        <f>YEAR(Table1[[#This Row],[Date Created Conversion]])</f>
        <v>2017</v>
      </c>
      <c r="O1700" t="b">
        <v>0</v>
      </c>
      <c r="P1700">
        <v>0</v>
      </c>
      <c r="Q1700" t="b">
        <v>0</v>
      </c>
      <c r="R1700" t="s">
        <v>8293</v>
      </c>
      <c r="S1700" s="6">
        <f>Table1[[#This Row],[pledged]]/Table1[[#This Row],[goal]]</f>
        <v>0</v>
      </c>
      <c r="T1700" s="8" t="str">
        <f>IF(Table1[[#This Row],[pledged]]=0,"no backers",Table1[[#This Row],[pledged]]/Table1[[#This Row],[backers_count]])</f>
        <v>no backers</v>
      </c>
      <c r="U1700" t="str">
        <f>LEFT(Table1[[#This Row],[Category and Sub-Category]],FIND("/",Table1[[#This Row],[Category and Sub-Category]])-1)</f>
        <v>music</v>
      </c>
      <c r="V1700" t="str">
        <f>RIGHT(Table1[[#This Row],[Category and Sub-Category]],LEN(Table1[[#This Row],[Category and Sub-Category]])-FIND("/",Table1[[#This Row],[Category and Sub-Category]]))</f>
        <v>faith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 s="12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>((Table1[[#This Row],[deadline]]/60)/60/24)+DATE(1970,1,1)</f>
        <v>42836.863946759258</v>
      </c>
      <c r="K1701">
        <v>1489351445</v>
      </c>
      <c r="L1701" s="11">
        <f>((Table1[[#This Row],[launched_at]]/60)/60/24)+DATE(1970,1,1)</f>
        <v>42806.863946759258</v>
      </c>
      <c r="M1701">
        <f>MONTH(Table1[[#This Row],[Date Created Conversion]])</f>
        <v>3</v>
      </c>
      <c r="N1701">
        <f>YEAR(Table1[[#This Row],[Date Created Conversion]])</f>
        <v>2017</v>
      </c>
      <c r="O1701" t="b">
        <v>0</v>
      </c>
      <c r="P1701">
        <v>4</v>
      </c>
      <c r="Q1701" t="b">
        <v>0</v>
      </c>
      <c r="R1701" t="s">
        <v>8293</v>
      </c>
      <c r="S1701" s="6">
        <f>Table1[[#This Row],[pledged]]/Table1[[#This Row],[goal]]</f>
        <v>4.2311459353574929E-2</v>
      </c>
      <c r="T1701" s="8">
        <f>IF(Table1[[#This Row],[pledged]]=0,"no backers",Table1[[#This Row],[pledged]]/Table1[[#This Row],[backers_count]])</f>
        <v>54</v>
      </c>
      <c r="U1701" t="str">
        <f>LEFT(Table1[[#This Row],[Category and Sub-Category]],FIND("/",Table1[[#This Row],[Category and Sub-Category]])-1)</f>
        <v>music</v>
      </c>
      <c r="V1701" t="str">
        <f>RIGHT(Table1[[#This Row],[Category and Sub-Category]],LEN(Table1[[#This Row],[Category and Sub-Category]])-FIND("/",Table1[[#This Row],[Category and Sub-Category]]))</f>
        <v>faith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 s="1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>((Table1[[#This Row],[deadline]]/60)/60/24)+DATE(1970,1,1)</f>
        <v>42826.166666666672</v>
      </c>
      <c r="K1702">
        <v>1488418990</v>
      </c>
      <c r="L1702" s="11">
        <f>((Table1[[#This Row],[launched_at]]/60)/60/24)+DATE(1970,1,1)</f>
        <v>42796.071643518517</v>
      </c>
      <c r="M1702">
        <f>MONTH(Table1[[#This Row],[Date Created Conversion]])</f>
        <v>3</v>
      </c>
      <c r="N1702">
        <f>YEAR(Table1[[#This Row],[Date Created Conversion]])</f>
        <v>2017</v>
      </c>
      <c r="O1702" t="b">
        <v>0</v>
      </c>
      <c r="P1702">
        <v>79</v>
      </c>
      <c r="Q1702" t="b">
        <v>0</v>
      </c>
      <c r="R1702" t="s">
        <v>8293</v>
      </c>
      <c r="S1702" s="6">
        <f>Table1[[#This Row],[pledged]]/Table1[[#This Row],[goal]]</f>
        <v>0.2606</v>
      </c>
      <c r="T1702" s="8">
        <f>IF(Table1[[#This Row],[pledged]]=0,"no backers",Table1[[#This Row],[pledged]]/Table1[[#This Row],[backers_count]])</f>
        <v>65.974683544303801</v>
      </c>
      <c r="U1702" t="str">
        <f>LEFT(Table1[[#This Row],[Category and Sub-Category]],FIND("/",Table1[[#This Row],[Category and Sub-Category]])-1)</f>
        <v>music</v>
      </c>
      <c r="V1702" t="str">
        <f>RIGHT(Table1[[#This Row],[Category and Sub-Category]],LEN(Table1[[#This Row],[Category and Sub-Category]])-FIND("/",Table1[[#This Row],[Category and Sub-Category]]))</f>
        <v>faith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 s="12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>((Table1[[#This Row],[deadline]]/60)/60/24)+DATE(1970,1,1)</f>
        <v>42019.664409722223</v>
      </c>
      <c r="K1703">
        <v>1418745405</v>
      </c>
      <c r="L1703" s="11">
        <f>((Table1[[#This Row],[launched_at]]/60)/60/24)+DATE(1970,1,1)</f>
        <v>41989.664409722223</v>
      </c>
      <c r="M1703">
        <f>MONTH(Table1[[#This Row],[Date Created Conversion]])</f>
        <v>12</v>
      </c>
      <c r="N1703">
        <f>YEAR(Table1[[#This Row],[Date Created Conversion]])</f>
        <v>2014</v>
      </c>
      <c r="O1703" t="b">
        <v>0</v>
      </c>
      <c r="P1703">
        <v>2</v>
      </c>
      <c r="Q1703" t="b">
        <v>0</v>
      </c>
      <c r="R1703" t="s">
        <v>8293</v>
      </c>
      <c r="S1703" s="6">
        <f>Table1[[#This Row],[pledged]]/Table1[[#This Row],[goal]]</f>
        <v>1.9801980198019802E-3</v>
      </c>
      <c r="T1703" s="8">
        <f>IF(Table1[[#This Row],[pledged]]=0,"no backers",Table1[[#This Row],[pledged]]/Table1[[#This Row],[backers_count]])</f>
        <v>5</v>
      </c>
      <c r="U1703" t="str">
        <f>LEFT(Table1[[#This Row],[Category and Sub-Category]],FIND("/",Table1[[#This Row],[Category and Sub-Category]])-1)</f>
        <v>music</v>
      </c>
      <c r="V1703" t="str">
        <f>RIGHT(Table1[[#This Row],[Category and Sub-Category]],LEN(Table1[[#This Row],[Category and Sub-Category]])-FIND("/",Table1[[#This Row],[Category and Sub-Category]]))</f>
        <v>faith</v>
      </c>
    </row>
    <row r="1704" spans="1:22" ht="28.8" x14ac:dyDescent="0.3">
      <c r="A1704">
        <v>1702</v>
      </c>
      <c r="B1704" s="3" t="s">
        <v>1703</v>
      </c>
      <c r="C1704" s="3" t="s">
        <v>5812</v>
      </c>
      <c r="D1704" s="12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>((Table1[[#This Row],[deadline]]/60)/60/24)+DATE(1970,1,1)</f>
        <v>42093.828125</v>
      </c>
      <c r="K1704">
        <v>1425156750</v>
      </c>
      <c r="L1704" s="11">
        <f>((Table1[[#This Row],[launched_at]]/60)/60/24)+DATE(1970,1,1)</f>
        <v>42063.869791666672</v>
      </c>
      <c r="M1704">
        <f>MONTH(Table1[[#This Row],[Date Created Conversion]])</f>
        <v>2</v>
      </c>
      <c r="N1704">
        <f>YEAR(Table1[[#This Row],[Date Created Conversion]])</f>
        <v>2015</v>
      </c>
      <c r="O1704" t="b">
        <v>0</v>
      </c>
      <c r="P1704">
        <v>1</v>
      </c>
      <c r="Q1704" t="b">
        <v>0</v>
      </c>
      <c r="R1704" t="s">
        <v>8293</v>
      </c>
      <c r="S1704" s="6">
        <f>Table1[[#This Row],[pledged]]/Table1[[#This Row],[goal]]</f>
        <v>6.0606060606060605E-5</v>
      </c>
      <c r="T1704" s="8">
        <f>IF(Table1[[#This Row],[pledged]]=0,"no backers",Table1[[#This Row],[pledged]]/Table1[[#This Row],[backers_count]])</f>
        <v>1</v>
      </c>
      <c r="U1704" t="str">
        <f>LEFT(Table1[[#This Row],[Category and Sub-Category]],FIND("/",Table1[[#This Row],[Category and Sub-Category]])-1)</f>
        <v>music</v>
      </c>
      <c r="V1704" t="str">
        <f>RIGHT(Table1[[#This Row],[Category and Sub-Category]],LEN(Table1[[#This Row],[Category and Sub-Category]])-FIND("/",Table1[[#This Row],[Category and Sub-Category]]))</f>
        <v>faith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 s="12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>((Table1[[#This Row],[deadline]]/60)/60/24)+DATE(1970,1,1)</f>
        <v>42247.281678240746</v>
      </c>
      <c r="K1705">
        <v>1435819537</v>
      </c>
      <c r="L1705" s="11">
        <f>((Table1[[#This Row],[launched_at]]/60)/60/24)+DATE(1970,1,1)</f>
        <v>42187.281678240746</v>
      </c>
      <c r="M1705">
        <f>MONTH(Table1[[#This Row],[Date Created Conversion]])</f>
        <v>7</v>
      </c>
      <c r="N1705">
        <f>YEAR(Table1[[#This Row],[Date Created Conversion]])</f>
        <v>2015</v>
      </c>
      <c r="O1705" t="b">
        <v>0</v>
      </c>
      <c r="P1705">
        <v>2</v>
      </c>
      <c r="Q1705" t="b">
        <v>0</v>
      </c>
      <c r="R1705" t="s">
        <v>8293</v>
      </c>
      <c r="S1705" s="6">
        <f>Table1[[#This Row],[pledged]]/Table1[[#This Row],[goal]]</f>
        <v>1.0200000000000001E-2</v>
      </c>
      <c r="T1705" s="8">
        <f>IF(Table1[[#This Row],[pledged]]=0,"no backers",Table1[[#This Row],[pledged]]/Table1[[#This Row],[backers_count]])</f>
        <v>25.5</v>
      </c>
      <c r="U1705" t="str">
        <f>LEFT(Table1[[#This Row],[Category and Sub-Category]],FIND("/",Table1[[#This Row],[Category and Sub-Category]])-1)</f>
        <v>music</v>
      </c>
      <c r="V1705" t="str">
        <f>RIGHT(Table1[[#This Row],[Category and Sub-Category]],LEN(Table1[[#This Row],[Category and Sub-Category]])-FIND("/",Table1[[#This Row],[Category and Sub-Category]]))</f>
        <v>faith</v>
      </c>
    </row>
    <row r="1706" spans="1:22" ht="43.2" x14ac:dyDescent="0.3">
      <c r="A1706">
        <v>1704</v>
      </c>
      <c r="B1706" s="3" t="s">
        <v>1705</v>
      </c>
      <c r="C1706" s="3" t="s">
        <v>5814</v>
      </c>
      <c r="D1706" s="12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>((Table1[[#This Row],[deadline]]/60)/60/24)+DATE(1970,1,1)</f>
        <v>42051.139733796299</v>
      </c>
      <c r="K1706">
        <v>1421464873</v>
      </c>
      <c r="L1706" s="11">
        <f>((Table1[[#This Row],[launched_at]]/60)/60/24)+DATE(1970,1,1)</f>
        <v>42021.139733796299</v>
      </c>
      <c r="M1706">
        <f>MONTH(Table1[[#This Row],[Date Created Conversion]])</f>
        <v>1</v>
      </c>
      <c r="N1706">
        <f>YEAR(Table1[[#This Row],[Date Created Conversion]])</f>
        <v>2015</v>
      </c>
      <c r="O1706" t="b">
        <v>0</v>
      </c>
      <c r="P1706">
        <v>11</v>
      </c>
      <c r="Q1706" t="b">
        <v>0</v>
      </c>
      <c r="R1706" t="s">
        <v>8293</v>
      </c>
      <c r="S1706" s="6">
        <f>Table1[[#This Row],[pledged]]/Table1[[#This Row],[goal]]</f>
        <v>0.65100000000000002</v>
      </c>
      <c r="T1706" s="8">
        <f>IF(Table1[[#This Row],[pledged]]=0,"no backers",Table1[[#This Row],[pledged]]/Table1[[#This Row],[backers_count]])</f>
        <v>118.36363636363636</v>
      </c>
      <c r="U1706" t="str">
        <f>LEFT(Table1[[#This Row],[Category and Sub-Category]],FIND("/",Table1[[#This Row],[Category and Sub-Category]])-1)</f>
        <v>music</v>
      </c>
      <c r="V1706" t="str">
        <f>RIGHT(Table1[[#This Row],[Category and Sub-Category]],LEN(Table1[[#This Row],[Category and Sub-Category]])-FIND("/",Table1[[#This Row],[Category and Sub-Category]]))</f>
        <v>faith</v>
      </c>
    </row>
    <row r="1707" spans="1:22" ht="43.2" x14ac:dyDescent="0.3">
      <c r="A1707">
        <v>1705</v>
      </c>
      <c r="B1707" s="3" t="s">
        <v>1706</v>
      </c>
      <c r="C1707" s="3" t="s">
        <v>5815</v>
      </c>
      <c r="D1707" s="12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>((Table1[[#This Row],[deadline]]/60)/60/24)+DATE(1970,1,1)</f>
        <v>42256.666666666672</v>
      </c>
      <c r="K1707">
        <v>1440807846</v>
      </c>
      <c r="L1707" s="11">
        <f>((Table1[[#This Row],[launched_at]]/60)/60/24)+DATE(1970,1,1)</f>
        <v>42245.016736111109</v>
      </c>
      <c r="M1707">
        <f>MONTH(Table1[[#This Row],[Date Created Conversion]])</f>
        <v>8</v>
      </c>
      <c r="N1707">
        <f>YEAR(Table1[[#This Row],[Date Created Conversion]])</f>
        <v>2015</v>
      </c>
      <c r="O1707" t="b">
        <v>0</v>
      </c>
      <c r="P1707">
        <v>0</v>
      </c>
      <c r="Q1707" t="b">
        <v>0</v>
      </c>
      <c r="R1707" t="s">
        <v>8293</v>
      </c>
      <c r="S1707" s="6">
        <f>Table1[[#This Row],[pledged]]/Table1[[#This Row],[goal]]</f>
        <v>0</v>
      </c>
      <c r="T1707" s="8" t="str">
        <f>IF(Table1[[#This Row],[pledged]]=0,"no backers",Table1[[#This Row],[pledged]]/Table1[[#This Row],[backers_count]])</f>
        <v>no backers</v>
      </c>
      <c r="U1707" t="str">
        <f>LEFT(Table1[[#This Row],[Category and Sub-Category]],FIND("/",Table1[[#This Row],[Category and Sub-Category]])-1)</f>
        <v>music</v>
      </c>
      <c r="V1707" t="str">
        <f>RIGHT(Table1[[#This Row],[Category and Sub-Category]],LEN(Table1[[#This Row],[Category and Sub-Category]])-FIND("/",Table1[[#This Row],[Category and Sub-Category]]))</f>
        <v>faith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 s="12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>((Table1[[#This Row],[deadline]]/60)/60/24)+DATE(1970,1,1)</f>
        <v>42239.306388888886</v>
      </c>
      <c r="K1708">
        <v>1435130472</v>
      </c>
      <c r="L1708" s="11">
        <f>((Table1[[#This Row],[launched_at]]/60)/60/24)+DATE(1970,1,1)</f>
        <v>42179.306388888886</v>
      </c>
      <c r="M1708">
        <f>MONTH(Table1[[#This Row],[Date Created Conversion]])</f>
        <v>6</v>
      </c>
      <c r="N1708">
        <f>YEAR(Table1[[#This Row],[Date Created Conversion]])</f>
        <v>2015</v>
      </c>
      <c r="O1708" t="b">
        <v>0</v>
      </c>
      <c r="P1708">
        <v>0</v>
      </c>
      <c r="Q1708" t="b">
        <v>0</v>
      </c>
      <c r="R1708" t="s">
        <v>8293</v>
      </c>
      <c r="S1708" s="6">
        <f>Table1[[#This Row],[pledged]]/Table1[[#This Row],[goal]]</f>
        <v>0</v>
      </c>
      <c r="T1708" s="8" t="str">
        <f>IF(Table1[[#This Row],[pledged]]=0,"no backers",Table1[[#This Row],[pledged]]/Table1[[#This Row],[backers_count]])</f>
        <v>no backers</v>
      </c>
      <c r="U1708" t="str">
        <f>LEFT(Table1[[#This Row],[Category and Sub-Category]],FIND("/",Table1[[#This Row],[Category and Sub-Category]])-1)</f>
        <v>music</v>
      </c>
      <c r="V1708" t="str">
        <f>RIGHT(Table1[[#This Row],[Category and Sub-Category]],LEN(Table1[[#This Row],[Category and Sub-Category]])-FIND("/",Table1[[#This Row],[Category and Sub-Category]]))</f>
        <v>faith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 s="12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>((Table1[[#This Row],[deadline]]/60)/60/24)+DATE(1970,1,1)</f>
        <v>42457.679340277777</v>
      </c>
      <c r="K1709">
        <v>1456593495</v>
      </c>
      <c r="L1709" s="11">
        <f>((Table1[[#This Row],[launched_at]]/60)/60/24)+DATE(1970,1,1)</f>
        <v>42427.721006944441</v>
      </c>
      <c r="M1709">
        <f>MONTH(Table1[[#This Row],[Date Created Conversion]])</f>
        <v>2</v>
      </c>
      <c r="N1709">
        <f>YEAR(Table1[[#This Row],[Date Created Conversion]])</f>
        <v>2016</v>
      </c>
      <c r="O1709" t="b">
        <v>0</v>
      </c>
      <c r="P1709">
        <v>9</v>
      </c>
      <c r="Q1709" t="b">
        <v>0</v>
      </c>
      <c r="R1709" t="s">
        <v>8293</v>
      </c>
      <c r="S1709" s="6">
        <f>Table1[[#This Row],[pledged]]/Table1[[#This Row],[goal]]</f>
        <v>9.74E-2</v>
      </c>
      <c r="T1709" s="8">
        <f>IF(Table1[[#This Row],[pledged]]=0,"no backers",Table1[[#This Row],[pledged]]/Table1[[#This Row],[backers_count]])</f>
        <v>54.111111111111114</v>
      </c>
      <c r="U1709" t="str">
        <f>LEFT(Table1[[#This Row],[Category and Sub-Category]],FIND("/",Table1[[#This Row],[Category and Sub-Category]])-1)</f>
        <v>music</v>
      </c>
      <c r="V1709" t="str">
        <f>RIGHT(Table1[[#This Row],[Category and Sub-Category]],LEN(Table1[[#This Row],[Category and Sub-Category]])-FIND("/",Table1[[#This Row],[Category and Sub-Category]]))</f>
        <v>faith</v>
      </c>
    </row>
    <row r="1710" spans="1:22" ht="57.6" x14ac:dyDescent="0.3">
      <c r="A1710">
        <v>1708</v>
      </c>
      <c r="B1710" s="3" t="s">
        <v>1709</v>
      </c>
      <c r="C1710" s="3" t="s">
        <v>5818</v>
      </c>
      <c r="D1710" s="12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>((Table1[[#This Row],[deadline]]/60)/60/24)+DATE(1970,1,1)</f>
        <v>42491.866967592592</v>
      </c>
      <c r="K1710">
        <v>1458679706</v>
      </c>
      <c r="L1710" s="11">
        <f>((Table1[[#This Row],[launched_at]]/60)/60/24)+DATE(1970,1,1)</f>
        <v>42451.866967592592</v>
      </c>
      <c r="M1710">
        <f>MONTH(Table1[[#This Row],[Date Created Conversion]])</f>
        <v>3</v>
      </c>
      <c r="N1710">
        <f>YEAR(Table1[[#This Row],[Date Created Conversion]])</f>
        <v>2016</v>
      </c>
      <c r="O1710" t="b">
        <v>0</v>
      </c>
      <c r="P1710">
        <v>0</v>
      </c>
      <c r="Q1710" t="b">
        <v>0</v>
      </c>
      <c r="R1710" t="s">
        <v>8293</v>
      </c>
      <c r="S1710" s="6">
        <f>Table1[[#This Row],[pledged]]/Table1[[#This Row],[goal]]</f>
        <v>0</v>
      </c>
      <c r="T1710" s="8" t="str">
        <f>IF(Table1[[#This Row],[pledged]]=0,"no backers",Table1[[#This Row],[pledged]]/Table1[[#This Row],[backers_count]])</f>
        <v>no backers</v>
      </c>
      <c r="U1710" t="str">
        <f>LEFT(Table1[[#This Row],[Category and Sub-Category]],FIND("/",Table1[[#This Row],[Category and Sub-Category]])-1)</f>
        <v>music</v>
      </c>
      <c r="V1710" t="str">
        <f>RIGHT(Table1[[#This Row],[Category and Sub-Category]],LEN(Table1[[#This Row],[Category and Sub-Category]])-FIND("/",Table1[[#This Row],[Category and Sub-Category]]))</f>
        <v>faith</v>
      </c>
    </row>
    <row r="1711" spans="1:22" ht="43.2" x14ac:dyDescent="0.3">
      <c r="A1711">
        <v>1709</v>
      </c>
      <c r="B1711" s="3" t="s">
        <v>1710</v>
      </c>
      <c r="C1711" s="3" t="s">
        <v>5819</v>
      </c>
      <c r="D1711" s="12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>((Table1[[#This Row],[deadline]]/60)/60/24)+DATE(1970,1,1)</f>
        <v>41882.818749999999</v>
      </c>
      <c r="K1711">
        <v>1405949514</v>
      </c>
      <c r="L1711" s="11">
        <f>((Table1[[#This Row],[launched_at]]/60)/60/24)+DATE(1970,1,1)</f>
        <v>41841.56381944444</v>
      </c>
      <c r="M1711">
        <f>MONTH(Table1[[#This Row],[Date Created Conversion]])</f>
        <v>7</v>
      </c>
      <c r="N1711">
        <f>YEAR(Table1[[#This Row],[Date Created Conversion]])</f>
        <v>2014</v>
      </c>
      <c r="O1711" t="b">
        <v>0</v>
      </c>
      <c r="P1711">
        <v>4</v>
      </c>
      <c r="Q1711" t="b">
        <v>0</v>
      </c>
      <c r="R1711" t="s">
        <v>8293</v>
      </c>
      <c r="S1711" s="6">
        <f>Table1[[#This Row],[pledged]]/Table1[[#This Row],[goal]]</f>
        <v>4.8571428571428571E-2</v>
      </c>
      <c r="T1711" s="8">
        <f>IF(Table1[[#This Row],[pledged]]=0,"no backers",Table1[[#This Row],[pledged]]/Table1[[#This Row],[backers_count]])</f>
        <v>21.25</v>
      </c>
      <c r="U1711" t="str">
        <f>LEFT(Table1[[#This Row],[Category and Sub-Category]],FIND("/",Table1[[#This Row],[Category and Sub-Category]])-1)</f>
        <v>music</v>
      </c>
      <c r="V1711" t="str">
        <f>RIGHT(Table1[[#This Row],[Category and Sub-Category]],LEN(Table1[[#This Row],[Category and Sub-Category]])-FIND("/",Table1[[#This Row],[Category and Sub-Category]]))</f>
        <v>faith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 s="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>((Table1[[#This Row],[deadline]]/60)/60/24)+DATE(1970,1,1)</f>
        <v>42387.541666666672</v>
      </c>
      <c r="K1712">
        <v>1449151888</v>
      </c>
      <c r="L1712" s="11">
        <f>((Table1[[#This Row],[launched_at]]/60)/60/24)+DATE(1970,1,1)</f>
        <v>42341.59129629629</v>
      </c>
      <c r="M1712">
        <f>MONTH(Table1[[#This Row],[Date Created Conversion]])</f>
        <v>12</v>
      </c>
      <c r="N1712">
        <f>YEAR(Table1[[#This Row],[Date Created Conversion]])</f>
        <v>2015</v>
      </c>
      <c r="O1712" t="b">
        <v>0</v>
      </c>
      <c r="P1712">
        <v>1</v>
      </c>
      <c r="Q1712" t="b">
        <v>0</v>
      </c>
      <c r="R1712" t="s">
        <v>8293</v>
      </c>
      <c r="S1712" s="6">
        <f>Table1[[#This Row],[pledged]]/Table1[[#This Row],[goal]]</f>
        <v>6.7999999999999996E-3</v>
      </c>
      <c r="T1712" s="8">
        <f>IF(Table1[[#This Row],[pledged]]=0,"no backers",Table1[[#This Row],[pledged]]/Table1[[#This Row],[backers_count]])</f>
        <v>34</v>
      </c>
      <c r="U1712" t="str">
        <f>LEFT(Table1[[#This Row],[Category and Sub-Category]],FIND("/",Table1[[#This Row],[Category and Sub-Category]])-1)</f>
        <v>music</v>
      </c>
      <c r="V1712" t="str">
        <f>RIGHT(Table1[[#This Row],[Category and Sub-Category]],LEN(Table1[[#This Row],[Category and Sub-Category]])-FIND("/",Table1[[#This Row],[Category and Sub-Category]]))</f>
        <v>faith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 s="12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>((Table1[[#This Row],[deadline]]/60)/60/24)+DATE(1970,1,1)</f>
        <v>41883.646226851852</v>
      </c>
      <c r="K1713">
        <v>1406907034</v>
      </c>
      <c r="L1713" s="11">
        <f>((Table1[[#This Row],[launched_at]]/60)/60/24)+DATE(1970,1,1)</f>
        <v>41852.646226851852</v>
      </c>
      <c r="M1713">
        <f>MONTH(Table1[[#This Row],[Date Created Conversion]])</f>
        <v>8</v>
      </c>
      <c r="N1713">
        <f>YEAR(Table1[[#This Row],[Date Created Conversion]])</f>
        <v>2014</v>
      </c>
      <c r="O1713" t="b">
        <v>0</v>
      </c>
      <c r="P1713">
        <v>2</v>
      </c>
      <c r="Q1713" t="b">
        <v>0</v>
      </c>
      <c r="R1713" t="s">
        <v>8293</v>
      </c>
      <c r="S1713" s="6">
        <f>Table1[[#This Row],[pledged]]/Table1[[#This Row],[goal]]</f>
        <v>0.105</v>
      </c>
      <c r="T1713" s="8">
        <f>IF(Table1[[#This Row],[pledged]]=0,"no backers",Table1[[#This Row],[pledged]]/Table1[[#This Row],[backers_count]])</f>
        <v>525</v>
      </c>
      <c r="U1713" t="str">
        <f>LEFT(Table1[[#This Row],[Category and Sub-Category]],FIND("/",Table1[[#This Row],[Category and Sub-Category]])-1)</f>
        <v>music</v>
      </c>
      <c r="V1713" t="str">
        <f>RIGHT(Table1[[#This Row],[Category and Sub-Category]],LEN(Table1[[#This Row],[Category and Sub-Category]])-FIND("/",Table1[[#This Row],[Category and Sub-Category]]))</f>
        <v>faith</v>
      </c>
    </row>
    <row r="1714" spans="1:22" ht="57.6" x14ac:dyDescent="0.3">
      <c r="A1714">
        <v>1712</v>
      </c>
      <c r="B1714" s="3" t="s">
        <v>1713</v>
      </c>
      <c r="C1714" s="3" t="s">
        <v>5822</v>
      </c>
      <c r="D1714" s="12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>((Table1[[#This Row],[deadline]]/60)/60/24)+DATE(1970,1,1)</f>
        <v>42185.913807870369</v>
      </c>
      <c r="K1714">
        <v>1430517353</v>
      </c>
      <c r="L1714" s="11">
        <f>((Table1[[#This Row],[launched_at]]/60)/60/24)+DATE(1970,1,1)</f>
        <v>42125.913807870369</v>
      </c>
      <c r="M1714">
        <f>MONTH(Table1[[#This Row],[Date Created Conversion]])</f>
        <v>5</v>
      </c>
      <c r="N1714">
        <f>YEAR(Table1[[#This Row],[Date Created Conversion]])</f>
        <v>2015</v>
      </c>
      <c r="O1714" t="b">
        <v>0</v>
      </c>
      <c r="P1714">
        <v>0</v>
      </c>
      <c r="Q1714" t="b">
        <v>0</v>
      </c>
      <c r="R1714" t="s">
        <v>8293</v>
      </c>
      <c r="S1714" s="6">
        <f>Table1[[#This Row],[pledged]]/Table1[[#This Row],[goal]]</f>
        <v>0</v>
      </c>
      <c r="T1714" s="8" t="str">
        <f>IF(Table1[[#This Row],[pledged]]=0,"no backers",Table1[[#This Row],[pledged]]/Table1[[#This Row],[backers_count]])</f>
        <v>no backers</v>
      </c>
      <c r="U1714" t="str">
        <f>LEFT(Table1[[#This Row],[Category and Sub-Category]],FIND("/",Table1[[#This Row],[Category and Sub-Category]])-1)</f>
        <v>music</v>
      </c>
      <c r="V1714" t="str">
        <f>RIGHT(Table1[[#This Row],[Category and Sub-Category]],LEN(Table1[[#This Row],[Category and Sub-Category]])-FIND("/",Table1[[#This Row],[Category and Sub-Category]]))</f>
        <v>faith</v>
      </c>
    </row>
    <row r="1715" spans="1:22" ht="57.6" x14ac:dyDescent="0.3">
      <c r="A1715">
        <v>1713</v>
      </c>
      <c r="B1715" s="3" t="s">
        <v>1714</v>
      </c>
      <c r="C1715" s="3" t="s">
        <v>5823</v>
      </c>
      <c r="D1715" s="12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>((Table1[[#This Row],[deadline]]/60)/60/24)+DATE(1970,1,1)</f>
        <v>41917.801064814819</v>
      </c>
      <c r="K1715">
        <v>1409944412</v>
      </c>
      <c r="L1715" s="11">
        <f>((Table1[[#This Row],[launched_at]]/60)/60/24)+DATE(1970,1,1)</f>
        <v>41887.801064814819</v>
      </c>
      <c r="M1715">
        <f>MONTH(Table1[[#This Row],[Date Created Conversion]])</f>
        <v>9</v>
      </c>
      <c r="N1715">
        <f>YEAR(Table1[[#This Row],[Date Created Conversion]])</f>
        <v>2014</v>
      </c>
      <c r="O1715" t="b">
        <v>0</v>
      </c>
      <c r="P1715">
        <v>1</v>
      </c>
      <c r="Q1715" t="b">
        <v>0</v>
      </c>
      <c r="R1715" t="s">
        <v>8293</v>
      </c>
      <c r="S1715" s="6">
        <f>Table1[[#This Row],[pledged]]/Table1[[#This Row],[goal]]</f>
        <v>1.6666666666666666E-2</v>
      </c>
      <c r="T1715" s="8">
        <f>IF(Table1[[#This Row],[pledged]]=0,"no backers",Table1[[#This Row],[pledged]]/Table1[[#This Row],[backers_count]])</f>
        <v>50</v>
      </c>
      <c r="U1715" t="str">
        <f>LEFT(Table1[[#This Row],[Category and Sub-Category]],FIND("/",Table1[[#This Row],[Category and Sub-Category]])-1)</f>
        <v>music</v>
      </c>
      <c r="V1715" t="str">
        <f>RIGHT(Table1[[#This Row],[Category and Sub-Category]],LEN(Table1[[#This Row],[Category and Sub-Category]])-FIND("/",Table1[[#This Row],[Category and Sub-Category]]))</f>
        <v>faith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 s="12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>((Table1[[#This Row],[deadline]]/60)/60/24)+DATE(1970,1,1)</f>
        <v>42125.918530092589</v>
      </c>
      <c r="K1716">
        <v>1427925761</v>
      </c>
      <c r="L1716" s="11">
        <f>((Table1[[#This Row],[launched_at]]/60)/60/24)+DATE(1970,1,1)</f>
        <v>42095.918530092589</v>
      </c>
      <c r="M1716">
        <f>MONTH(Table1[[#This Row],[Date Created Conversion]])</f>
        <v>4</v>
      </c>
      <c r="N1716">
        <f>YEAR(Table1[[#This Row],[Date Created Conversion]])</f>
        <v>2015</v>
      </c>
      <c r="O1716" t="b">
        <v>0</v>
      </c>
      <c r="P1716">
        <v>17</v>
      </c>
      <c r="Q1716" t="b">
        <v>0</v>
      </c>
      <c r="R1716" t="s">
        <v>8293</v>
      </c>
      <c r="S1716" s="6">
        <f>Table1[[#This Row],[pledged]]/Table1[[#This Row],[goal]]</f>
        <v>7.868E-2</v>
      </c>
      <c r="T1716" s="8">
        <f>IF(Table1[[#This Row],[pledged]]=0,"no backers",Table1[[#This Row],[pledged]]/Table1[[#This Row],[backers_count]])</f>
        <v>115.70588235294117</v>
      </c>
      <c r="U1716" t="str">
        <f>LEFT(Table1[[#This Row],[Category and Sub-Category]],FIND("/",Table1[[#This Row],[Category and Sub-Category]])-1)</f>
        <v>music</v>
      </c>
      <c r="V1716" t="str">
        <f>RIGHT(Table1[[#This Row],[Category and Sub-Category]],LEN(Table1[[#This Row],[Category and Sub-Category]])-FIND("/",Table1[[#This Row],[Category and Sub-Category]]))</f>
        <v>faith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 s="12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>((Table1[[#This Row],[deadline]]/60)/60/24)+DATE(1970,1,1)</f>
        <v>42094.140277777777</v>
      </c>
      <c r="K1717">
        <v>1425186785</v>
      </c>
      <c r="L1717" s="11">
        <f>((Table1[[#This Row],[launched_at]]/60)/60/24)+DATE(1970,1,1)</f>
        <v>42064.217418981483</v>
      </c>
      <c r="M1717">
        <f>MONTH(Table1[[#This Row],[Date Created Conversion]])</f>
        <v>3</v>
      </c>
      <c r="N1717">
        <f>YEAR(Table1[[#This Row],[Date Created Conversion]])</f>
        <v>2015</v>
      </c>
      <c r="O1717" t="b">
        <v>0</v>
      </c>
      <c r="P1717">
        <v>2</v>
      </c>
      <c r="Q1717" t="b">
        <v>0</v>
      </c>
      <c r="R1717" t="s">
        <v>8293</v>
      </c>
      <c r="S1717" s="6">
        <f>Table1[[#This Row],[pledged]]/Table1[[#This Row],[goal]]</f>
        <v>2.2000000000000001E-3</v>
      </c>
      <c r="T1717" s="8">
        <f>IF(Table1[[#This Row],[pledged]]=0,"no backers",Table1[[#This Row],[pledged]]/Table1[[#This Row],[backers_count]])</f>
        <v>5.5</v>
      </c>
      <c r="U1717" t="str">
        <f>LEFT(Table1[[#This Row],[Category and Sub-Category]],FIND("/",Table1[[#This Row],[Category and Sub-Category]])-1)</f>
        <v>music</v>
      </c>
      <c r="V1717" t="str">
        <f>RIGHT(Table1[[#This Row],[Category and Sub-Category]],LEN(Table1[[#This Row],[Category and Sub-Category]])-FIND("/",Table1[[#This Row],[Category and Sub-Category]]))</f>
        <v>faith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 s="12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>((Table1[[#This Row],[deadline]]/60)/60/24)+DATE(1970,1,1)</f>
        <v>42713.619201388887</v>
      </c>
      <c r="K1718">
        <v>1477835499</v>
      </c>
      <c r="L1718" s="11">
        <f>((Table1[[#This Row],[launched_at]]/60)/60/24)+DATE(1970,1,1)</f>
        <v>42673.577534722222</v>
      </c>
      <c r="M1718">
        <f>MONTH(Table1[[#This Row],[Date Created Conversion]])</f>
        <v>10</v>
      </c>
      <c r="N1718">
        <f>YEAR(Table1[[#This Row],[Date Created Conversion]])</f>
        <v>2016</v>
      </c>
      <c r="O1718" t="b">
        <v>0</v>
      </c>
      <c r="P1718">
        <v>3</v>
      </c>
      <c r="Q1718" t="b">
        <v>0</v>
      </c>
      <c r="R1718" t="s">
        <v>8293</v>
      </c>
      <c r="S1718" s="6">
        <f>Table1[[#This Row],[pledged]]/Table1[[#This Row],[goal]]</f>
        <v>7.4999999999999997E-2</v>
      </c>
      <c r="T1718" s="8">
        <f>IF(Table1[[#This Row],[pledged]]=0,"no backers",Table1[[#This Row],[pledged]]/Table1[[#This Row],[backers_count]])</f>
        <v>50</v>
      </c>
      <c r="U1718" t="str">
        <f>LEFT(Table1[[#This Row],[Category and Sub-Category]],FIND("/",Table1[[#This Row],[Category and Sub-Category]])-1)</f>
        <v>music</v>
      </c>
      <c r="V1718" t="str">
        <f>RIGHT(Table1[[#This Row],[Category and Sub-Category]],LEN(Table1[[#This Row],[Category and Sub-Category]])-FIND("/",Table1[[#This Row],[Category and Sub-Category]]))</f>
        <v>faith</v>
      </c>
    </row>
    <row r="1719" spans="1:22" ht="43.2" x14ac:dyDescent="0.3">
      <c r="A1719">
        <v>1717</v>
      </c>
      <c r="B1719" s="3" t="s">
        <v>1718</v>
      </c>
      <c r="C1719" s="3" t="s">
        <v>5827</v>
      </c>
      <c r="D1719" s="12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>((Table1[[#This Row],[deadline]]/60)/60/24)+DATE(1970,1,1)</f>
        <v>42481.166666666672</v>
      </c>
      <c r="K1719">
        <v>1459467238</v>
      </c>
      <c r="L1719" s="11">
        <f>((Table1[[#This Row],[launched_at]]/60)/60/24)+DATE(1970,1,1)</f>
        <v>42460.98192129629</v>
      </c>
      <c r="M1719">
        <f>MONTH(Table1[[#This Row],[Date Created Conversion]])</f>
        <v>3</v>
      </c>
      <c r="N1719">
        <f>YEAR(Table1[[#This Row],[Date Created Conversion]])</f>
        <v>2016</v>
      </c>
      <c r="O1719" t="b">
        <v>0</v>
      </c>
      <c r="P1719">
        <v>41</v>
      </c>
      <c r="Q1719" t="b">
        <v>0</v>
      </c>
      <c r="R1719" t="s">
        <v>8293</v>
      </c>
      <c r="S1719" s="6">
        <f>Table1[[#This Row],[pledged]]/Table1[[#This Row],[goal]]</f>
        <v>0.42725880551301687</v>
      </c>
      <c r="T1719" s="8">
        <f>IF(Table1[[#This Row],[pledged]]=0,"no backers",Table1[[#This Row],[pledged]]/Table1[[#This Row],[backers_count]])</f>
        <v>34.024390243902438</v>
      </c>
      <c r="U1719" t="str">
        <f>LEFT(Table1[[#This Row],[Category and Sub-Category]],FIND("/",Table1[[#This Row],[Category and Sub-Category]])-1)</f>
        <v>music</v>
      </c>
      <c r="V1719" t="str">
        <f>RIGHT(Table1[[#This Row],[Category and Sub-Category]],LEN(Table1[[#This Row],[Category and Sub-Category]])-FIND("/",Table1[[#This Row],[Category and Sub-Category]]))</f>
        <v>faith</v>
      </c>
    </row>
    <row r="1720" spans="1:22" x14ac:dyDescent="0.3">
      <c r="A1720">
        <v>1718</v>
      </c>
      <c r="B1720" s="3" t="s">
        <v>1719</v>
      </c>
      <c r="C1720" s="3" t="s">
        <v>5828</v>
      </c>
      <c r="D1720" s="12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>((Table1[[#This Row],[deadline]]/60)/60/24)+DATE(1970,1,1)</f>
        <v>42504.207638888889</v>
      </c>
      <c r="K1720">
        <v>1459435149</v>
      </c>
      <c r="L1720" s="11">
        <f>((Table1[[#This Row],[launched_at]]/60)/60/24)+DATE(1970,1,1)</f>
        <v>42460.610520833332</v>
      </c>
      <c r="M1720">
        <f>MONTH(Table1[[#This Row],[Date Created Conversion]])</f>
        <v>3</v>
      </c>
      <c r="N1720">
        <f>YEAR(Table1[[#This Row],[Date Created Conversion]])</f>
        <v>2016</v>
      </c>
      <c r="O1720" t="b">
        <v>0</v>
      </c>
      <c r="P1720">
        <v>2</v>
      </c>
      <c r="Q1720" t="b">
        <v>0</v>
      </c>
      <c r="R1720" t="s">
        <v>8293</v>
      </c>
      <c r="S1720" s="6">
        <f>Table1[[#This Row],[pledged]]/Table1[[#This Row],[goal]]</f>
        <v>2.142857142857143E-3</v>
      </c>
      <c r="T1720" s="8">
        <f>IF(Table1[[#This Row],[pledged]]=0,"no backers",Table1[[#This Row],[pledged]]/Table1[[#This Row],[backers_count]])</f>
        <v>37.5</v>
      </c>
      <c r="U1720" t="str">
        <f>LEFT(Table1[[#This Row],[Category and Sub-Category]],FIND("/",Table1[[#This Row],[Category and Sub-Category]])-1)</f>
        <v>music</v>
      </c>
      <c r="V1720" t="str">
        <f>RIGHT(Table1[[#This Row],[Category and Sub-Category]],LEN(Table1[[#This Row],[Category and Sub-Category]])-FIND("/",Table1[[#This Row],[Category and Sub-Category]]))</f>
        <v>faith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 s="12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>((Table1[[#This Row],[deadline]]/60)/60/24)+DATE(1970,1,1)</f>
        <v>41899.534618055557</v>
      </c>
      <c r="K1721">
        <v>1408366191</v>
      </c>
      <c r="L1721" s="11">
        <f>((Table1[[#This Row],[launched_at]]/60)/60/24)+DATE(1970,1,1)</f>
        <v>41869.534618055557</v>
      </c>
      <c r="M1721">
        <f>MONTH(Table1[[#This Row],[Date Created Conversion]])</f>
        <v>8</v>
      </c>
      <c r="N1721">
        <f>YEAR(Table1[[#This Row],[Date Created Conversion]])</f>
        <v>2014</v>
      </c>
      <c r="O1721" t="b">
        <v>0</v>
      </c>
      <c r="P1721">
        <v>3</v>
      </c>
      <c r="Q1721" t="b">
        <v>0</v>
      </c>
      <c r="R1721" t="s">
        <v>8293</v>
      </c>
      <c r="S1721" s="6">
        <f>Table1[[#This Row],[pledged]]/Table1[[#This Row],[goal]]</f>
        <v>8.7500000000000008E-3</v>
      </c>
      <c r="T1721" s="8">
        <f>IF(Table1[[#This Row],[pledged]]=0,"no backers",Table1[[#This Row],[pledged]]/Table1[[#This Row],[backers_count]])</f>
        <v>11.666666666666666</v>
      </c>
      <c r="U1721" t="str">
        <f>LEFT(Table1[[#This Row],[Category and Sub-Category]],FIND("/",Table1[[#This Row],[Category and Sub-Category]])-1)</f>
        <v>music</v>
      </c>
      <c r="V1721" t="str">
        <f>RIGHT(Table1[[#This Row],[Category and Sub-Category]],LEN(Table1[[#This Row],[Category and Sub-Category]])-FIND("/",Table1[[#This Row],[Category and Sub-Category]]))</f>
        <v>faith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 s="1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>((Table1[[#This Row],[deadline]]/60)/60/24)+DATE(1970,1,1)</f>
        <v>41952.824895833335</v>
      </c>
      <c r="K1722">
        <v>1412966871</v>
      </c>
      <c r="L1722" s="11">
        <f>((Table1[[#This Row],[launched_at]]/60)/60/24)+DATE(1970,1,1)</f>
        <v>41922.783229166671</v>
      </c>
      <c r="M1722">
        <f>MONTH(Table1[[#This Row],[Date Created Conversion]])</f>
        <v>10</v>
      </c>
      <c r="N1722">
        <f>YEAR(Table1[[#This Row],[Date Created Conversion]])</f>
        <v>2014</v>
      </c>
      <c r="O1722" t="b">
        <v>0</v>
      </c>
      <c r="P1722">
        <v>8</v>
      </c>
      <c r="Q1722" t="b">
        <v>0</v>
      </c>
      <c r="R1722" t="s">
        <v>8293</v>
      </c>
      <c r="S1722" s="6">
        <f>Table1[[#This Row],[pledged]]/Table1[[#This Row],[goal]]</f>
        <v>5.6250000000000001E-2</v>
      </c>
      <c r="T1722" s="8">
        <f>IF(Table1[[#This Row],[pledged]]=0,"no backers",Table1[[#This Row],[pledged]]/Table1[[#This Row],[backers_count]])</f>
        <v>28.125</v>
      </c>
      <c r="U1722" t="str">
        <f>LEFT(Table1[[#This Row],[Category and Sub-Category]],FIND("/",Table1[[#This Row],[Category and Sub-Category]])-1)</f>
        <v>music</v>
      </c>
      <c r="V1722" t="str">
        <f>RIGHT(Table1[[#This Row],[Category and Sub-Category]],LEN(Table1[[#This Row],[Category and Sub-Category]])-FIND("/",Table1[[#This Row],[Category and Sub-Category]]))</f>
        <v>faith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 s="12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>((Table1[[#This Row],[deadline]]/60)/60/24)+DATE(1970,1,1)</f>
        <v>42349.461377314816</v>
      </c>
      <c r="K1723">
        <v>1447239863</v>
      </c>
      <c r="L1723" s="11">
        <f>((Table1[[#This Row],[launched_at]]/60)/60/24)+DATE(1970,1,1)</f>
        <v>42319.461377314816</v>
      </c>
      <c r="M1723">
        <f>MONTH(Table1[[#This Row],[Date Created Conversion]])</f>
        <v>11</v>
      </c>
      <c r="N1723">
        <f>YEAR(Table1[[#This Row],[Date Created Conversion]])</f>
        <v>2015</v>
      </c>
      <c r="O1723" t="b">
        <v>0</v>
      </c>
      <c r="P1723">
        <v>0</v>
      </c>
      <c r="Q1723" t="b">
        <v>0</v>
      </c>
      <c r="R1723" t="s">
        <v>8293</v>
      </c>
      <c r="S1723" s="6">
        <f>Table1[[#This Row],[pledged]]/Table1[[#This Row],[goal]]</f>
        <v>0</v>
      </c>
      <c r="T1723" s="8" t="str">
        <f>IF(Table1[[#This Row],[pledged]]=0,"no backers",Table1[[#This Row],[pledged]]/Table1[[#This Row],[backers_count]])</f>
        <v>no backers</v>
      </c>
      <c r="U1723" t="str">
        <f>LEFT(Table1[[#This Row],[Category and Sub-Category]],FIND("/",Table1[[#This Row],[Category and Sub-Category]])-1)</f>
        <v>music</v>
      </c>
      <c r="V1723" t="str">
        <f>RIGHT(Table1[[#This Row],[Category and Sub-Category]],LEN(Table1[[#This Row],[Category and Sub-Category]])-FIND("/",Table1[[#This Row],[Category and Sub-Category]]))</f>
        <v>faith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 s="12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>((Table1[[#This Row],[deadline]]/60)/60/24)+DATE(1970,1,1)</f>
        <v>42463.006944444445</v>
      </c>
      <c r="K1724">
        <v>1456441429</v>
      </c>
      <c r="L1724" s="11">
        <f>((Table1[[#This Row],[launched_at]]/60)/60/24)+DATE(1970,1,1)</f>
        <v>42425.960983796293</v>
      </c>
      <c r="M1724">
        <f>MONTH(Table1[[#This Row],[Date Created Conversion]])</f>
        <v>2</v>
      </c>
      <c r="N1724">
        <f>YEAR(Table1[[#This Row],[Date Created Conversion]])</f>
        <v>2016</v>
      </c>
      <c r="O1724" t="b">
        <v>0</v>
      </c>
      <c r="P1724">
        <v>1</v>
      </c>
      <c r="Q1724" t="b">
        <v>0</v>
      </c>
      <c r="R1724" t="s">
        <v>8293</v>
      </c>
      <c r="S1724" s="6">
        <f>Table1[[#This Row],[pledged]]/Table1[[#This Row],[goal]]</f>
        <v>3.4722222222222224E-4</v>
      </c>
      <c r="T1724" s="8">
        <f>IF(Table1[[#This Row],[pledged]]=0,"no backers",Table1[[#This Row],[pledged]]/Table1[[#This Row],[backers_count]])</f>
        <v>1</v>
      </c>
      <c r="U1724" t="str">
        <f>LEFT(Table1[[#This Row],[Category and Sub-Category]],FIND("/",Table1[[#This Row],[Category and Sub-Category]])-1)</f>
        <v>music</v>
      </c>
      <c r="V1724" t="str">
        <f>RIGHT(Table1[[#This Row],[Category and Sub-Category]],LEN(Table1[[#This Row],[Category and Sub-Category]])-FIND("/",Table1[[#This Row],[Category and Sub-Category]]))</f>
        <v>faith</v>
      </c>
    </row>
    <row r="1725" spans="1:22" ht="57.6" x14ac:dyDescent="0.3">
      <c r="A1725">
        <v>1723</v>
      </c>
      <c r="B1725" s="3" t="s">
        <v>1724</v>
      </c>
      <c r="C1725" s="3" t="s">
        <v>5833</v>
      </c>
      <c r="D1725" s="12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>((Table1[[#This Row],[deadline]]/60)/60/24)+DATE(1970,1,1)</f>
        <v>42186.25</v>
      </c>
      <c r="K1725">
        <v>1430855315</v>
      </c>
      <c r="L1725" s="11">
        <f>((Table1[[#This Row],[launched_at]]/60)/60/24)+DATE(1970,1,1)</f>
        <v>42129.82540509259</v>
      </c>
      <c r="M1725">
        <f>MONTH(Table1[[#This Row],[Date Created Conversion]])</f>
        <v>5</v>
      </c>
      <c r="N1725">
        <f>YEAR(Table1[[#This Row],[Date Created Conversion]])</f>
        <v>2015</v>
      </c>
      <c r="O1725" t="b">
        <v>0</v>
      </c>
      <c r="P1725">
        <v>3</v>
      </c>
      <c r="Q1725" t="b">
        <v>0</v>
      </c>
      <c r="R1725" t="s">
        <v>8293</v>
      </c>
      <c r="S1725" s="6">
        <f>Table1[[#This Row],[pledged]]/Table1[[#This Row],[goal]]</f>
        <v>6.5000000000000002E-2</v>
      </c>
      <c r="T1725" s="8">
        <f>IF(Table1[[#This Row],[pledged]]=0,"no backers",Table1[[#This Row],[pledged]]/Table1[[#This Row],[backers_count]])</f>
        <v>216.66666666666666</v>
      </c>
      <c r="U1725" t="str">
        <f>LEFT(Table1[[#This Row],[Category and Sub-Category]],FIND("/",Table1[[#This Row],[Category and Sub-Category]])-1)</f>
        <v>music</v>
      </c>
      <c r="V1725" t="str">
        <f>RIGHT(Table1[[#This Row],[Category and Sub-Category]],LEN(Table1[[#This Row],[Category and Sub-Category]])-FIND("/",Table1[[#This Row],[Category and Sub-Category]]))</f>
        <v>faith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 s="12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>((Table1[[#This Row],[deadline]]/60)/60/24)+DATE(1970,1,1)</f>
        <v>41942.932430555556</v>
      </c>
      <c r="K1726">
        <v>1412115762</v>
      </c>
      <c r="L1726" s="11">
        <f>((Table1[[#This Row],[launched_at]]/60)/60/24)+DATE(1970,1,1)</f>
        <v>41912.932430555556</v>
      </c>
      <c r="M1726">
        <f>MONTH(Table1[[#This Row],[Date Created Conversion]])</f>
        <v>9</v>
      </c>
      <c r="N1726">
        <f>YEAR(Table1[[#This Row],[Date Created Conversion]])</f>
        <v>2014</v>
      </c>
      <c r="O1726" t="b">
        <v>0</v>
      </c>
      <c r="P1726">
        <v>4</v>
      </c>
      <c r="Q1726" t="b">
        <v>0</v>
      </c>
      <c r="R1726" t="s">
        <v>8293</v>
      </c>
      <c r="S1726" s="6">
        <f>Table1[[#This Row],[pledged]]/Table1[[#This Row],[goal]]</f>
        <v>5.8333333333333336E-3</v>
      </c>
      <c r="T1726" s="8">
        <f>IF(Table1[[#This Row],[pledged]]=0,"no backers",Table1[[#This Row],[pledged]]/Table1[[#This Row],[backers_count]])</f>
        <v>8.75</v>
      </c>
      <c r="U1726" t="str">
        <f>LEFT(Table1[[#This Row],[Category and Sub-Category]],FIND("/",Table1[[#This Row],[Category and Sub-Category]])-1)</f>
        <v>music</v>
      </c>
      <c r="V1726" t="str">
        <f>RIGHT(Table1[[#This Row],[Category and Sub-Category]],LEN(Table1[[#This Row],[Category and Sub-Category]])-FIND("/",Table1[[#This Row],[Category and Sub-Category]]))</f>
        <v>faith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 s="12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>((Table1[[#This Row],[deadline]]/60)/60/24)+DATE(1970,1,1)</f>
        <v>41875.968159722222</v>
      </c>
      <c r="K1727">
        <v>1406330049</v>
      </c>
      <c r="L1727" s="11">
        <f>((Table1[[#This Row],[launched_at]]/60)/60/24)+DATE(1970,1,1)</f>
        <v>41845.968159722222</v>
      </c>
      <c r="M1727">
        <f>MONTH(Table1[[#This Row],[Date Created Conversion]])</f>
        <v>7</v>
      </c>
      <c r="N1727">
        <f>YEAR(Table1[[#This Row],[Date Created Conversion]])</f>
        <v>2014</v>
      </c>
      <c r="O1727" t="b">
        <v>0</v>
      </c>
      <c r="P1727">
        <v>9</v>
      </c>
      <c r="Q1727" t="b">
        <v>0</v>
      </c>
      <c r="R1727" t="s">
        <v>8293</v>
      </c>
      <c r="S1727" s="6">
        <f>Table1[[#This Row],[pledged]]/Table1[[#This Row],[goal]]</f>
        <v>0.10181818181818182</v>
      </c>
      <c r="T1727" s="8">
        <f>IF(Table1[[#This Row],[pledged]]=0,"no backers",Table1[[#This Row],[pledged]]/Table1[[#This Row],[backers_count]])</f>
        <v>62.222222222222221</v>
      </c>
      <c r="U1727" t="str">
        <f>LEFT(Table1[[#This Row],[Category and Sub-Category]],FIND("/",Table1[[#This Row],[Category and Sub-Category]])-1)</f>
        <v>music</v>
      </c>
      <c r="V1727" t="str">
        <f>RIGHT(Table1[[#This Row],[Category and Sub-Category]],LEN(Table1[[#This Row],[Category and Sub-Category]])-FIND("/",Table1[[#This Row],[Category and Sub-Category]]))</f>
        <v>faith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 s="12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>((Table1[[#This Row],[deadline]]/60)/60/24)+DATE(1970,1,1)</f>
        <v>41817.919722222221</v>
      </c>
      <c r="K1728">
        <v>1401401064</v>
      </c>
      <c r="L1728" s="11">
        <f>((Table1[[#This Row],[launched_at]]/60)/60/24)+DATE(1970,1,1)</f>
        <v>41788.919722222221</v>
      </c>
      <c r="M1728">
        <f>MONTH(Table1[[#This Row],[Date Created Conversion]])</f>
        <v>5</v>
      </c>
      <c r="N1728">
        <f>YEAR(Table1[[#This Row],[Date Created Conversion]])</f>
        <v>2014</v>
      </c>
      <c r="O1728" t="b">
        <v>0</v>
      </c>
      <c r="P1728">
        <v>16</v>
      </c>
      <c r="Q1728" t="b">
        <v>0</v>
      </c>
      <c r="R1728" t="s">
        <v>8293</v>
      </c>
      <c r="S1728" s="6">
        <f>Table1[[#This Row],[pledged]]/Table1[[#This Row],[goal]]</f>
        <v>0.33784615384615385</v>
      </c>
      <c r="T1728" s="8">
        <f>IF(Table1[[#This Row],[pledged]]=0,"no backers",Table1[[#This Row],[pledged]]/Table1[[#This Row],[backers_count]])</f>
        <v>137.25</v>
      </c>
      <c r="U1728" t="str">
        <f>LEFT(Table1[[#This Row],[Category and Sub-Category]],FIND("/",Table1[[#This Row],[Category and Sub-Category]])-1)</f>
        <v>music</v>
      </c>
      <c r="V1728" t="str">
        <f>RIGHT(Table1[[#This Row],[Category and Sub-Category]],LEN(Table1[[#This Row],[Category and Sub-Category]])-FIND("/",Table1[[#This Row],[Category and Sub-Category]]))</f>
        <v>faith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 s="12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>((Table1[[#This Row],[deadline]]/60)/60/24)+DATE(1970,1,1)</f>
        <v>42099.458333333328</v>
      </c>
      <c r="K1729">
        <v>1423520177</v>
      </c>
      <c r="L1729" s="11">
        <f>((Table1[[#This Row],[launched_at]]/60)/60/24)+DATE(1970,1,1)</f>
        <v>42044.927974537044</v>
      </c>
      <c r="M1729">
        <f>MONTH(Table1[[#This Row],[Date Created Conversion]])</f>
        <v>2</v>
      </c>
      <c r="N1729">
        <f>YEAR(Table1[[#This Row],[Date Created Conversion]])</f>
        <v>2015</v>
      </c>
      <c r="O1729" t="b">
        <v>0</v>
      </c>
      <c r="P1729">
        <v>1</v>
      </c>
      <c r="Q1729" t="b">
        <v>0</v>
      </c>
      <c r="R1729" t="s">
        <v>8293</v>
      </c>
      <c r="S1729" s="6">
        <f>Table1[[#This Row],[pledged]]/Table1[[#This Row],[goal]]</f>
        <v>3.3333333333333332E-4</v>
      </c>
      <c r="T1729" s="8">
        <f>IF(Table1[[#This Row],[pledged]]=0,"no backers",Table1[[#This Row],[pledged]]/Table1[[#This Row],[backers_count]])</f>
        <v>1</v>
      </c>
      <c r="U1729" t="str">
        <f>LEFT(Table1[[#This Row],[Category and Sub-Category]],FIND("/",Table1[[#This Row],[Category and Sub-Category]])-1)</f>
        <v>music</v>
      </c>
      <c r="V1729" t="str">
        <f>RIGHT(Table1[[#This Row],[Category and Sub-Category]],LEN(Table1[[#This Row],[Category and Sub-Category]])-FIND("/",Table1[[#This Row],[Category and Sub-Category]]))</f>
        <v>faith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 s="12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>((Table1[[#This Row],[deadline]]/60)/60/24)+DATE(1970,1,1)</f>
        <v>42298.625856481478</v>
      </c>
      <c r="K1730">
        <v>1442847674</v>
      </c>
      <c r="L1730" s="11">
        <f>((Table1[[#This Row],[launched_at]]/60)/60/24)+DATE(1970,1,1)</f>
        <v>42268.625856481478</v>
      </c>
      <c r="M1730">
        <f>MONTH(Table1[[#This Row],[Date Created Conversion]])</f>
        <v>9</v>
      </c>
      <c r="N1730">
        <f>YEAR(Table1[[#This Row],[Date Created Conversion]])</f>
        <v>2015</v>
      </c>
      <c r="O1730" t="b">
        <v>0</v>
      </c>
      <c r="P1730">
        <v>7</v>
      </c>
      <c r="Q1730" t="b">
        <v>0</v>
      </c>
      <c r="R1730" t="s">
        <v>8293</v>
      </c>
      <c r="S1730" s="6">
        <f>Table1[[#This Row],[pledged]]/Table1[[#This Row],[goal]]</f>
        <v>0.68400000000000005</v>
      </c>
      <c r="T1730" s="8">
        <f>IF(Table1[[#This Row],[pledged]]=0,"no backers",Table1[[#This Row],[pledged]]/Table1[[#This Row],[backers_count]])</f>
        <v>122.14285714285714</v>
      </c>
      <c r="U1730" t="str">
        <f>LEFT(Table1[[#This Row],[Category and Sub-Category]],FIND("/",Table1[[#This Row],[Category and Sub-Category]])-1)</f>
        <v>music</v>
      </c>
      <c r="V1730" t="str">
        <f>RIGHT(Table1[[#This Row],[Category and Sub-Category]],LEN(Table1[[#This Row],[Category and Sub-Category]])-FIND("/",Table1[[#This Row],[Category and Sub-Category]]))</f>
        <v>faith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 s="12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>((Table1[[#This Row],[deadline]]/60)/60/24)+DATE(1970,1,1)</f>
        <v>42531.052152777775</v>
      </c>
      <c r="K1731">
        <v>1460337306</v>
      </c>
      <c r="L1731" s="11">
        <f>((Table1[[#This Row],[launched_at]]/60)/60/24)+DATE(1970,1,1)</f>
        <v>42471.052152777775</v>
      </c>
      <c r="M1731">
        <f>MONTH(Table1[[#This Row],[Date Created Conversion]])</f>
        <v>4</v>
      </c>
      <c r="N1731">
        <f>YEAR(Table1[[#This Row],[Date Created Conversion]])</f>
        <v>2016</v>
      </c>
      <c r="O1731" t="b">
        <v>0</v>
      </c>
      <c r="P1731">
        <v>0</v>
      </c>
      <c r="Q1731" t="b">
        <v>0</v>
      </c>
      <c r="R1731" t="s">
        <v>8293</v>
      </c>
      <c r="S1731" s="6">
        <f>Table1[[#This Row],[pledged]]/Table1[[#This Row],[goal]]</f>
        <v>0</v>
      </c>
      <c r="T1731" s="8" t="str">
        <f>IF(Table1[[#This Row],[pledged]]=0,"no backers",Table1[[#This Row],[pledged]]/Table1[[#This Row],[backers_count]])</f>
        <v>no backers</v>
      </c>
      <c r="U1731" t="str">
        <f>LEFT(Table1[[#This Row],[Category and Sub-Category]],FIND("/",Table1[[#This Row],[Category and Sub-Category]])-1)</f>
        <v>music</v>
      </c>
      <c r="V1731" t="str">
        <f>RIGHT(Table1[[#This Row],[Category and Sub-Category]],LEN(Table1[[#This Row],[Category and Sub-Category]])-FIND("/",Table1[[#This Row],[Category and Sub-Category]]))</f>
        <v>faith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 s="1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>((Table1[[#This Row],[deadline]]/60)/60/24)+DATE(1970,1,1)</f>
        <v>42302.087766203709</v>
      </c>
      <c r="K1732">
        <v>1443146783</v>
      </c>
      <c r="L1732" s="11">
        <f>((Table1[[#This Row],[launched_at]]/60)/60/24)+DATE(1970,1,1)</f>
        <v>42272.087766203709</v>
      </c>
      <c r="M1732">
        <f>MONTH(Table1[[#This Row],[Date Created Conversion]])</f>
        <v>9</v>
      </c>
      <c r="N1732">
        <f>YEAR(Table1[[#This Row],[Date Created Conversion]])</f>
        <v>2015</v>
      </c>
      <c r="O1732" t="b">
        <v>0</v>
      </c>
      <c r="P1732">
        <v>0</v>
      </c>
      <c r="Q1732" t="b">
        <v>0</v>
      </c>
      <c r="R1732" t="s">
        <v>8293</v>
      </c>
      <c r="S1732" s="6">
        <f>Table1[[#This Row],[pledged]]/Table1[[#This Row],[goal]]</f>
        <v>0</v>
      </c>
      <c r="T1732" s="8" t="str">
        <f>IF(Table1[[#This Row],[pledged]]=0,"no backers",Table1[[#This Row],[pledged]]/Table1[[#This Row],[backers_count]])</f>
        <v>no backers</v>
      </c>
      <c r="U1732" t="str">
        <f>LEFT(Table1[[#This Row],[Category and Sub-Category]],FIND("/",Table1[[#This Row],[Category and Sub-Category]])-1)</f>
        <v>music</v>
      </c>
      <c r="V1732" t="str">
        <f>RIGHT(Table1[[#This Row],[Category and Sub-Category]],LEN(Table1[[#This Row],[Category and Sub-Category]])-FIND("/",Table1[[#This Row],[Category and Sub-Category]]))</f>
        <v>faith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 s="12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>((Table1[[#This Row],[deadline]]/60)/60/24)+DATE(1970,1,1)</f>
        <v>42166.625</v>
      </c>
      <c r="K1733">
        <v>1432849552</v>
      </c>
      <c r="L1733" s="11">
        <f>((Table1[[#This Row],[launched_at]]/60)/60/24)+DATE(1970,1,1)</f>
        <v>42152.906851851847</v>
      </c>
      <c r="M1733">
        <f>MONTH(Table1[[#This Row],[Date Created Conversion]])</f>
        <v>5</v>
      </c>
      <c r="N1733">
        <f>YEAR(Table1[[#This Row],[Date Created Conversion]])</f>
        <v>2015</v>
      </c>
      <c r="O1733" t="b">
        <v>0</v>
      </c>
      <c r="P1733">
        <v>0</v>
      </c>
      <c r="Q1733" t="b">
        <v>0</v>
      </c>
      <c r="R1733" t="s">
        <v>8293</v>
      </c>
      <c r="S1733" s="6">
        <f>Table1[[#This Row],[pledged]]/Table1[[#This Row],[goal]]</f>
        <v>0</v>
      </c>
      <c r="T1733" s="8" t="str">
        <f>IF(Table1[[#This Row],[pledged]]=0,"no backers",Table1[[#This Row],[pledged]]/Table1[[#This Row],[backers_count]])</f>
        <v>no backers</v>
      </c>
      <c r="U1733" t="str">
        <f>LEFT(Table1[[#This Row],[Category and Sub-Category]],FIND("/",Table1[[#This Row],[Category and Sub-Category]])-1)</f>
        <v>music</v>
      </c>
      <c r="V1733" t="str">
        <f>RIGHT(Table1[[#This Row],[Category and Sub-Category]],LEN(Table1[[#This Row],[Category and Sub-Category]])-FIND("/",Table1[[#This Row],[Category and Sub-Category]]))</f>
        <v>faith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 s="12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>((Table1[[#This Row],[deadline]]/60)/60/24)+DATE(1970,1,1)</f>
        <v>42385.208333333328</v>
      </c>
      <c r="K1734">
        <v>1447777481</v>
      </c>
      <c r="L1734" s="11">
        <f>((Table1[[#This Row],[launched_at]]/60)/60/24)+DATE(1970,1,1)</f>
        <v>42325.683807870373</v>
      </c>
      <c r="M1734">
        <f>MONTH(Table1[[#This Row],[Date Created Conversion]])</f>
        <v>11</v>
      </c>
      <c r="N1734">
        <f>YEAR(Table1[[#This Row],[Date Created Conversion]])</f>
        <v>2015</v>
      </c>
      <c r="O1734" t="b">
        <v>0</v>
      </c>
      <c r="P1734">
        <v>0</v>
      </c>
      <c r="Q1734" t="b">
        <v>0</v>
      </c>
      <c r="R1734" t="s">
        <v>8293</v>
      </c>
      <c r="S1734" s="6">
        <f>Table1[[#This Row],[pledged]]/Table1[[#This Row],[goal]]</f>
        <v>0</v>
      </c>
      <c r="T1734" s="8" t="str">
        <f>IF(Table1[[#This Row],[pledged]]=0,"no backers",Table1[[#This Row],[pledged]]/Table1[[#This Row],[backers_count]])</f>
        <v>no backers</v>
      </c>
      <c r="U1734" t="str">
        <f>LEFT(Table1[[#This Row],[Category and Sub-Category]],FIND("/",Table1[[#This Row],[Category and Sub-Category]])-1)</f>
        <v>music</v>
      </c>
      <c r="V1734" t="str">
        <f>RIGHT(Table1[[#This Row],[Category and Sub-Category]],LEN(Table1[[#This Row],[Category and Sub-Category]])-FIND("/",Table1[[#This Row],[Category and Sub-Category]]))</f>
        <v>faith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 s="12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>((Table1[[#This Row],[deadline]]/60)/60/24)+DATE(1970,1,1)</f>
        <v>42626.895833333328</v>
      </c>
      <c r="K1735">
        <v>1472746374</v>
      </c>
      <c r="L1735" s="11">
        <f>((Table1[[#This Row],[launched_at]]/60)/60/24)+DATE(1970,1,1)</f>
        <v>42614.675625000003</v>
      </c>
      <c r="M1735">
        <f>MONTH(Table1[[#This Row],[Date Created Conversion]])</f>
        <v>9</v>
      </c>
      <c r="N1735">
        <f>YEAR(Table1[[#This Row],[Date Created Conversion]])</f>
        <v>2016</v>
      </c>
      <c r="O1735" t="b">
        <v>0</v>
      </c>
      <c r="P1735">
        <v>0</v>
      </c>
      <c r="Q1735" t="b">
        <v>0</v>
      </c>
      <c r="R1735" t="s">
        <v>8293</v>
      </c>
      <c r="S1735" s="6">
        <f>Table1[[#This Row],[pledged]]/Table1[[#This Row],[goal]]</f>
        <v>0</v>
      </c>
      <c r="T1735" s="8" t="str">
        <f>IF(Table1[[#This Row],[pledged]]=0,"no backers",Table1[[#This Row],[pledged]]/Table1[[#This Row],[backers_count]])</f>
        <v>no backers</v>
      </c>
      <c r="U1735" t="str">
        <f>LEFT(Table1[[#This Row],[Category and Sub-Category]],FIND("/",Table1[[#This Row],[Category and Sub-Category]])-1)</f>
        <v>music</v>
      </c>
      <c r="V1735" t="str">
        <f>RIGHT(Table1[[#This Row],[Category and Sub-Category]],LEN(Table1[[#This Row],[Category and Sub-Category]])-FIND("/",Table1[[#This Row],[Category and Sub-Category]]))</f>
        <v>faith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 s="12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>((Table1[[#This Row],[deadline]]/60)/60/24)+DATE(1970,1,1)</f>
        <v>42132.036527777775</v>
      </c>
      <c r="K1736">
        <v>1428454356</v>
      </c>
      <c r="L1736" s="11">
        <f>((Table1[[#This Row],[launched_at]]/60)/60/24)+DATE(1970,1,1)</f>
        <v>42102.036527777775</v>
      </c>
      <c r="M1736">
        <f>MONTH(Table1[[#This Row],[Date Created Conversion]])</f>
        <v>4</v>
      </c>
      <c r="N1736">
        <f>YEAR(Table1[[#This Row],[Date Created Conversion]])</f>
        <v>2015</v>
      </c>
      <c r="O1736" t="b">
        <v>0</v>
      </c>
      <c r="P1736">
        <v>1</v>
      </c>
      <c r="Q1736" t="b">
        <v>0</v>
      </c>
      <c r="R1736" t="s">
        <v>8293</v>
      </c>
      <c r="S1736" s="6">
        <f>Table1[[#This Row],[pledged]]/Table1[[#This Row],[goal]]</f>
        <v>2.2222222222222223E-4</v>
      </c>
      <c r="T1736" s="8">
        <f>IF(Table1[[#This Row],[pledged]]=0,"no backers",Table1[[#This Row],[pledged]]/Table1[[#This Row],[backers_count]])</f>
        <v>1</v>
      </c>
      <c r="U1736" t="str">
        <f>LEFT(Table1[[#This Row],[Category and Sub-Category]],FIND("/",Table1[[#This Row],[Category and Sub-Category]])-1)</f>
        <v>music</v>
      </c>
      <c r="V1736" t="str">
        <f>RIGHT(Table1[[#This Row],[Category and Sub-Category]],LEN(Table1[[#This Row],[Category and Sub-Category]])-FIND("/",Table1[[#This Row],[Category and Sub-Category]]))</f>
        <v>faith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 s="12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>((Table1[[#This Row],[deadline]]/60)/60/24)+DATE(1970,1,1)</f>
        <v>42589.814178240747</v>
      </c>
      <c r="K1737">
        <v>1468006345</v>
      </c>
      <c r="L1737" s="11">
        <f>((Table1[[#This Row],[launched_at]]/60)/60/24)+DATE(1970,1,1)</f>
        <v>42559.814178240747</v>
      </c>
      <c r="M1737">
        <f>MONTH(Table1[[#This Row],[Date Created Conversion]])</f>
        <v>7</v>
      </c>
      <c r="N1737">
        <f>YEAR(Table1[[#This Row],[Date Created Conversion]])</f>
        <v>2016</v>
      </c>
      <c r="O1737" t="b">
        <v>0</v>
      </c>
      <c r="P1737">
        <v>2</v>
      </c>
      <c r="Q1737" t="b">
        <v>0</v>
      </c>
      <c r="R1737" t="s">
        <v>8293</v>
      </c>
      <c r="S1737" s="6">
        <f>Table1[[#This Row],[pledged]]/Table1[[#This Row],[goal]]</f>
        <v>0.11</v>
      </c>
      <c r="T1737" s="8">
        <f>IF(Table1[[#This Row],[pledged]]=0,"no backers",Table1[[#This Row],[pledged]]/Table1[[#This Row],[backers_count]])</f>
        <v>55</v>
      </c>
      <c r="U1737" t="str">
        <f>LEFT(Table1[[#This Row],[Category and Sub-Category]],FIND("/",Table1[[#This Row],[Category and Sub-Category]])-1)</f>
        <v>music</v>
      </c>
      <c r="V1737" t="str">
        <f>RIGHT(Table1[[#This Row],[Category and Sub-Category]],LEN(Table1[[#This Row],[Category and Sub-Category]])-FIND("/",Table1[[#This Row],[Category and Sub-Category]]))</f>
        <v>faith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 s="12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>((Table1[[#This Row],[deadline]]/60)/60/24)+DATE(1970,1,1)</f>
        <v>42316.90315972222</v>
      </c>
      <c r="K1738">
        <v>1444423233</v>
      </c>
      <c r="L1738" s="11">
        <f>((Table1[[#This Row],[launched_at]]/60)/60/24)+DATE(1970,1,1)</f>
        <v>42286.861493055556</v>
      </c>
      <c r="M1738">
        <f>MONTH(Table1[[#This Row],[Date Created Conversion]])</f>
        <v>10</v>
      </c>
      <c r="N1738">
        <f>YEAR(Table1[[#This Row],[Date Created Conversion]])</f>
        <v>2015</v>
      </c>
      <c r="O1738" t="b">
        <v>0</v>
      </c>
      <c r="P1738">
        <v>1</v>
      </c>
      <c r="Q1738" t="b">
        <v>0</v>
      </c>
      <c r="R1738" t="s">
        <v>8293</v>
      </c>
      <c r="S1738" s="6">
        <f>Table1[[#This Row],[pledged]]/Table1[[#This Row],[goal]]</f>
        <v>7.3333333333333332E-3</v>
      </c>
      <c r="T1738" s="8">
        <f>IF(Table1[[#This Row],[pledged]]=0,"no backers",Table1[[#This Row],[pledged]]/Table1[[#This Row],[backers_count]])</f>
        <v>22</v>
      </c>
      <c r="U1738" t="str">
        <f>LEFT(Table1[[#This Row],[Category and Sub-Category]],FIND("/",Table1[[#This Row],[Category and Sub-Category]])-1)</f>
        <v>music</v>
      </c>
      <c r="V1738" t="str">
        <f>RIGHT(Table1[[#This Row],[Category and Sub-Category]],LEN(Table1[[#This Row],[Category and Sub-Category]])-FIND("/",Table1[[#This Row],[Category and Sub-Category]]))</f>
        <v>faith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 s="12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>((Table1[[#This Row],[deadline]]/60)/60/24)+DATE(1970,1,1)</f>
        <v>42205.948981481488</v>
      </c>
      <c r="K1739">
        <v>1434840392</v>
      </c>
      <c r="L1739" s="11">
        <f>((Table1[[#This Row],[launched_at]]/60)/60/24)+DATE(1970,1,1)</f>
        <v>42175.948981481488</v>
      </c>
      <c r="M1739">
        <f>MONTH(Table1[[#This Row],[Date Created Conversion]])</f>
        <v>6</v>
      </c>
      <c r="N1739">
        <f>YEAR(Table1[[#This Row],[Date Created Conversion]])</f>
        <v>2015</v>
      </c>
      <c r="O1739" t="b">
        <v>0</v>
      </c>
      <c r="P1739">
        <v>15</v>
      </c>
      <c r="Q1739" t="b">
        <v>0</v>
      </c>
      <c r="R1739" t="s">
        <v>8293</v>
      </c>
      <c r="S1739" s="6">
        <f>Table1[[#This Row],[pledged]]/Table1[[#This Row],[goal]]</f>
        <v>0.21249999999999999</v>
      </c>
      <c r="T1739" s="8">
        <f>IF(Table1[[#This Row],[pledged]]=0,"no backers",Table1[[#This Row],[pledged]]/Table1[[#This Row],[backers_count]])</f>
        <v>56.666666666666664</v>
      </c>
      <c r="U1739" t="str">
        <f>LEFT(Table1[[#This Row],[Category and Sub-Category]],FIND("/",Table1[[#This Row],[Category and Sub-Category]])-1)</f>
        <v>music</v>
      </c>
      <c r="V1739" t="str">
        <f>RIGHT(Table1[[#This Row],[Category and Sub-Category]],LEN(Table1[[#This Row],[Category and Sub-Category]])-FIND("/",Table1[[#This Row],[Category and Sub-Category]]))</f>
        <v>faith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 s="12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>((Table1[[#This Row],[deadline]]/60)/60/24)+DATE(1970,1,1)</f>
        <v>41914.874328703707</v>
      </c>
      <c r="K1740">
        <v>1409691542</v>
      </c>
      <c r="L1740" s="11">
        <f>((Table1[[#This Row],[launched_at]]/60)/60/24)+DATE(1970,1,1)</f>
        <v>41884.874328703707</v>
      </c>
      <c r="M1740">
        <f>MONTH(Table1[[#This Row],[Date Created Conversion]])</f>
        <v>9</v>
      </c>
      <c r="N1740">
        <f>YEAR(Table1[[#This Row],[Date Created Conversion]])</f>
        <v>2014</v>
      </c>
      <c r="O1740" t="b">
        <v>0</v>
      </c>
      <c r="P1740">
        <v>1</v>
      </c>
      <c r="Q1740" t="b">
        <v>0</v>
      </c>
      <c r="R1740" t="s">
        <v>8293</v>
      </c>
      <c r="S1740" s="6">
        <f>Table1[[#This Row],[pledged]]/Table1[[#This Row],[goal]]</f>
        <v>4.0000000000000001E-3</v>
      </c>
      <c r="T1740" s="8">
        <f>IF(Table1[[#This Row],[pledged]]=0,"no backers",Table1[[#This Row],[pledged]]/Table1[[#This Row],[backers_count]])</f>
        <v>20</v>
      </c>
      <c r="U1740" t="str">
        <f>LEFT(Table1[[#This Row],[Category and Sub-Category]],FIND("/",Table1[[#This Row],[Category and Sub-Category]])-1)</f>
        <v>music</v>
      </c>
      <c r="V1740" t="str">
        <f>RIGHT(Table1[[#This Row],[Category and Sub-Category]],LEN(Table1[[#This Row],[Category and Sub-Category]])-FIND("/",Table1[[#This Row],[Category and Sub-Category]]))</f>
        <v>faith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 s="12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>((Table1[[#This Row],[deadline]]/60)/60/24)+DATE(1970,1,1)</f>
        <v>42494.832546296297</v>
      </c>
      <c r="K1741">
        <v>1457297932</v>
      </c>
      <c r="L1741" s="11">
        <f>((Table1[[#This Row],[launched_at]]/60)/60/24)+DATE(1970,1,1)</f>
        <v>42435.874212962968</v>
      </c>
      <c r="M1741">
        <f>MONTH(Table1[[#This Row],[Date Created Conversion]])</f>
        <v>3</v>
      </c>
      <c r="N1741">
        <f>YEAR(Table1[[#This Row],[Date Created Conversion]])</f>
        <v>2016</v>
      </c>
      <c r="O1741" t="b">
        <v>0</v>
      </c>
      <c r="P1741">
        <v>1</v>
      </c>
      <c r="Q1741" t="b">
        <v>0</v>
      </c>
      <c r="R1741" t="s">
        <v>8293</v>
      </c>
      <c r="S1741" s="6">
        <f>Table1[[#This Row],[pledged]]/Table1[[#This Row],[goal]]</f>
        <v>1E-3</v>
      </c>
      <c r="T1741" s="8">
        <f>IF(Table1[[#This Row],[pledged]]=0,"no backers",Table1[[#This Row],[pledged]]/Table1[[#This Row],[backers_count]])</f>
        <v>1</v>
      </c>
      <c r="U1741" t="str">
        <f>LEFT(Table1[[#This Row],[Category and Sub-Category]],FIND("/",Table1[[#This Row],[Category and Sub-Category]])-1)</f>
        <v>music</v>
      </c>
      <c r="V1741" t="str">
        <f>RIGHT(Table1[[#This Row],[Category and Sub-Category]],LEN(Table1[[#This Row],[Category and Sub-Category]])-FIND("/",Table1[[#This Row],[Category and Sub-Category]]))</f>
        <v>faith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 s="1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>((Table1[[#This Row],[deadline]]/60)/60/24)+DATE(1970,1,1)</f>
        <v>42201.817384259266</v>
      </c>
      <c r="K1742">
        <v>1434483422</v>
      </c>
      <c r="L1742" s="11">
        <f>((Table1[[#This Row],[launched_at]]/60)/60/24)+DATE(1970,1,1)</f>
        <v>42171.817384259266</v>
      </c>
      <c r="M1742">
        <f>MONTH(Table1[[#This Row],[Date Created Conversion]])</f>
        <v>6</v>
      </c>
      <c r="N1742">
        <f>YEAR(Table1[[#This Row],[Date Created Conversion]])</f>
        <v>2015</v>
      </c>
      <c r="O1742" t="b">
        <v>0</v>
      </c>
      <c r="P1742">
        <v>0</v>
      </c>
      <c r="Q1742" t="b">
        <v>0</v>
      </c>
      <c r="R1742" t="s">
        <v>8293</v>
      </c>
      <c r="S1742" s="6">
        <f>Table1[[#This Row],[pledged]]/Table1[[#This Row],[goal]]</f>
        <v>0</v>
      </c>
      <c r="T1742" s="8" t="str">
        <f>IF(Table1[[#This Row],[pledged]]=0,"no backers",Table1[[#This Row],[pledged]]/Table1[[#This Row],[backers_count]])</f>
        <v>no backers</v>
      </c>
      <c r="U1742" t="str">
        <f>LEFT(Table1[[#This Row],[Category and Sub-Category]],FIND("/",Table1[[#This Row],[Category and Sub-Category]])-1)</f>
        <v>music</v>
      </c>
      <c r="V1742" t="str">
        <f>RIGHT(Table1[[#This Row],[Category and Sub-Category]],LEN(Table1[[#This Row],[Category and Sub-Category]])-FIND("/",Table1[[#This Row],[Category and Sub-Category]]))</f>
        <v>faith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 s="12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>((Table1[[#This Row],[deadline]]/60)/60/24)+DATE(1970,1,1)</f>
        <v>42165.628136574072</v>
      </c>
      <c r="K1743">
        <v>1430060671</v>
      </c>
      <c r="L1743" s="11">
        <f>((Table1[[#This Row],[launched_at]]/60)/60/24)+DATE(1970,1,1)</f>
        <v>42120.628136574072</v>
      </c>
      <c r="M1743">
        <f>MONTH(Table1[[#This Row],[Date Created Conversion]])</f>
        <v>4</v>
      </c>
      <c r="N1743">
        <f>YEAR(Table1[[#This Row],[Date Created Conversion]])</f>
        <v>2015</v>
      </c>
      <c r="O1743" t="b">
        <v>0</v>
      </c>
      <c r="P1743">
        <v>52</v>
      </c>
      <c r="Q1743" t="b">
        <v>1</v>
      </c>
      <c r="R1743" t="s">
        <v>8285</v>
      </c>
      <c r="S1743" s="6">
        <f>Table1[[#This Row],[pledged]]/Table1[[#This Row],[goal]]</f>
        <v>1.1083333333333334</v>
      </c>
      <c r="T1743" s="8">
        <f>IF(Table1[[#This Row],[pledged]]=0,"no backers",Table1[[#This Row],[pledged]]/Table1[[#This Row],[backers_count]])</f>
        <v>25.576923076923077</v>
      </c>
      <c r="U1743" t="str">
        <f>LEFT(Table1[[#This Row],[Category and Sub-Category]],FIND("/",Table1[[#This Row],[Category and Sub-Category]])-1)</f>
        <v>photography</v>
      </c>
      <c r="V1743" t="str">
        <f>RIGHT(Table1[[#This Row],[Category and Sub-Category]],LEN(Table1[[#This Row],[Category and Sub-Category]])-FIND("/",Table1[[#This Row],[Category and Sub-Category]]))</f>
        <v>photobooks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 s="12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>((Table1[[#This Row],[deadline]]/60)/60/24)+DATE(1970,1,1)</f>
        <v>42742.875</v>
      </c>
      <c r="K1744">
        <v>1481058170</v>
      </c>
      <c r="L1744" s="11">
        <f>((Table1[[#This Row],[launched_at]]/60)/60/24)+DATE(1970,1,1)</f>
        <v>42710.876967592587</v>
      </c>
      <c r="M1744">
        <f>MONTH(Table1[[#This Row],[Date Created Conversion]])</f>
        <v>12</v>
      </c>
      <c r="N1744">
        <f>YEAR(Table1[[#This Row],[Date Created Conversion]])</f>
        <v>2016</v>
      </c>
      <c r="O1744" t="b">
        <v>0</v>
      </c>
      <c r="P1744">
        <v>34</v>
      </c>
      <c r="Q1744" t="b">
        <v>1</v>
      </c>
      <c r="R1744" t="s">
        <v>8285</v>
      </c>
      <c r="S1744" s="6">
        <f>Table1[[#This Row],[pledged]]/Table1[[#This Row],[goal]]</f>
        <v>1.0874999999999999</v>
      </c>
      <c r="T1744" s="8">
        <f>IF(Table1[[#This Row],[pledged]]=0,"no backers",Table1[[#This Row],[pledged]]/Table1[[#This Row],[backers_count]])</f>
        <v>63.970588235294116</v>
      </c>
      <c r="U1744" t="str">
        <f>LEFT(Table1[[#This Row],[Category and Sub-Category]],FIND("/",Table1[[#This Row],[Category and Sub-Category]])-1)</f>
        <v>photography</v>
      </c>
      <c r="V1744" t="str">
        <f>RIGHT(Table1[[#This Row],[Category and Sub-Category]],LEN(Table1[[#This Row],[Category and Sub-Category]])-FIND("/",Table1[[#This Row],[Category and Sub-Category]]))</f>
        <v>photobooks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 s="12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>((Table1[[#This Row],[deadline]]/60)/60/24)+DATE(1970,1,1)</f>
        <v>42609.165972222225</v>
      </c>
      <c r="K1745">
        <v>1470348775</v>
      </c>
      <c r="L1745" s="11">
        <f>((Table1[[#This Row],[launched_at]]/60)/60/24)+DATE(1970,1,1)</f>
        <v>42586.925636574073</v>
      </c>
      <c r="M1745">
        <f>MONTH(Table1[[#This Row],[Date Created Conversion]])</f>
        <v>8</v>
      </c>
      <c r="N1745">
        <f>YEAR(Table1[[#This Row],[Date Created Conversion]])</f>
        <v>2016</v>
      </c>
      <c r="O1745" t="b">
        <v>0</v>
      </c>
      <c r="P1745">
        <v>67</v>
      </c>
      <c r="Q1745" t="b">
        <v>1</v>
      </c>
      <c r="R1745" t="s">
        <v>8285</v>
      </c>
      <c r="S1745" s="6">
        <f>Table1[[#This Row],[pledged]]/Table1[[#This Row],[goal]]</f>
        <v>1.0041666666666667</v>
      </c>
      <c r="T1745" s="8">
        <f>IF(Table1[[#This Row],[pledged]]=0,"no backers",Table1[[#This Row],[pledged]]/Table1[[#This Row],[backers_count]])</f>
        <v>89.925373134328353</v>
      </c>
      <c r="U1745" t="str">
        <f>LEFT(Table1[[#This Row],[Category and Sub-Category]],FIND("/",Table1[[#This Row],[Category and Sub-Category]])-1)</f>
        <v>photography</v>
      </c>
      <c r="V1745" t="str">
        <f>RIGHT(Table1[[#This Row],[Category and Sub-Category]],LEN(Table1[[#This Row],[Category and Sub-Category]])-FIND("/",Table1[[#This Row],[Category and Sub-Category]]))</f>
        <v>photobooks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 s="12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>((Table1[[#This Row],[deadline]]/60)/60/24)+DATE(1970,1,1)</f>
        <v>42071.563391203701</v>
      </c>
      <c r="K1746">
        <v>1421937077</v>
      </c>
      <c r="L1746" s="11">
        <f>((Table1[[#This Row],[launched_at]]/60)/60/24)+DATE(1970,1,1)</f>
        <v>42026.605057870373</v>
      </c>
      <c r="M1746">
        <f>MONTH(Table1[[#This Row],[Date Created Conversion]])</f>
        <v>1</v>
      </c>
      <c r="N1746">
        <f>YEAR(Table1[[#This Row],[Date Created Conversion]])</f>
        <v>2015</v>
      </c>
      <c r="O1746" t="b">
        <v>0</v>
      </c>
      <c r="P1746">
        <v>70</v>
      </c>
      <c r="Q1746" t="b">
        <v>1</v>
      </c>
      <c r="R1746" t="s">
        <v>8285</v>
      </c>
      <c r="S1746" s="6">
        <f>Table1[[#This Row],[pledged]]/Table1[[#This Row],[goal]]</f>
        <v>1.1845454545454546</v>
      </c>
      <c r="T1746" s="8">
        <f>IF(Table1[[#This Row],[pledged]]=0,"no backers",Table1[[#This Row],[pledged]]/Table1[[#This Row],[backers_count]])</f>
        <v>93.071428571428569</v>
      </c>
      <c r="U1746" t="str">
        <f>LEFT(Table1[[#This Row],[Category and Sub-Category]],FIND("/",Table1[[#This Row],[Category and Sub-Category]])-1)</f>
        <v>photography</v>
      </c>
      <c r="V1746" t="str">
        <f>RIGHT(Table1[[#This Row],[Category and Sub-Category]],LEN(Table1[[#This Row],[Category and Sub-Category]])-FIND("/",Table1[[#This Row],[Category and Sub-Category]]))</f>
        <v>photobooks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 s="12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>((Table1[[#This Row],[deadline]]/60)/60/24)+DATE(1970,1,1)</f>
        <v>42726.083333333328</v>
      </c>
      <c r="K1747">
        <v>1479276838</v>
      </c>
      <c r="L1747" s="11">
        <f>((Table1[[#This Row],[launched_at]]/60)/60/24)+DATE(1970,1,1)</f>
        <v>42690.259699074071</v>
      </c>
      <c r="M1747">
        <f>MONTH(Table1[[#This Row],[Date Created Conversion]])</f>
        <v>11</v>
      </c>
      <c r="N1747">
        <f>YEAR(Table1[[#This Row],[Date Created Conversion]])</f>
        <v>2016</v>
      </c>
      <c r="O1747" t="b">
        <v>0</v>
      </c>
      <c r="P1747">
        <v>89</v>
      </c>
      <c r="Q1747" t="b">
        <v>1</v>
      </c>
      <c r="R1747" t="s">
        <v>8285</v>
      </c>
      <c r="S1747" s="6">
        <f>Table1[[#This Row],[pledged]]/Table1[[#This Row],[goal]]</f>
        <v>1.1401428571428571</v>
      </c>
      <c r="T1747" s="8">
        <f>IF(Table1[[#This Row],[pledged]]=0,"no backers",Table1[[#This Row],[pledged]]/Table1[[#This Row],[backers_count]])</f>
        <v>89.674157303370791</v>
      </c>
      <c r="U1747" t="str">
        <f>LEFT(Table1[[#This Row],[Category and Sub-Category]],FIND("/",Table1[[#This Row],[Category and Sub-Category]])-1)</f>
        <v>photography</v>
      </c>
      <c r="V1747" t="str">
        <f>RIGHT(Table1[[#This Row],[Category and Sub-Category]],LEN(Table1[[#This Row],[Category and Sub-Category]])-FIND("/",Table1[[#This Row],[Category and Sub-Category]]))</f>
        <v>photobooks</v>
      </c>
    </row>
    <row r="1748" spans="1:22" ht="57.6" x14ac:dyDescent="0.3">
      <c r="A1748">
        <v>1746</v>
      </c>
      <c r="B1748" s="3" t="s">
        <v>1747</v>
      </c>
      <c r="C1748" s="3" t="s">
        <v>5856</v>
      </c>
      <c r="D1748" s="12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>((Table1[[#This Row],[deadline]]/60)/60/24)+DATE(1970,1,1)</f>
        <v>42698.083333333328</v>
      </c>
      <c r="K1748">
        <v>1477368867</v>
      </c>
      <c r="L1748" s="11">
        <f>((Table1[[#This Row],[launched_at]]/60)/60/24)+DATE(1970,1,1)</f>
        <v>42668.176701388889</v>
      </c>
      <c r="M1748">
        <f>MONTH(Table1[[#This Row],[Date Created Conversion]])</f>
        <v>10</v>
      </c>
      <c r="N1748">
        <f>YEAR(Table1[[#This Row],[Date Created Conversion]])</f>
        <v>2016</v>
      </c>
      <c r="O1748" t="b">
        <v>0</v>
      </c>
      <c r="P1748">
        <v>107</v>
      </c>
      <c r="Q1748" t="b">
        <v>1</v>
      </c>
      <c r="R1748" t="s">
        <v>8285</v>
      </c>
      <c r="S1748" s="6">
        <f>Table1[[#This Row],[pledged]]/Table1[[#This Row],[goal]]</f>
        <v>1.4810000000000001</v>
      </c>
      <c r="T1748" s="8">
        <f>IF(Table1[[#This Row],[pledged]]=0,"no backers",Table1[[#This Row],[pledged]]/Table1[[#This Row],[backers_count]])</f>
        <v>207.61682242990653</v>
      </c>
      <c r="U1748" t="str">
        <f>LEFT(Table1[[#This Row],[Category and Sub-Category]],FIND("/",Table1[[#This Row],[Category and Sub-Category]])-1)</f>
        <v>photography</v>
      </c>
      <c r="V1748" t="str">
        <f>RIGHT(Table1[[#This Row],[Category and Sub-Category]],LEN(Table1[[#This Row],[Category and Sub-Category]])-FIND("/",Table1[[#This Row],[Category and Sub-Category]]))</f>
        <v>photobooks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 s="12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>((Table1[[#This Row],[deadline]]/60)/60/24)+DATE(1970,1,1)</f>
        <v>42321.625</v>
      </c>
      <c r="K1749">
        <v>1444904830</v>
      </c>
      <c r="L1749" s="11">
        <f>((Table1[[#This Row],[launched_at]]/60)/60/24)+DATE(1970,1,1)</f>
        <v>42292.435532407413</v>
      </c>
      <c r="M1749">
        <f>MONTH(Table1[[#This Row],[Date Created Conversion]])</f>
        <v>10</v>
      </c>
      <c r="N1749">
        <f>YEAR(Table1[[#This Row],[Date Created Conversion]])</f>
        <v>2015</v>
      </c>
      <c r="O1749" t="b">
        <v>0</v>
      </c>
      <c r="P1749">
        <v>159</v>
      </c>
      <c r="Q1749" t="b">
        <v>1</v>
      </c>
      <c r="R1749" t="s">
        <v>8285</v>
      </c>
      <c r="S1749" s="6">
        <f>Table1[[#This Row],[pledged]]/Table1[[#This Row],[goal]]</f>
        <v>1.0495555555555556</v>
      </c>
      <c r="T1749" s="8">
        <f>IF(Table1[[#This Row],[pledged]]=0,"no backers",Table1[[#This Row],[pledged]]/Table1[[#This Row],[backers_count]])</f>
        <v>59.408805031446541</v>
      </c>
      <c r="U1749" t="str">
        <f>LEFT(Table1[[#This Row],[Category and Sub-Category]],FIND("/",Table1[[#This Row],[Category and Sub-Category]])-1)</f>
        <v>photography</v>
      </c>
      <c r="V1749" t="str">
        <f>RIGHT(Table1[[#This Row],[Category and Sub-Category]],LEN(Table1[[#This Row],[Category and Sub-Category]])-FIND("/",Table1[[#This Row],[Category and Sub-Category]]))</f>
        <v>photobooks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 s="12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>((Table1[[#This Row],[deadline]]/60)/60/24)+DATE(1970,1,1)</f>
        <v>42249.950729166667</v>
      </c>
      <c r="K1750">
        <v>1438642143</v>
      </c>
      <c r="L1750" s="11">
        <f>((Table1[[#This Row],[launched_at]]/60)/60/24)+DATE(1970,1,1)</f>
        <v>42219.950729166667</v>
      </c>
      <c r="M1750">
        <f>MONTH(Table1[[#This Row],[Date Created Conversion]])</f>
        <v>8</v>
      </c>
      <c r="N1750">
        <f>YEAR(Table1[[#This Row],[Date Created Conversion]])</f>
        <v>2015</v>
      </c>
      <c r="O1750" t="b">
        <v>0</v>
      </c>
      <c r="P1750">
        <v>181</v>
      </c>
      <c r="Q1750" t="b">
        <v>1</v>
      </c>
      <c r="R1750" t="s">
        <v>8285</v>
      </c>
      <c r="S1750" s="6">
        <f>Table1[[#This Row],[pledged]]/Table1[[#This Row],[goal]]</f>
        <v>1.29948</v>
      </c>
      <c r="T1750" s="8">
        <f>IF(Table1[[#This Row],[pledged]]=0,"no backers",Table1[[#This Row],[pledged]]/Table1[[#This Row],[backers_count]])</f>
        <v>358.97237569060775</v>
      </c>
      <c r="U1750" t="str">
        <f>LEFT(Table1[[#This Row],[Category and Sub-Category]],FIND("/",Table1[[#This Row],[Category and Sub-Category]])-1)</f>
        <v>photography</v>
      </c>
      <c r="V1750" t="str">
        <f>RIGHT(Table1[[#This Row],[Category and Sub-Category]],LEN(Table1[[#This Row],[Category and Sub-Category]])-FIND("/",Table1[[#This Row],[Category and Sub-Category]]))</f>
        <v>photobooks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 s="12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>((Table1[[#This Row],[deadline]]/60)/60/24)+DATE(1970,1,1)</f>
        <v>42795.791666666672</v>
      </c>
      <c r="K1751">
        <v>1485213921</v>
      </c>
      <c r="L1751" s="11">
        <f>((Table1[[#This Row],[launched_at]]/60)/60/24)+DATE(1970,1,1)</f>
        <v>42758.975937499999</v>
      </c>
      <c r="M1751">
        <f>MONTH(Table1[[#This Row],[Date Created Conversion]])</f>
        <v>1</v>
      </c>
      <c r="N1751">
        <f>YEAR(Table1[[#This Row],[Date Created Conversion]])</f>
        <v>2017</v>
      </c>
      <c r="O1751" t="b">
        <v>0</v>
      </c>
      <c r="P1751">
        <v>131</v>
      </c>
      <c r="Q1751" t="b">
        <v>1</v>
      </c>
      <c r="R1751" t="s">
        <v>8285</v>
      </c>
      <c r="S1751" s="6">
        <f>Table1[[#This Row],[pledged]]/Table1[[#This Row],[goal]]</f>
        <v>1.2348756218905472</v>
      </c>
      <c r="T1751" s="8">
        <f>IF(Table1[[#This Row],[pledged]]=0,"no backers",Table1[[#This Row],[pledged]]/Table1[[#This Row],[backers_count]])</f>
        <v>94.736641221374043</v>
      </c>
      <c r="U1751" t="str">
        <f>LEFT(Table1[[#This Row],[Category and Sub-Category]],FIND("/",Table1[[#This Row],[Category and Sub-Category]])-1)</f>
        <v>photography</v>
      </c>
      <c r="V1751" t="str">
        <f>RIGHT(Table1[[#This Row],[Category and Sub-Category]],LEN(Table1[[#This Row],[Category and Sub-Category]])-FIND("/",Table1[[#This Row],[Category and Sub-Category]]))</f>
        <v>photobooks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 s="1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>((Table1[[#This Row],[deadline]]/60)/60/24)+DATE(1970,1,1)</f>
        <v>42479.836851851855</v>
      </c>
      <c r="K1752">
        <v>1458936304</v>
      </c>
      <c r="L1752" s="11">
        <f>((Table1[[#This Row],[launched_at]]/60)/60/24)+DATE(1970,1,1)</f>
        <v>42454.836851851855</v>
      </c>
      <c r="M1752">
        <f>MONTH(Table1[[#This Row],[Date Created Conversion]])</f>
        <v>3</v>
      </c>
      <c r="N1752">
        <f>YEAR(Table1[[#This Row],[Date Created Conversion]])</f>
        <v>2016</v>
      </c>
      <c r="O1752" t="b">
        <v>0</v>
      </c>
      <c r="P1752">
        <v>125</v>
      </c>
      <c r="Q1752" t="b">
        <v>1</v>
      </c>
      <c r="R1752" t="s">
        <v>8285</v>
      </c>
      <c r="S1752" s="6">
        <f>Table1[[#This Row],[pledged]]/Table1[[#This Row],[goal]]</f>
        <v>2.0162</v>
      </c>
      <c r="T1752" s="8">
        <f>IF(Table1[[#This Row],[pledged]]=0,"no backers",Table1[[#This Row],[pledged]]/Table1[[#This Row],[backers_count]])</f>
        <v>80.647999999999996</v>
      </c>
      <c r="U1752" t="str">
        <f>LEFT(Table1[[#This Row],[Category and Sub-Category]],FIND("/",Table1[[#This Row],[Category and Sub-Category]])-1)</f>
        <v>photography</v>
      </c>
      <c r="V1752" t="str">
        <f>RIGHT(Table1[[#This Row],[Category and Sub-Category]],LEN(Table1[[#This Row],[Category and Sub-Category]])-FIND("/",Table1[[#This Row],[Category and Sub-Category]]))</f>
        <v>photobooks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 s="12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>((Table1[[#This Row],[deadline]]/60)/60/24)+DATE(1970,1,1)</f>
        <v>42082.739849537036</v>
      </c>
      <c r="K1753">
        <v>1424198723</v>
      </c>
      <c r="L1753" s="11">
        <f>((Table1[[#This Row],[launched_at]]/60)/60/24)+DATE(1970,1,1)</f>
        <v>42052.7815162037</v>
      </c>
      <c r="M1753">
        <f>MONTH(Table1[[#This Row],[Date Created Conversion]])</f>
        <v>2</v>
      </c>
      <c r="N1753">
        <f>YEAR(Table1[[#This Row],[Date Created Conversion]])</f>
        <v>2015</v>
      </c>
      <c r="O1753" t="b">
        <v>0</v>
      </c>
      <c r="P1753">
        <v>61</v>
      </c>
      <c r="Q1753" t="b">
        <v>1</v>
      </c>
      <c r="R1753" t="s">
        <v>8285</v>
      </c>
      <c r="S1753" s="6">
        <f>Table1[[#This Row],[pledged]]/Table1[[#This Row],[goal]]</f>
        <v>1.0289999999999999</v>
      </c>
      <c r="T1753" s="8">
        <f>IF(Table1[[#This Row],[pledged]]=0,"no backers",Table1[[#This Row],[pledged]]/Table1[[#This Row],[backers_count]])</f>
        <v>168.68852459016392</v>
      </c>
      <c r="U1753" t="str">
        <f>LEFT(Table1[[#This Row],[Category and Sub-Category]],FIND("/",Table1[[#This Row],[Category and Sub-Category]])-1)</f>
        <v>photography</v>
      </c>
      <c r="V1753" t="str">
        <f>RIGHT(Table1[[#This Row],[Category and Sub-Category]],LEN(Table1[[#This Row],[Category and Sub-Category]])-FIND("/",Table1[[#This Row],[Category and Sub-Category]]))</f>
        <v>photobooks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 s="12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>((Table1[[#This Row],[deadline]]/60)/60/24)+DATE(1970,1,1)</f>
        <v>42657.253263888888</v>
      </c>
      <c r="K1754">
        <v>1473833082</v>
      </c>
      <c r="L1754" s="11">
        <f>((Table1[[#This Row],[launched_at]]/60)/60/24)+DATE(1970,1,1)</f>
        <v>42627.253263888888</v>
      </c>
      <c r="M1754">
        <f>MONTH(Table1[[#This Row],[Date Created Conversion]])</f>
        <v>9</v>
      </c>
      <c r="N1754">
        <f>YEAR(Table1[[#This Row],[Date Created Conversion]])</f>
        <v>2016</v>
      </c>
      <c r="O1754" t="b">
        <v>0</v>
      </c>
      <c r="P1754">
        <v>90</v>
      </c>
      <c r="Q1754" t="b">
        <v>1</v>
      </c>
      <c r="R1754" t="s">
        <v>8285</v>
      </c>
      <c r="S1754" s="6">
        <f>Table1[[#This Row],[pledged]]/Table1[[#This Row],[goal]]</f>
        <v>2.6016666666666666</v>
      </c>
      <c r="T1754" s="8">
        <f>IF(Table1[[#This Row],[pledged]]=0,"no backers",Table1[[#This Row],[pledged]]/Table1[[#This Row],[backers_count]])</f>
        <v>34.68888888888889</v>
      </c>
      <c r="U1754" t="str">
        <f>LEFT(Table1[[#This Row],[Category and Sub-Category]],FIND("/",Table1[[#This Row],[Category and Sub-Category]])-1)</f>
        <v>photography</v>
      </c>
      <c r="V1754" t="str">
        <f>RIGHT(Table1[[#This Row],[Category and Sub-Category]],LEN(Table1[[#This Row],[Category and Sub-Category]])-FIND("/",Table1[[#This Row],[Category and Sub-Category]]))</f>
        <v>photobooks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 s="12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>((Table1[[#This Row],[deadline]]/60)/60/24)+DATE(1970,1,1)</f>
        <v>42450.707962962959</v>
      </c>
      <c r="K1755">
        <v>1455991168</v>
      </c>
      <c r="L1755" s="11">
        <f>((Table1[[#This Row],[launched_at]]/60)/60/24)+DATE(1970,1,1)</f>
        <v>42420.74962962963</v>
      </c>
      <c r="M1755">
        <f>MONTH(Table1[[#This Row],[Date Created Conversion]])</f>
        <v>2</v>
      </c>
      <c r="N1755">
        <f>YEAR(Table1[[#This Row],[Date Created Conversion]])</f>
        <v>2016</v>
      </c>
      <c r="O1755" t="b">
        <v>0</v>
      </c>
      <c r="P1755">
        <v>35</v>
      </c>
      <c r="Q1755" t="b">
        <v>1</v>
      </c>
      <c r="R1755" t="s">
        <v>8285</v>
      </c>
      <c r="S1755" s="6">
        <f>Table1[[#This Row],[pledged]]/Table1[[#This Row],[goal]]</f>
        <v>1.08</v>
      </c>
      <c r="T1755" s="8">
        <f>IF(Table1[[#This Row],[pledged]]=0,"no backers",Table1[[#This Row],[pledged]]/Table1[[#This Row],[backers_count]])</f>
        <v>462.85714285714283</v>
      </c>
      <c r="U1755" t="str">
        <f>LEFT(Table1[[#This Row],[Category and Sub-Category]],FIND("/",Table1[[#This Row],[Category and Sub-Category]])-1)</f>
        <v>photography</v>
      </c>
      <c r="V1755" t="str">
        <f>RIGHT(Table1[[#This Row],[Category and Sub-Category]],LEN(Table1[[#This Row],[Category and Sub-Category]])-FIND("/",Table1[[#This Row],[Category and Sub-Category]]))</f>
        <v>photobooks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 s="12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>((Table1[[#This Row],[deadline]]/60)/60/24)+DATE(1970,1,1)</f>
        <v>42097.835104166668</v>
      </c>
      <c r="K1756">
        <v>1425502953</v>
      </c>
      <c r="L1756" s="11">
        <f>((Table1[[#This Row],[launched_at]]/60)/60/24)+DATE(1970,1,1)</f>
        <v>42067.876770833333</v>
      </c>
      <c r="M1756">
        <f>MONTH(Table1[[#This Row],[Date Created Conversion]])</f>
        <v>3</v>
      </c>
      <c r="N1756">
        <f>YEAR(Table1[[#This Row],[Date Created Conversion]])</f>
        <v>2015</v>
      </c>
      <c r="O1756" t="b">
        <v>0</v>
      </c>
      <c r="P1756">
        <v>90</v>
      </c>
      <c r="Q1756" t="b">
        <v>1</v>
      </c>
      <c r="R1756" t="s">
        <v>8285</v>
      </c>
      <c r="S1756" s="6">
        <f>Table1[[#This Row],[pledged]]/Table1[[#This Row],[goal]]</f>
        <v>1.1052941176470588</v>
      </c>
      <c r="T1756" s="8">
        <f>IF(Table1[[#This Row],[pledged]]=0,"no backers",Table1[[#This Row],[pledged]]/Table1[[#This Row],[backers_count]])</f>
        <v>104.38888888888889</v>
      </c>
      <c r="U1756" t="str">
        <f>LEFT(Table1[[#This Row],[Category and Sub-Category]],FIND("/",Table1[[#This Row],[Category and Sub-Category]])-1)</f>
        <v>photography</v>
      </c>
      <c r="V1756" t="str">
        <f>RIGHT(Table1[[#This Row],[Category and Sub-Category]],LEN(Table1[[#This Row],[Category and Sub-Category]])-FIND("/",Table1[[#This Row],[Category and Sub-Category]]))</f>
        <v>photobooks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 s="12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>((Table1[[#This Row],[deadline]]/60)/60/24)+DATE(1970,1,1)</f>
        <v>42282.788900462961</v>
      </c>
      <c r="K1757">
        <v>1441479361</v>
      </c>
      <c r="L1757" s="11">
        <f>((Table1[[#This Row],[launched_at]]/60)/60/24)+DATE(1970,1,1)</f>
        <v>42252.788900462961</v>
      </c>
      <c r="M1757">
        <f>MONTH(Table1[[#This Row],[Date Created Conversion]])</f>
        <v>9</v>
      </c>
      <c r="N1757">
        <f>YEAR(Table1[[#This Row],[Date Created Conversion]])</f>
        <v>2015</v>
      </c>
      <c r="O1757" t="b">
        <v>0</v>
      </c>
      <c r="P1757">
        <v>4</v>
      </c>
      <c r="Q1757" t="b">
        <v>1</v>
      </c>
      <c r="R1757" t="s">
        <v>8285</v>
      </c>
      <c r="S1757" s="6">
        <f>Table1[[#This Row],[pledged]]/Table1[[#This Row],[goal]]</f>
        <v>1.2</v>
      </c>
      <c r="T1757" s="8">
        <f>IF(Table1[[#This Row],[pledged]]=0,"no backers",Table1[[#This Row],[pledged]]/Table1[[#This Row],[backers_count]])</f>
        <v>7.5</v>
      </c>
      <c r="U1757" t="str">
        <f>LEFT(Table1[[#This Row],[Category and Sub-Category]],FIND("/",Table1[[#This Row],[Category and Sub-Category]])-1)</f>
        <v>photography</v>
      </c>
      <c r="V1757" t="str">
        <f>RIGHT(Table1[[#This Row],[Category and Sub-Category]],LEN(Table1[[#This Row],[Category and Sub-Category]])-FIND("/",Table1[[#This Row],[Category and Sub-Category]]))</f>
        <v>photobooks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 s="12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>((Table1[[#This Row],[deadline]]/60)/60/24)+DATE(1970,1,1)</f>
        <v>42611.167465277773</v>
      </c>
      <c r="K1758">
        <v>1468987269</v>
      </c>
      <c r="L1758" s="11">
        <f>((Table1[[#This Row],[launched_at]]/60)/60/24)+DATE(1970,1,1)</f>
        <v>42571.167465277773</v>
      </c>
      <c r="M1758">
        <f>MONTH(Table1[[#This Row],[Date Created Conversion]])</f>
        <v>7</v>
      </c>
      <c r="N1758">
        <f>YEAR(Table1[[#This Row],[Date Created Conversion]])</f>
        <v>2016</v>
      </c>
      <c r="O1758" t="b">
        <v>0</v>
      </c>
      <c r="P1758">
        <v>120</v>
      </c>
      <c r="Q1758" t="b">
        <v>1</v>
      </c>
      <c r="R1758" t="s">
        <v>8285</v>
      </c>
      <c r="S1758" s="6">
        <f>Table1[[#This Row],[pledged]]/Table1[[#This Row],[goal]]</f>
        <v>1.0282909090909091</v>
      </c>
      <c r="T1758" s="8">
        <f>IF(Table1[[#This Row],[pledged]]=0,"no backers",Table1[[#This Row],[pledged]]/Table1[[#This Row],[backers_count]])</f>
        <v>47.13</v>
      </c>
      <c r="U1758" t="str">
        <f>LEFT(Table1[[#This Row],[Category and Sub-Category]],FIND("/",Table1[[#This Row],[Category and Sub-Category]])-1)</f>
        <v>photography</v>
      </c>
      <c r="V1758" t="str">
        <f>RIGHT(Table1[[#This Row],[Category and Sub-Category]],LEN(Table1[[#This Row],[Category and Sub-Category]])-FIND("/",Table1[[#This Row],[Category and Sub-Category]]))</f>
        <v>photobooks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 s="12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>((Table1[[#This Row],[deadline]]/60)/60/24)+DATE(1970,1,1)</f>
        <v>42763.811805555553</v>
      </c>
      <c r="K1759">
        <v>1483041083</v>
      </c>
      <c r="L1759" s="11">
        <f>((Table1[[#This Row],[launched_at]]/60)/60/24)+DATE(1970,1,1)</f>
        <v>42733.827349537038</v>
      </c>
      <c r="M1759">
        <f>MONTH(Table1[[#This Row],[Date Created Conversion]])</f>
        <v>12</v>
      </c>
      <c r="N1759">
        <f>YEAR(Table1[[#This Row],[Date Created Conversion]])</f>
        <v>2016</v>
      </c>
      <c r="O1759" t="b">
        <v>0</v>
      </c>
      <c r="P1759">
        <v>14</v>
      </c>
      <c r="Q1759" t="b">
        <v>1</v>
      </c>
      <c r="R1759" t="s">
        <v>8285</v>
      </c>
      <c r="S1759" s="6">
        <f>Table1[[#This Row],[pledged]]/Table1[[#This Row],[goal]]</f>
        <v>1.1599999999999999</v>
      </c>
      <c r="T1759" s="8">
        <f>IF(Table1[[#This Row],[pledged]]=0,"no backers",Table1[[#This Row],[pledged]]/Table1[[#This Row],[backers_count]])</f>
        <v>414.28571428571428</v>
      </c>
      <c r="U1759" t="str">
        <f>LEFT(Table1[[#This Row],[Category and Sub-Category]],FIND("/",Table1[[#This Row],[Category and Sub-Category]])-1)</f>
        <v>photography</v>
      </c>
      <c r="V1759" t="str">
        <f>RIGHT(Table1[[#This Row],[Category and Sub-Category]],LEN(Table1[[#This Row],[Category and Sub-Category]])-FIND("/",Table1[[#This Row],[Category and Sub-Category]]))</f>
        <v>photobooks</v>
      </c>
    </row>
    <row r="1760" spans="1:22" ht="57.6" x14ac:dyDescent="0.3">
      <c r="A1760">
        <v>1758</v>
      </c>
      <c r="B1760" s="3" t="s">
        <v>1759</v>
      </c>
      <c r="C1760" s="3" t="s">
        <v>5868</v>
      </c>
      <c r="D1760" s="12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>((Table1[[#This Row],[deadline]]/60)/60/24)+DATE(1970,1,1)</f>
        <v>42565.955925925926</v>
      </c>
      <c r="K1760">
        <v>1463352992</v>
      </c>
      <c r="L1760" s="11">
        <f>((Table1[[#This Row],[launched_at]]/60)/60/24)+DATE(1970,1,1)</f>
        <v>42505.955925925926</v>
      </c>
      <c r="M1760">
        <f>MONTH(Table1[[#This Row],[Date Created Conversion]])</f>
        <v>5</v>
      </c>
      <c r="N1760">
        <f>YEAR(Table1[[#This Row],[Date Created Conversion]])</f>
        <v>2016</v>
      </c>
      <c r="O1760" t="b">
        <v>0</v>
      </c>
      <c r="P1760">
        <v>27</v>
      </c>
      <c r="Q1760" t="b">
        <v>1</v>
      </c>
      <c r="R1760" t="s">
        <v>8285</v>
      </c>
      <c r="S1760" s="6">
        <f>Table1[[#This Row],[pledged]]/Table1[[#This Row],[goal]]</f>
        <v>1.147</v>
      </c>
      <c r="T1760" s="8">
        <f>IF(Table1[[#This Row],[pledged]]=0,"no backers",Table1[[#This Row],[pledged]]/Table1[[#This Row],[backers_count]])</f>
        <v>42.481481481481481</v>
      </c>
      <c r="U1760" t="str">
        <f>LEFT(Table1[[#This Row],[Category and Sub-Category]],FIND("/",Table1[[#This Row],[Category and Sub-Category]])-1)</f>
        <v>photography</v>
      </c>
      <c r="V1760" t="str">
        <f>RIGHT(Table1[[#This Row],[Category and Sub-Category]],LEN(Table1[[#This Row],[Category and Sub-Category]])-FIND("/",Table1[[#This Row],[Category and Sub-Category]]))</f>
        <v>photobooks</v>
      </c>
    </row>
    <row r="1761" spans="1:22" ht="28.8" x14ac:dyDescent="0.3">
      <c r="A1761">
        <v>1759</v>
      </c>
      <c r="B1761" s="3" t="s">
        <v>1760</v>
      </c>
      <c r="C1761" s="3" t="s">
        <v>5869</v>
      </c>
      <c r="D1761" s="12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>((Table1[[#This Row],[deadline]]/60)/60/24)+DATE(1970,1,1)</f>
        <v>42088.787372685183</v>
      </c>
      <c r="K1761">
        <v>1425585229</v>
      </c>
      <c r="L1761" s="11">
        <f>((Table1[[#This Row],[launched_at]]/60)/60/24)+DATE(1970,1,1)</f>
        <v>42068.829039351855</v>
      </c>
      <c r="M1761">
        <f>MONTH(Table1[[#This Row],[Date Created Conversion]])</f>
        <v>3</v>
      </c>
      <c r="N1761">
        <f>YEAR(Table1[[#This Row],[Date Created Conversion]])</f>
        <v>2015</v>
      </c>
      <c r="O1761" t="b">
        <v>0</v>
      </c>
      <c r="P1761">
        <v>49</v>
      </c>
      <c r="Q1761" t="b">
        <v>1</v>
      </c>
      <c r="R1761" t="s">
        <v>8285</v>
      </c>
      <c r="S1761" s="6">
        <f>Table1[[#This Row],[pledged]]/Table1[[#This Row],[goal]]</f>
        <v>1.0660000000000001</v>
      </c>
      <c r="T1761" s="8">
        <f>IF(Table1[[#This Row],[pledged]]=0,"no backers",Table1[[#This Row],[pledged]]/Table1[[#This Row],[backers_count]])</f>
        <v>108.77551020408163</v>
      </c>
      <c r="U1761" t="str">
        <f>LEFT(Table1[[#This Row],[Category and Sub-Category]],FIND("/",Table1[[#This Row],[Category and Sub-Category]])-1)</f>
        <v>photography</v>
      </c>
      <c r="V1761" t="str">
        <f>RIGHT(Table1[[#This Row],[Category and Sub-Category]],LEN(Table1[[#This Row],[Category and Sub-Category]])-FIND("/",Table1[[#This Row],[Category and Sub-Category]]))</f>
        <v>photobooks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 s="1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>((Table1[[#This Row],[deadline]]/60)/60/24)+DATE(1970,1,1)</f>
        <v>42425.67260416667</v>
      </c>
      <c r="K1762">
        <v>1454688513</v>
      </c>
      <c r="L1762" s="11">
        <f>((Table1[[#This Row],[launched_at]]/60)/60/24)+DATE(1970,1,1)</f>
        <v>42405.67260416667</v>
      </c>
      <c r="M1762">
        <f>MONTH(Table1[[#This Row],[Date Created Conversion]])</f>
        <v>2</v>
      </c>
      <c r="N1762">
        <f>YEAR(Table1[[#This Row],[Date Created Conversion]])</f>
        <v>2016</v>
      </c>
      <c r="O1762" t="b">
        <v>0</v>
      </c>
      <c r="P1762">
        <v>102</v>
      </c>
      <c r="Q1762" t="b">
        <v>1</v>
      </c>
      <c r="R1762" t="s">
        <v>8285</v>
      </c>
      <c r="S1762" s="6">
        <f>Table1[[#This Row],[pledged]]/Table1[[#This Row],[goal]]</f>
        <v>1.6544000000000001</v>
      </c>
      <c r="T1762" s="8">
        <f>IF(Table1[[#This Row],[pledged]]=0,"no backers",Table1[[#This Row],[pledged]]/Table1[[#This Row],[backers_count]])</f>
        <v>81.098039215686271</v>
      </c>
      <c r="U1762" t="str">
        <f>LEFT(Table1[[#This Row],[Category and Sub-Category]],FIND("/",Table1[[#This Row],[Category and Sub-Category]])-1)</f>
        <v>photography</v>
      </c>
      <c r="V1762" t="str">
        <f>RIGHT(Table1[[#This Row],[Category and Sub-Category]],LEN(Table1[[#This Row],[Category and Sub-Category]])-FIND("/",Table1[[#This Row],[Category and Sub-Category]]))</f>
        <v>photobooks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 s="12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>((Table1[[#This Row],[deadline]]/60)/60/24)+DATE(1970,1,1)</f>
        <v>42259.567824074074</v>
      </c>
      <c r="K1763">
        <v>1437745060</v>
      </c>
      <c r="L1763" s="11">
        <f>((Table1[[#This Row],[launched_at]]/60)/60/24)+DATE(1970,1,1)</f>
        <v>42209.567824074074</v>
      </c>
      <c r="M1763">
        <f>MONTH(Table1[[#This Row],[Date Created Conversion]])</f>
        <v>7</v>
      </c>
      <c r="N1763">
        <f>YEAR(Table1[[#This Row],[Date Created Conversion]])</f>
        <v>2015</v>
      </c>
      <c r="O1763" t="b">
        <v>0</v>
      </c>
      <c r="P1763">
        <v>3</v>
      </c>
      <c r="Q1763" t="b">
        <v>1</v>
      </c>
      <c r="R1763" t="s">
        <v>8285</v>
      </c>
      <c r="S1763" s="6">
        <f>Table1[[#This Row],[pledged]]/Table1[[#This Row],[goal]]</f>
        <v>1.55</v>
      </c>
      <c r="T1763" s="8">
        <f>IF(Table1[[#This Row],[pledged]]=0,"no backers",Table1[[#This Row],[pledged]]/Table1[[#This Row],[backers_count]])</f>
        <v>51.666666666666664</v>
      </c>
      <c r="U1763" t="str">
        <f>LEFT(Table1[[#This Row],[Category and Sub-Category]],FIND("/",Table1[[#This Row],[Category and Sub-Category]])-1)</f>
        <v>photography</v>
      </c>
      <c r="V1763" t="str">
        <f>RIGHT(Table1[[#This Row],[Category and Sub-Category]],LEN(Table1[[#This Row],[Category and Sub-Category]])-FIND("/",Table1[[#This Row],[Category and Sub-Category]]))</f>
        <v>photobooks</v>
      </c>
    </row>
    <row r="1764" spans="1:22" ht="28.8" x14ac:dyDescent="0.3">
      <c r="A1764">
        <v>1762</v>
      </c>
      <c r="B1764" s="3" t="s">
        <v>1763</v>
      </c>
      <c r="C1764" s="3" t="s">
        <v>5872</v>
      </c>
      <c r="D1764" s="12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>((Table1[[#This Row],[deadline]]/60)/60/24)+DATE(1970,1,1)</f>
        <v>42440.982002314813</v>
      </c>
      <c r="K1764">
        <v>1455147245</v>
      </c>
      <c r="L1764" s="11">
        <f>((Table1[[#This Row],[launched_at]]/60)/60/24)+DATE(1970,1,1)</f>
        <v>42410.982002314813</v>
      </c>
      <c r="M1764">
        <f>MONTH(Table1[[#This Row],[Date Created Conversion]])</f>
        <v>2</v>
      </c>
      <c r="N1764">
        <f>YEAR(Table1[[#This Row],[Date Created Conversion]])</f>
        <v>2016</v>
      </c>
      <c r="O1764" t="b">
        <v>0</v>
      </c>
      <c r="P1764">
        <v>25</v>
      </c>
      <c r="Q1764" t="b">
        <v>1</v>
      </c>
      <c r="R1764" t="s">
        <v>8285</v>
      </c>
      <c r="S1764" s="6">
        <f>Table1[[#This Row],[pledged]]/Table1[[#This Row],[goal]]</f>
        <v>8.85</v>
      </c>
      <c r="T1764" s="8">
        <f>IF(Table1[[#This Row],[pledged]]=0,"no backers",Table1[[#This Row],[pledged]]/Table1[[#This Row],[backers_count]])</f>
        <v>35.4</v>
      </c>
      <c r="U1764" t="str">
        <f>LEFT(Table1[[#This Row],[Category and Sub-Category]],FIND("/",Table1[[#This Row],[Category and Sub-Category]])-1)</f>
        <v>photography</v>
      </c>
      <c r="V1764" t="str">
        <f>RIGHT(Table1[[#This Row],[Category and Sub-Category]],LEN(Table1[[#This Row],[Category and Sub-Category]])-FIND("/",Table1[[#This Row],[Category and Sub-Category]]))</f>
        <v>photobooks</v>
      </c>
    </row>
    <row r="1765" spans="1:22" ht="57.6" x14ac:dyDescent="0.3">
      <c r="A1765">
        <v>1763</v>
      </c>
      <c r="B1765" s="3" t="s">
        <v>1764</v>
      </c>
      <c r="C1765" s="3" t="s">
        <v>5873</v>
      </c>
      <c r="D1765" s="12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>((Table1[[#This Row],[deadline]]/60)/60/24)+DATE(1970,1,1)</f>
        <v>42666.868518518517</v>
      </c>
      <c r="K1765">
        <v>1474663840</v>
      </c>
      <c r="L1765" s="11">
        <f>((Table1[[#This Row],[launched_at]]/60)/60/24)+DATE(1970,1,1)</f>
        <v>42636.868518518517</v>
      </c>
      <c r="M1765">
        <f>MONTH(Table1[[#This Row],[Date Created Conversion]])</f>
        <v>9</v>
      </c>
      <c r="N1765">
        <f>YEAR(Table1[[#This Row],[Date Created Conversion]])</f>
        <v>2016</v>
      </c>
      <c r="O1765" t="b">
        <v>0</v>
      </c>
      <c r="P1765">
        <v>118</v>
      </c>
      <c r="Q1765" t="b">
        <v>1</v>
      </c>
      <c r="R1765" t="s">
        <v>8285</v>
      </c>
      <c r="S1765" s="6">
        <f>Table1[[#This Row],[pledged]]/Table1[[#This Row],[goal]]</f>
        <v>1.0190833333333333</v>
      </c>
      <c r="T1765" s="8">
        <f>IF(Table1[[#This Row],[pledged]]=0,"no backers",Table1[[#This Row],[pledged]]/Table1[[#This Row],[backers_count]])</f>
        <v>103.63559322033899</v>
      </c>
      <c r="U1765" t="str">
        <f>LEFT(Table1[[#This Row],[Category and Sub-Category]],FIND("/",Table1[[#This Row],[Category and Sub-Category]])-1)</f>
        <v>photography</v>
      </c>
      <c r="V1765" t="str">
        <f>RIGHT(Table1[[#This Row],[Category and Sub-Category]],LEN(Table1[[#This Row],[Category and Sub-Category]])-FIND("/",Table1[[#This Row],[Category and Sub-Category]]))</f>
        <v>photobooks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 s="12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>((Table1[[#This Row],[deadline]]/60)/60/24)+DATE(1970,1,1)</f>
        <v>41854.485868055555</v>
      </c>
      <c r="K1766">
        <v>1404560379</v>
      </c>
      <c r="L1766" s="11">
        <f>((Table1[[#This Row],[launched_at]]/60)/60/24)+DATE(1970,1,1)</f>
        <v>41825.485868055555</v>
      </c>
      <c r="M1766">
        <f>MONTH(Table1[[#This Row],[Date Created Conversion]])</f>
        <v>7</v>
      </c>
      <c r="N1766">
        <f>YEAR(Table1[[#This Row],[Date Created Conversion]])</f>
        <v>2014</v>
      </c>
      <c r="O1766" t="b">
        <v>1</v>
      </c>
      <c r="P1766">
        <v>39</v>
      </c>
      <c r="Q1766" t="b">
        <v>0</v>
      </c>
      <c r="R1766" t="s">
        <v>8285</v>
      </c>
      <c r="S1766" s="6">
        <f>Table1[[#This Row],[pledged]]/Table1[[#This Row],[goal]]</f>
        <v>0.19600000000000001</v>
      </c>
      <c r="T1766" s="8">
        <f>IF(Table1[[#This Row],[pledged]]=0,"no backers",Table1[[#This Row],[pledged]]/Table1[[#This Row],[backers_count]])</f>
        <v>55.282051282051285</v>
      </c>
      <c r="U1766" t="str">
        <f>LEFT(Table1[[#This Row],[Category and Sub-Category]],FIND("/",Table1[[#This Row],[Category and Sub-Category]])-1)</f>
        <v>photography</v>
      </c>
      <c r="V1766" t="str">
        <f>RIGHT(Table1[[#This Row],[Category and Sub-Category]],LEN(Table1[[#This Row],[Category and Sub-Category]])-FIND("/",Table1[[#This Row],[Category and Sub-Category]]))</f>
        <v>photobooks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 s="12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>((Table1[[#This Row],[deadline]]/60)/60/24)+DATE(1970,1,1)</f>
        <v>41864.980462962965</v>
      </c>
      <c r="K1767">
        <v>1405380712</v>
      </c>
      <c r="L1767" s="11">
        <f>((Table1[[#This Row],[launched_at]]/60)/60/24)+DATE(1970,1,1)</f>
        <v>41834.980462962965</v>
      </c>
      <c r="M1767">
        <f>MONTH(Table1[[#This Row],[Date Created Conversion]])</f>
        <v>7</v>
      </c>
      <c r="N1767">
        <f>YEAR(Table1[[#This Row],[Date Created Conversion]])</f>
        <v>2014</v>
      </c>
      <c r="O1767" t="b">
        <v>1</v>
      </c>
      <c r="P1767">
        <v>103</v>
      </c>
      <c r="Q1767" t="b">
        <v>0</v>
      </c>
      <c r="R1767" t="s">
        <v>8285</v>
      </c>
      <c r="S1767" s="6">
        <f>Table1[[#This Row],[pledged]]/Table1[[#This Row],[goal]]</f>
        <v>0.59467839999999994</v>
      </c>
      <c r="T1767" s="8">
        <f>IF(Table1[[#This Row],[pledged]]=0,"no backers",Table1[[#This Row],[pledged]]/Table1[[#This Row],[backers_count]])</f>
        <v>72.16970873786407</v>
      </c>
      <c r="U1767" t="str">
        <f>LEFT(Table1[[#This Row],[Category and Sub-Category]],FIND("/",Table1[[#This Row],[Category and Sub-Category]])-1)</f>
        <v>photography</v>
      </c>
      <c r="V1767" t="str">
        <f>RIGHT(Table1[[#This Row],[Category and Sub-Category]],LEN(Table1[[#This Row],[Category and Sub-Category]])-FIND("/",Table1[[#This Row],[Category and Sub-Category]]))</f>
        <v>photobooks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 s="12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>((Table1[[#This Row],[deadline]]/60)/60/24)+DATE(1970,1,1)</f>
        <v>41876.859814814816</v>
      </c>
      <c r="K1768">
        <v>1407184688</v>
      </c>
      <c r="L1768" s="11">
        <f>((Table1[[#This Row],[launched_at]]/60)/60/24)+DATE(1970,1,1)</f>
        <v>41855.859814814816</v>
      </c>
      <c r="M1768">
        <f>MONTH(Table1[[#This Row],[Date Created Conversion]])</f>
        <v>8</v>
      </c>
      <c r="N1768">
        <f>YEAR(Table1[[#This Row],[Date Created Conversion]])</f>
        <v>2014</v>
      </c>
      <c r="O1768" t="b">
        <v>1</v>
      </c>
      <c r="P1768">
        <v>0</v>
      </c>
      <c r="Q1768" t="b">
        <v>0</v>
      </c>
      <c r="R1768" t="s">
        <v>8285</v>
      </c>
      <c r="S1768" s="6">
        <f>Table1[[#This Row],[pledged]]/Table1[[#This Row],[goal]]</f>
        <v>0</v>
      </c>
      <c r="T1768" s="8" t="str">
        <f>IF(Table1[[#This Row],[pledged]]=0,"no backers",Table1[[#This Row],[pledged]]/Table1[[#This Row],[backers_count]])</f>
        <v>no backers</v>
      </c>
      <c r="U1768" t="str">
        <f>LEFT(Table1[[#This Row],[Category and Sub-Category]],FIND("/",Table1[[#This Row],[Category and Sub-Category]])-1)</f>
        <v>photography</v>
      </c>
      <c r="V1768" t="str">
        <f>RIGHT(Table1[[#This Row],[Category and Sub-Category]],LEN(Table1[[#This Row],[Category and Sub-Category]])-FIND("/",Table1[[#This Row],[Category and Sub-Category]]))</f>
        <v>photobooks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 s="12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>((Table1[[#This Row],[deadline]]/60)/60/24)+DATE(1970,1,1)</f>
        <v>41854.658379629633</v>
      </c>
      <c r="K1769">
        <v>1404488884</v>
      </c>
      <c r="L1769" s="11">
        <f>((Table1[[#This Row],[launched_at]]/60)/60/24)+DATE(1970,1,1)</f>
        <v>41824.658379629633</v>
      </c>
      <c r="M1769">
        <f>MONTH(Table1[[#This Row],[Date Created Conversion]])</f>
        <v>7</v>
      </c>
      <c r="N1769">
        <f>YEAR(Table1[[#This Row],[Date Created Conversion]])</f>
        <v>2014</v>
      </c>
      <c r="O1769" t="b">
        <v>1</v>
      </c>
      <c r="P1769">
        <v>39</v>
      </c>
      <c r="Q1769" t="b">
        <v>0</v>
      </c>
      <c r="R1769" t="s">
        <v>8285</v>
      </c>
      <c r="S1769" s="6">
        <f>Table1[[#This Row],[pledged]]/Table1[[#This Row],[goal]]</f>
        <v>0.4572</v>
      </c>
      <c r="T1769" s="8">
        <f>IF(Table1[[#This Row],[pledged]]=0,"no backers",Table1[[#This Row],[pledged]]/Table1[[#This Row],[backers_count]])</f>
        <v>58.615384615384613</v>
      </c>
      <c r="U1769" t="str">
        <f>LEFT(Table1[[#This Row],[Category and Sub-Category]],FIND("/",Table1[[#This Row],[Category and Sub-Category]])-1)</f>
        <v>photography</v>
      </c>
      <c r="V1769" t="str">
        <f>RIGHT(Table1[[#This Row],[Category and Sub-Category]],LEN(Table1[[#This Row],[Category and Sub-Category]])-FIND("/",Table1[[#This Row],[Category and Sub-Category]]))</f>
        <v>photobooks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 s="12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>((Table1[[#This Row],[deadline]]/60)/60/24)+DATE(1970,1,1)</f>
        <v>41909.560694444444</v>
      </c>
      <c r="K1770">
        <v>1406640444</v>
      </c>
      <c r="L1770" s="11">
        <f>((Table1[[#This Row],[launched_at]]/60)/60/24)+DATE(1970,1,1)</f>
        <v>41849.560694444444</v>
      </c>
      <c r="M1770">
        <f>MONTH(Table1[[#This Row],[Date Created Conversion]])</f>
        <v>7</v>
      </c>
      <c r="N1770">
        <f>YEAR(Table1[[#This Row],[Date Created Conversion]])</f>
        <v>2014</v>
      </c>
      <c r="O1770" t="b">
        <v>1</v>
      </c>
      <c r="P1770">
        <v>15</v>
      </c>
      <c r="Q1770" t="b">
        <v>0</v>
      </c>
      <c r="R1770" t="s">
        <v>8285</v>
      </c>
      <c r="S1770" s="6">
        <f>Table1[[#This Row],[pledged]]/Table1[[#This Row],[goal]]</f>
        <v>3.7400000000000003E-2</v>
      </c>
      <c r="T1770" s="8">
        <f>IF(Table1[[#This Row],[pledged]]=0,"no backers",Table1[[#This Row],[pledged]]/Table1[[#This Row],[backers_count]])</f>
        <v>12.466666666666667</v>
      </c>
      <c r="U1770" t="str">
        <f>LEFT(Table1[[#This Row],[Category and Sub-Category]],FIND("/",Table1[[#This Row],[Category and Sub-Category]])-1)</f>
        <v>photography</v>
      </c>
      <c r="V1770" t="str">
        <f>RIGHT(Table1[[#This Row],[Category and Sub-Category]],LEN(Table1[[#This Row],[Category and Sub-Category]])-FIND("/",Table1[[#This Row],[Category and Sub-Category]]))</f>
        <v>photobooks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 s="12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>((Table1[[#This Row],[deadline]]/60)/60/24)+DATE(1970,1,1)</f>
        <v>42017.818969907406</v>
      </c>
      <c r="K1771">
        <v>1418585959</v>
      </c>
      <c r="L1771" s="11">
        <f>((Table1[[#This Row],[launched_at]]/60)/60/24)+DATE(1970,1,1)</f>
        <v>41987.818969907406</v>
      </c>
      <c r="M1771">
        <f>MONTH(Table1[[#This Row],[Date Created Conversion]])</f>
        <v>12</v>
      </c>
      <c r="N1771">
        <f>YEAR(Table1[[#This Row],[Date Created Conversion]])</f>
        <v>2014</v>
      </c>
      <c r="O1771" t="b">
        <v>1</v>
      </c>
      <c r="P1771">
        <v>22</v>
      </c>
      <c r="Q1771" t="b">
        <v>0</v>
      </c>
      <c r="R1771" t="s">
        <v>8285</v>
      </c>
      <c r="S1771" s="6">
        <f>Table1[[#This Row],[pledged]]/Table1[[#This Row],[goal]]</f>
        <v>2.7025E-2</v>
      </c>
      <c r="T1771" s="8">
        <f>IF(Table1[[#This Row],[pledged]]=0,"no backers",Table1[[#This Row],[pledged]]/Table1[[#This Row],[backers_count]])</f>
        <v>49.136363636363633</v>
      </c>
      <c r="U1771" t="str">
        <f>LEFT(Table1[[#This Row],[Category and Sub-Category]],FIND("/",Table1[[#This Row],[Category and Sub-Category]])-1)</f>
        <v>photography</v>
      </c>
      <c r="V1771" t="str">
        <f>RIGHT(Table1[[#This Row],[Category and Sub-Category]],LEN(Table1[[#This Row],[Category and Sub-Category]])-FIND("/",Table1[[#This Row],[Category and Sub-Category]]))</f>
        <v>photobooks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 s="1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>((Table1[[#This Row],[deadline]]/60)/60/24)+DATE(1970,1,1)</f>
        <v>41926.780023148152</v>
      </c>
      <c r="K1772">
        <v>1410288194</v>
      </c>
      <c r="L1772" s="11">
        <f>((Table1[[#This Row],[launched_at]]/60)/60/24)+DATE(1970,1,1)</f>
        <v>41891.780023148152</v>
      </c>
      <c r="M1772">
        <f>MONTH(Table1[[#This Row],[Date Created Conversion]])</f>
        <v>9</v>
      </c>
      <c r="N1772">
        <f>YEAR(Table1[[#This Row],[Date Created Conversion]])</f>
        <v>2014</v>
      </c>
      <c r="O1772" t="b">
        <v>1</v>
      </c>
      <c r="P1772">
        <v>92</v>
      </c>
      <c r="Q1772" t="b">
        <v>0</v>
      </c>
      <c r="R1772" t="s">
        <v>8285</v>
      </c>
      <c r="S1772" s="6">
        <f>Table1[[#This Row],[pledged]]/Table1[[#This Row],[goal]]</f>
        <v>0.56514285714285717</v>
      </c>
      <c r="T1772" s="8">
        <f>IF(Table1[[#This Row],[pledged]]=0,"no backers",Table1[[#This Row],[pledged]]/Table1[[#This Row],[backers_count]])</f>
        <v>150.5</v>
      </c>
      <c r="U1772" t="str">
        <f>LEFT(Table1[[#This Row],[Category and Sub-Category]],FIND("/",Table1[[#This Row],[Category and Sub-Category]])-1)</f>
        <v>photography</v>
      </c>
      <c r="V1772" t="str">
        <f>RIGHT(Table1[[#This Row],[Category and Sub-Category]],LEN(Table1[[#This Row],[Category and Sub-Category]])-FIND("/",Table1[[#This Row],[Category and Sub-Category]]))</f>
        <v>photobooks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 s="12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>((Table1[[#This Row],[deadline]]/60)/60/24)+DATE(1970,1,1)</f>
        <v>41935.979629629634</v>
      </c>
      <c r="K1773">
        <v>1411515040</v>
      </c>
      <c r="L1773" s="11">
        <f>((Table1[[#This Row],[launched_at]]/60)/60/24)+DATE(1970,1,1)</f>
        <v>41905.979629629634</v>
      </c>
      <c r="M1773">
        <f>MONTH(Table1[[#This Row],[Date Created Conversion]])</f>
        <v>9</v>
      </c>
      <c r="N1773">
        <f>YEAR(Table1[[#This Row],[Date Created Conversion]])</f>
        <v>2014</v>
      </c>
      <c r="O1773" t="b">
        <v>1</v>
      </c>
      <c r="P1773">
        <v>25</v>
      </c>
      <c r="Q1773" t="b">
        <v>0</v>
      </c>
      <c r="R1773" t="s">
        <v>8285</v>
      </c>
      <c r="S1773" s="6">
        <f>Table1[[#This Row],[pledged]]/Table1[[#This Row],[goal]]</f>
        <v>0.21309523809523809</v>
      </c>
      <c r="T1773" s="8">
        <f>IF(Table1[[#This Row],[pledged]]=0,"no backers",Table1[[#This Row],[pledged]]/Table1[[#This Row],[backers_count]])</f>
        <v>35.799999999999997</v>
      </c>
      <c r="U1773" t="str">
        <f>LEFT(Table1[[#This Row],[Category and Sub-Category]],FIND("/",Table1[[#This Row],[Category and Sub-Category]])-1)</f>
        <v>photography</v>
      </c>
      <c r="V1773" t="str">
        <f>RIGHT(Table1[[#This Row],[Category and Sub-Category]],LEN(Table1[[#This Row],[Category and Sub-Category]])-FIND("/",Table1[[#This Row],[Category and Sub-Category]]))</f>
        <v>photobooks</v>
      </c>
    </row>
    <row r="1774" spans="1:22" ht="43.2" x14ac:dyDescent="0.3">
      <c r="A1774">
        <v>1772</v>
      </c>
      <c r="B1774" s="3" t="s">
        <v>1773</v>
      </c>
      <c r="C1774" s="3" t="s">
        <v>5882</v>
      </c>
      <c r="D1774" s="12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>((Table1[[#This Row],[deadline]]/60)/60/24)+DATE(1970,1,1)</f>
        <v>41826.718009259261</v>
      </c>
      <c r="K1774">
        <v>1399482836</v>
      </c>
      <c r="L1774" s="11">
        <f>((Table1[[#This Row],[launched_at]]/60)/60/24)+DATE(1970,1,1)</f>
        <v>41766.718009259261</v>
      </c>
      <c r="M1774">
        <f>MONTH(Table1[[#This Row],[Date Created Conversion]])</f>
        <v>5</v>
      </c>
      <c r="N1774">
        <f>YEAR(Table1[[#This Row],[Date Created Conversion]])</f>
        <v>2014</v>
      </c>
      <c r="O1774" t="b">
        <v>1</v>
      </c>
      <c r="P1774">
        <v>19</v>
      </c>
      <c r="Q1774" t="b">
        <v>0</v>
      </c>
      <c r="R1774" t="s">
        <v>8285</v>
      </c>
      <c r="S1774" s="6">
        <f>Table1[[#This Row],[pledged]]/Table1[[#This Row],[goal]]</f>
        <v>0.156</v>
      </c>
      <c r="T1774" s="8">
        <f>IF(Table1[[#This Row],[pledged]]=0,"no backers",Table1[[#This Row],[pledged]]/Table1[[#This Row],[backers_count]])</f>
        <v>45.157894736842103</v>
      </c>
      <c r="U1774" t="str">
        <f>LEFT(Table1[[#This Row],[Category and Sub-Category]],FIND("/",Table1[[#This Row],[Category and Sub-Category]])-1)</f>
        <v>photography</v>
      </c>
      <c r="V1774" t="str">
        <f>RIGHT(Table1[[#This Row],[Category and Sub-Category]],LEN(Table1[[#This Row],[Category and Sub-Category]])-FIND("/",Table1[[#This Row],[Category and Sub-Category]]))</f>
        <v>photobooks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 s="12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>((Table1[[#This Row],[deadline]]/60)/60/24)+DATE(1970,1,1)</f>
        <v>42023.760393518518</v>
      </c>
      <c r="K1775">
        <v>1417803298</v>
      </c>
      <c r="L1775" s="11">
        <f>((Table1[[#This Row],[launched_at]]/60)/60/24)+DATE(1970,1,1)</f>
        <v>41978.760393518518</v>
      </c>
      <c r="M1775">
        <f>MONTH(Table1[[#This Row],[Date Created Conversion]])</f>
        <v>12</v>
      </c>
      <c r="N1775">
        <f>YEAR(Table1[[#This Row],[Date Created Conversion]])</f>
        <v>2014</v>
      </c>
      <c r="O1775" t="b">
        <v>1</v>
      </c>
      <c r="P1775">
        <v>19</v>
      </c>
      <c r="Q1775" t="b">
        <v>0</v>
      </c>
      <c r="R1775" t="s">
        <v>8285</v>
      </c>
      <c r="S1775" s="6">
        <f>Table1[[#This Row],[pledged]]/Table1[[#This Row],[goal]]</f>
        <v>6.2566666666666673E-2</v>
      </c>
      <c r="T1775" s="8">
        <f>IF(Table1[[#This Row],[pledged]]=0,"no backers",Table1[[#This Row],[pledged]]/Table1[[#This Row],[backers_count]])</f>
        <v>98.78947368421052</v>
      </c>
      <c r="U1775" t="str">
        <f>LEFT(Table1[[#This Row],[Category and Sub-Category]],FIND("/",Table1[[#This Row],[Category and Sub-Category]])-1)</f>
        <v>photography</v>
      </c>
      <c r="V1775" t="str">
        <f>RIGHT(Table1[[#This Row],[Category and Sub-Category]],LEN(Table1[[#This Row],[Category and Sub-Category]])-FIND("/",Table1[[#This Row],[Category and Sub-Category]]))</f>
        <v>photobooks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 s="12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>((Table1[[#This Row],[deadline]]/60)/60/24)+DATE(1970,1,1)</f>
        <v>41972.624305555553</v>
      </c>
      <c r="K1776">
        <v>1413609292</v>
      </c>
      <c r="L1776" s="11">
        <f>((Table1[[#This Row],[launched_at]]/60)/60/24)+DATE(1970,1,1)</f>
        <v>41930.218657407408</v>
      </c>
      <c r="M1776">
        <f>MONTH(Table1[[#This Row],[Date Created Conversion]])</f>
        <v>10</v>
      </c>
      <c r="N1776">
        <f>YEAR(Table1[[#This Row],[Date Created Conversion]])</f>
        <v>2014</v>
      </c>
      <c r="O1776" t="b">
        <v>1</v>
      </c>
      <c r="P1776">
        <v>13</v>
      </c>
      <c r="Q1776" t="b">
        <v>0</v>
      </c>
      <c r="R1776" t="s">
        <v>8285</v>
      </c>
      <c r="S1776" s="6">
        <f>Table1[[#This Row],[pledged]]/Table1[[#This Row],[goal]]</f>
        <v>0.4592</v>
      </c>
      <c r="T1776" s="8">
        <f>IF(Table1[[#This Row],[pledged]]=0,"no backers",Table1[[#This Row],[pledged]]/Table1[[#This Row],[backers_count]])</f>
        <v>88.307692307692307</v>
      </c>
      <c r="U1776" t="str">
        <f>LEFT(Table1[[#This Row],[Category and Sub-Category]],FIND("/",Table1[[#This Row],[Category and Sub-Category]])-1)</f>
        <v>photography</v>
      </c>
      <c r="V1776" t="str">
        <f>RIGHT(Table1[[#This Row],[Category and Sub-Category]],LEN(Table1[[#This Row],[Category and Sub-Category]])-FIND("/",Table1[[#This Row],[Category and Sub-Category]]))</f>
        <v>photobooks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 s="12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>((Table1[[#This Row],[deadline]]/60)/60/24)+DATE(1970,1,1)</f>
        <v>41936.976388888892</v>
      </c>
      <c r="K1777">
        <v>1410305160</v>
      </c>
      <c r="L1777" s="11">
        <f>((Table1[[#This Row],[launched_at]]/60)/60/24)+DATE(1970,1,1)</f>
        <v>41891.976388888892</v>
      </c>
      <c r="M1777">
        <f>MONTH(Table1[[#This Row],[Date Created Conversion]])</f>
        <v>9</v>
      </c>
      <c r="N1777">
        <f>YEAR(Table1[[#This Row],[Date Created Conversion]])</f>
        <v>2014</v>
      </c>
      <c r="O1777" t="b">
        <v>1</v>
      </c>
      <c r="P1777">
        <v>124</v>
      </c>
      <c r="Q1777" t="b">
        <v>0</v>
      </c>
      <c r="R1777" t="s">
        <v>8285</v>
      </c>
      <c r="S1777" s="6">
        <f>Table1[[#This Row],[pledged]]/Table1[[#This Row],[goal]]</f>
        <v>0.65101538461538466</v>
      </c>
      <c r="T1777" s="8">
        <f>IF(Table1[[#This Row],[pledged]]=0,"no backers",Table1[[#This Row],[pledged]]/Table1[[#This Row],[backers_count]])</f>
        <v>170.62903225806451</v>
      </c>
      <c r="U1777" t="str">
        <f>LEFT(Table1[[#This Row],[Category and Sub-Category]],FIND("/",Table1[[#This Row],[Category and Sub-Category]])-1)</f>
        <v>photography</v>
      </c>
      <c r="V1777" t="str">
        <f>RIGHT(Table1[[#This Row],[Category and Sub-Category]],LEN(Table1[[#This Row],[Category and Sub-Category]])-FIND("/",Table1[[#This Row],[Category and Sub-Category]]))</f>
        <v>photobooks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 s="12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>((Table1[[#This Row],[deadline]]/60)/60/24)+DATE(1970,1,1)</f>
        <v>41941.95684027778</v>
      </c>
      <c r="K1778">
        <v>1411513071</v>
      </c>
      <c r="L1778" s="11">
        <f>((Table1[[#This Row],[launched_at]]/60)/60/24)+DATE(1970,1,1)</f>
        <v>41905.95684027778</v>
      </c>
      <c r="M1778">
        <f>MONTH(Table1[[#This Row],[Date Created Conversion]])</f>
        <v>9</v>
      </c>
      <c r="N1778">
        <f>YEAR(Table1[[#This Row],[Date Created Conversion]])</f>
        <v>2014</v>
      </c>
      <c r="O1778" t="b">
        <v>1</v>
      </c>
      <c r="P1778">
        <v>4</v>
      </c>
      <c r="Q1778" t="b">
        <v>0</v>
      </c>
      <c r="R1778" t="s">
        <v>8285</v>
      </c>
      <c r="S1778" s="6">
        <f>Table1[[#This Row],[pledged]]/Table1[[#This Row],[goal]]</f>
        <v>6.7000000000000004E-2</v>
      </c>
      <c r="T1778" s="8">
        <f>IF(Table1[[#This Row],[pledged]]=0,"no backers",Table1[[#This Row],[pledged]]/Table1[[#This Row],[backers_count]])</f>
        <v>83.75</v>
      </c>
      <c r="U1778" t="str">
        <f>LEFT(Table1[[#This Row],[Category and Sub-Category]],FIND("/",Table1[[#This Row],[Category and Sub-Category]])-1)</f>
        <v>photography</v>
      </c>
      <c r="V1778" t="str">
        <f>RIGHT(Table1[[#This Row],[Category and Sub-Category]],LEN(Table1[[#This Row],[Category and Sub-Category]])-FIND("/",Table1[[#This Row],[Category and Sub-Category]]))</f>
        <v>photobooks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 s="12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>((Table1[[#This Row],[deadline]]/60)/60/24)+DATE(1970,1,1)</f>
        <v>42055.357094907406</v>
      </c>
      <c r="K1779">
        <v>1421829253</v>
      </c>
      <c r="L1779" s="11">
        <f>((Table1[[#This Row],[launched_at]]/60)/60/24)+DATE(1970,1,1)</f>
        <v>42025.357094907406</v>
      </c>
      <c r="M1779">
        <f>MONTH(Table1[[#This Row],[Date Created Conversion]])</f>
        <v>1</v>
      </c>
      <c r="N1779">
        <f>YEAR(Table1[[#This Row],[Date Created Conversion]])</f>
        <v>2015</v>
      </c>
      <c r="O1779" t="b">
        <v>1</v>
      </c>
      <c r="P1779">
        <v>10</v>
      </c>
      <c r="Q1779" t="b">
        <v>0</v>
      </c>
      <c r="R1779" t="s">
        <v>8285</v>
      </c>
      <c r="S1779" s="6">
        <f>Table1[[#This Row],[pledged]]/Table1[[#This Row],[goal]]</f>
        <v>0.135625</v>
      </c>
      <c r="T1779" s="8">
        <f>IF(Table1[[#This Row],[pledged]]=0,"no backers",Table1[[#This Row],[pledged]]/Table1[[#This Row],[backers_count]])</f>
        <v>65.099999999999994</v>
      </c>
      <c r="U1779" t="str">
        <f>LEFT(Table1[[#This Row],[Category and Sub-Category]],FIND("/",Table1[[#This Row],[Category and Sub-Category]])-1)</f>
        <v>photography</v>
      </c>
      <c r="V1779" t="str">
        <f>RIGHT(Table1[[#This Row],[Category and Sub-Category]],LEN(Table1[[#This Row],[Category and Sub-Category]])-FIND("/",Table1[[#This Row],[Category and Sub-Category]]))</f>
        <v>photobooks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 s="12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>((Table1[[#This Row],[deadline]]/60)/60/24)+DATE(1970,1,1)</f>
        <v>42090.821701388893</v>
      </c>
      <c r="K1780">
        <v>1423600995</v>
      </c>
      <c r="L1780" s="11">
        <f>((Table1[[#This Row],[launched_at]]/60)/60/24)+DATE(1970,1,1)</f>
        <v>42045.86336805555</v>
      </c>
      <c r="M1780">
        <f>MONTH(Table1[[#This Row],[Date Created Conversion]])</f>
        <v>2</v>
      </c>
      <c r="N1780">
        <f>YEAR(Table1[[#This Row],[Date Created Conversion]])</f>
        <v>2015</v>
      </c>
      <c r="O1780" t="b">
        <v>1</v>
      </c>
      <c r="P1780">
        <v>15</v>
      </c>
      <c r="Q1780" t="b">
        <v>0</v>
      </c>
      <c r="R1780" t="s">
        <v>8285</v>
      </c>
      <c r="S1780" s="6">
        <f>Table1[[#This Row],[pledged]]/Table1[[#This Row],[goal]]</f>
        <v>1.9900000000000001E-2</v>
      </c>
      <c r="T1780" s="8">
        <f>IF(Table1[[#This Row],[pledged]]=0,"no backers",Table1[[#This Row],[pledged]]/Table1[[#This Row],[backers_count]])</f>
        <v>66.333333333333329</v>
      </c>
      <c r="U1780" t="str">
        <f>LEFT(Table1[[#This Row],[Category and Sub-Category]],FIND("/",Table1[[#This Row],[Category and Sub-Category]])-1)</f>
        <v>photography</v>
      </c>
      <c r="V1780" t="str">
        <f>RIGHT(Table1[[#This Row],[Category and Sub-Category]],LEN(Table1[[#This Row],[Category and Sub-Category]])-FIND("/",Table1[[#This Row],[Category and Sub-Category]]))</f>
        <v>photobooks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 s="12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>((Table1[[#This Row],[deadline]]/60)/60/24)+DATE(1970,1,1)</f>
        <v>42615.691898148143</v>
      </c>
      <c r="K1781">
        <v>1470242180</v>
      </c>
      <c r="L1781" s="11">
        <f>((Table1[[#This Row],[launched_at]]/60)/60/24)+DATE(1970,1,1)</f>
        <v>42585.691898148143</v>
      </c>
      <c r="M1781">
        <f>MONTH(Table1[[#This Row],[Date Created Conversion]])</f>
        <v>8</v>
      </c>
      <c r="N1781">
        <f>YEAR(Table1[[#This Row],[Date Created Conversion]])</f>
        <v>2016</v>
      </c>
      <c r="O1781" t="b">
        <v>1</v>
      </c>
      <c r="P1781">
        <v>38</v>
      </c>
      <c r="Q1781" t="b">
        <v>0</v>
      </c>
      <c r="R1781" t="s">
        <v>8285</v>
      </c>
      <c r="S1781" s="6">
        <f>Table1[[#This Row],[pledged]]/Table1[[#This Row],[goal]]</f>
        <v>0.36236363636363639</v>
      </c>
      <c r="T1781" s="8">
        <f>IF(Table1[[#This Row],[pledged]]=0,"no backers",Table1[[#This Row],[pledged]]/Table1[[#This Row],[backers_count]])</f>
        <v>104.89473684210526</v>
      </c>
      <c r="U1781" t="str">
        <f>LEFT(Table1[[#This Row],[Category and Sub-Category]],FIND("/",Table1[[#This Row],[Category and Sub-Category]])-1)</f>
        <v>photography</v>
      </c>
      <c r="V1781" t="str">
        <f>RIGHT(Table1[[#This Row],[Category and Sub-Category]],LEN(Table1[[#This Row],[Category and Sub-Category]])-FIND("/",Table1[[#This Row],[Category and Sub-Category]]))</f>
        <v>photobooks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 s="1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>((Table1[[#This Row],[deadline]]/60)/60/24)+DATE(1970,1,1)</f>
        <v>42553.600810185191</v>
      </c>
      <c r="K1782">
        <v>1462285510</v>
      </c>
      <c r="L1782" s="11">
        <f>((Table1[[#This Row],[launched_at]]/60)/60/24)+DATE(1970,1,1)</f>
        <v>42493.600810185191</v>
      </c>
      <c r="M1782">
        <f>MONTH(Table1[[#This Row],[Date Created Conversion]])</f>
        <v>5</v>
      </c>
      <c r="N1782">
        <f>YEAR(Table1[[#This Row],[Date Created Conversion]])</f>
        <v>2016</v>
      </c>
      <c r="O1782" t="b">
        <v>1</v>
      </c>
      <c r="P1782">
        <v>152</v>
      </c>
      <c r="Q1782" t="b">
        <v>0</v>
      </c>
      <c r="R1782" t="s">
        <v>8285</v>
      </c>
      <c r="S1782" s="6">
        <f>Table1[[#This Row],[pledged]]/Table1[[#This Row],[goal]]</f>
        <v>0.39743333333333336</v>
      </c>
      <c r="T1782" s="8">
        <f>IF(Table1[[#This Row],[pledged]]=0,"no backers",Table1[[#This Row],[pledged]]/Table1[[#This Row],[backers_count]])</f>
        <v>78.440789473684205</v>
      </c>
      <c r="U1782" t="str">
        <f>LEFT(Table1[[#This Row],[Category and Sub-Category]],FIND("/",Table1[[#This Row],[Category and Sub-Category]])-1)</f>
        <v>photography</v>
      </c>
      <c r="V1782" t="str">
        <f>RIGHT(Table1[[#This Row],[Category and Sub-Category]],LEN(Table1[[#This Row],[Category and Sub-Category]])-FIND("/",Table1[[#This Row],[Category and Sub-Category]]))</f>
        <v>photobooks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 s="12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>((Table1[[#This Row],[deadline]]/60)/60/24)+DATE(1970,1,1)</f>
        <v>42628.617418981477</v>
      </c>
      <c r="K1783">
        <v>1471272545</v>
      </c>
      <c r="L1783" s="11">
        <f>((Table1[[#This Row],[launched_at]]/60)/60/24)+DATE(1970,1,1)</f>
        <v>42597.617418981477</v>
      </c>
      <c r="M1783">
        <f>MONTH(Table1[[#This Row],[Date Created Conversion]])</f>
        <v>8</v>
      </c>
      <c r="N1783">
        <f>YEAR(Table1[[#This Row],[Date Created Conversion]])</f>
        <v>2016</v>
      </c>
      <c r="O1783" t="b">
        <v>1</v>
      </c>
      <c r="P1783">
        <v>24</v>
      </c>
      <c r="Q1783" t="b">
        <v>0</v>
      </c>
      <c r="R1783" t="s">
        <v>8285</v>
      </c>
      <c r="S1783" s="6">
        <f>Table1[[#This Row],[pledged]]/Table1[[#This Row],[goal]]</f>
        <v>0.25763636363636366</v>
      </c>
      <c r="T1783" s="8">
        <f>IF(Table1[[#This Row],[pledged]]=0,"no backers",Table1[[#This Row],[pledged]]/Table1[[#This Row],[backers_count]])</f>
        <v>59.041666666666664</v>
      </c>
      <c r="U1783" t="str">
        <f>LEFT(Table1[[#This Row],[Category and Sub-Category]],FIND("/",Table1[[#This Row],[Category and Sub-Category]])-1)</f>
        <v>photography</v>
      </c>
      <c r="V1783" t="str">
        <f>RIGHT(Table1[[#This Row],[Category and Sub-Category]],LEN(Table1[[#This Row],[Category and Sub-Category]])-FIND("/",Table1[[#This Row],[Category and Sub-Category]]))</f>
        <v>photobooks</v>
      </c>
    </row>
    <row r="1784" spans="1:22" ht="57.6" x14ac:dyDescent="0.3">
      <c r="A1784">
        <v>1782</v>
      </c>
      <c r="B1784" s="3" t="s">
        <v>1783</v>
      </c>
      <c r="C1784" s="3" t="s">
        <v>5892</v>
      </c>
      <c r="D1784" s="12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>((Table1[[#This Row],[deadline]]/60)/60/24)+DATE(1970,1,1)</f>
        <v>42421.575104166666</v>
      </c>
      <c r="K1784">
        <v>1453211289</v>
      </c>
      <c r="L1784" s="11">
        <f>((Table1[[#This Row],[launched_at]]/60)/60/24)+DATE(1970,1,1)</f>
        <v>42388.575104166666</v>
      </c>
      <c r="M1784">
        <f>MONTH(Table1[[#This Row],[Date Created Conversion]])</f>
        <v>1</v>
      </c>
      <c r="N1784">
        <f>YEAR(Table1[[#This Row],[Date Created Conversion]])</f>
        <v>2016</v>
      </c>
      <c r="O1784" t="b">
        <v>1</v>
      </c>
      <c r="P1784">
        <v>76</v>
      </c>
      <c r="Q1784" t="b">
        <v>0</v>
      </c>
      <c r="R1784" t="s">
        <v>8285</v>
      </c>
      <c r="S1784" s="6">
        <f>Table1[[#This Row],[pledged]]/Table1[[#This Row],[goal]]</f>
        <v>0.15491428571428573</v>
      </c>
      <c r="T1784" s="8">
        <f>IF(Table1[[#This Row],[pledged]]=0,"no backers",Table1[[#This Row],[pledged]]/Table1[[#This Row],[backers_count]])</f>
        <v>71.34210526315789</v>
      </c>
      <c r="U1784" t="str">
        <f>LEFT(Table1[[#This Row],[Category and Sub-Category]],FIND("/",Table1[[#This Row],[Category and Sub-Category]])-1)</f>
        <v>photography</v>
      </c>
      <c r="V1784" t="str">
        <f>RIGHT(Table1[[#This Row],[Category and Sub-Category]],LEN(Table1[[#This Row],[Category and Sub-Category]])-FIND("/",Table1[[#This Row],[Category and Sub-Category]]))</f>
        <v>photobooks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 s="12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>((Table1[[#This Row],[deadline]]/60)/60/24)+DATE(1970,1,1)</f>
        <v>42145.949976851851</v>
      </c>
      <c r="K1785">
        <v>1429656478</v>
      </c>
      <c r="L1785" s="11">
        <f>((Table1[[#This Row],[launched_at]]/60)/60/24)+DATE(1970,1,1)</f>
        <v>42115.949976851851</v>
      </c>
      <c r="M1785">
        <f>MONTH(Table1[[#This Row],[Date Created Conversion]])</f>
        <v>4</v>
      </c>
      <c r="N1785">
        <f>YEAR(Table1[[#This Row],[Date Created Conversion]])</f>
        <v>2015</v>
      </c>
      <c r="O1785" t="b">
        <v>1</v>
      </c>
      <c r="P1785">
        <v>185</v>
      </c>
      <c r="Q1785" t="b">
        <v>0</v>
      </c>
      <c r="R1785" t="s">
        <v>8285</v>
      </c>
      <c r="S1785" s="6">
        <f>Table1[[#This Row],[pledged]]/Table1[[#This Row],[goal]]</f>
        <v>0.236925</v>
      </c>
      <c r="T1785" s="8">
        <f>IF(Table1[[#This Row],[pledged]]=0,"no backers",Table1[[#This Row],[pledged]]/Table1[[#This Row],[backers_count]])</f>
        <v>51.227027027027027</v>
      </c>
      <c r="U1785" t="str">
        <f>LEFT(Table1[[#This Row],[Category and Sub-Category]],FIND("/",Table1[[#This Row],[Category and Sub-Category]])-1)</f>
        <v>photography</v>
      </c>
      <c r="V1785" t="str">
        <f>RIGHT(Table1[[#This Row],[Category and Sub-Category]],LEN(Table1[[#This Row],[Category and Sub-Category]])-FIND("/",Table1[[#This Row],[Category and Sub-Category]]))</f>
        <v>photobooks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 s="12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>((Table1[[#This Row],[deadline]]/60)/60/24)+DATE(1970,1,1)</f>
        <v>42035.142361111109</v>
      </c>
      <c r="K1786">
        <v>1419954240</v>
      </c>
      <c r="L1786" s="11">
        <f>((Table1[[#This Row],[launched_at]]/60)/60/24)+DATE(1970,1,1)</f>
        <v>42003.655555555553</v>
      </c>
      <c r="M1786">
        <f>MONTH(Table1[[#This Row],[Date Created Conversion]])</f>
        <v>12</v>
      </c>
      <c r="N1786">
        <f>YEAR(Table1[[#This Row],[Date Created Conversion]])</f>
        <v>2014</v>
      </c>
      <c r="O1786" t="b">
        <v>1</v>
      </c>
      <c r="P1786">
        <v>33</v>
      </c>
      <c r="Q1786" t="b">
        <v>0</v>
      </c>
      <c r="R1786" t="s">
        <v>8285</v>
      </c>
      <c r="S1786" s="6">
        <f>Table1[[#This Row],[pledged]]/Table1[[#This Row],[goal]]</f>
        <v>0.39760000000000001</v>
      </c>
      <c r="T1786" s="8">
        <f>IF(Table1[[#This Row],[pledged]]=0,"no backers",Table1[[#This Row],[pledged]]/Table1[[#This Row],[backers_count]])</f>
        <v>60.242424242424242</v>
      </c>
      <c r="U1786" t="str">
        <f>LEFT(Table1[[#This Row],[Category and Sub-Category]],FIND("/",Table1[[#This Row],[Category and Sub-Category]])-1)</f>
        <v>photography</v>
      </c>
      <c r="V1786" t="str">
        <f>RIGHT(Table1[[#This Row],[Category and Sub-Category]],LEN(Table1[[#This Row],[Category and Sub-Category]])-FIND("/",Table1[[#This Row],[Category and Sub-Category]]))</f>
        <v>photobooks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 s="12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>((Table1[[#This Row],[deadline]]/60)/60/24)+DATE(1970,1,1)</f>
        <v>41928</v>
      </c>
      <c r="K1787">
        <v>1410750855</v>
      </c>
      <c r="L1787" s="11">
        <f>((Table1[[#This Row],[launched_at]]/60)/60/24)+DATE(1970,1,1)</f>
        <v>41897.134895833333</v>
      </c>
      <c r="M1787">
        <f>MONTH(Table1[[#This Row],[Date Created Conversion]])</f>
        <v>9</v>
      </c>
      <c r="N1787">
        <f>YEAR(Table1[[#This Row],[Date Created Conversion]])</f>
        <v>2014</v>
      </c>
      <c r="O1787" t="b">
        <v>1</v>
      </c>
      <c r="P1787">
        <v>108</v>
      </c>
      <c r="Q1787" t="b">
        <v>0</v>
      </c>
      <c r="R1787" t="s">
        <v>8285</v>
      </c>
      <c r="S1787" s="6">
        <f>Table1[[#This Row],[pledged]]/Table1[[#This Row],[goal]]</f>
        <v>0.20220833333333332</v>
      </c>
      <c r="T1787" s="8">
        <f>IF(Table1[[#This Row],[pledged]]=0,"no backers",Table1[[#This Row],[pledged]]/Table1[[#This Row],[backers_count]])</f>
        <v>44.935185185185183</v>
      </c>
      <c r="U1787" t="str">
        <f>LEFT(Table1[[#This Row],[Category and Sub-Category]],FIND("/",Table1[[#This Row],[Category and Sub-Category]])-1)</f>
        <v>photography</v>
      </c>
      <c r="V1787" t="str">
        <f>RIGHT(Table1[[#This Row],[Category and Sub-Category]],LEN(Table1[[#This Row],[Category and Sub-Category]])-FIND("/",Table1[[#This Row],[Category and Sub-Category]]))</f>
        <v>photobooks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 s="12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>((Table1[[#This Row],[deadline]]/60)/60/24)+DATE(1970,1,1)</f>
        <v>41988.550659722227</v>
      </c>
      <c r="K1788">
        <v>1416057177</v>
      </c>
      <c r="L1788" s="11">
        <f>((Table1[[#This Row],[launched_at]]/60)/60/24)+DATE(1970,1,1)</f>
        <v>41958.550659722227</v>
      </c>
      <c r="M1788">
        <f>MONTH(Table1[[#This Row],[Date Created Conversion]])</f>
        <v>11</v>
      </c>
      <c r="N1788">
        <f>YEAR(Table1[[#This Row],[Date Created Conversion]])</f>
        <v>2014</v>
      </c>
      <c r="O1788" t="b">
        <v>1</v>
      </c>
      <c r="P1788">
        <v>29</v>
      </c>
      <c r="Q1788" t="b">
        <v>0</v>
      </c>
      <c r="R1788" t="s">
        <v>8285</v>
      </c>
      <c r="S1788" s="6">
        <f>Table1[[#This Row],[pledged]]/Table1[[#This Row],[goal]]</f>
        <v>0.47631578947368419</v>
      </c>
      <c r="T1788" s="8">
        <f>IF(Table1[[#This Row],[pledged]]=0,"no backers",Table1[[#This Row],[pledged]]/Table1[[#This Row],[backers_count]])</f>
        <v>31.206896551724139</v>
      </c>
      <c r="U1788" t="str">
        <f>LEFT(Table1[[#This Row],[Category and Sub-Category]],FIND("/",Table1[[#This Row],[Category and Sub-Category]])-1)</f>
        <v>photography</v>
      </c>
      <c r="V1788" t="str">
        <f>RIGHT(Table1[[#This Row],[Category and Sub-Category]],LEN(Table1[[#This Row],[Category and Sub-Category]])-FIND("/",Table1[[#This Row],[Category and Sub-Category]]))</f>
        <v>photobooks</v>
      </c>
    </row>
    <row r="1789" spans="1:22" ht="43.2" x14ac:dyDescent="0.3">
      <c r="A1789">
        <v>1787</v>
      </c>
      <c r="B1789" s="3" t="s">
        <v>1788</v>
      </c>
      <c r="C1789" s="3" t="s">
        <v>5897</v>
      </c>
      <c r="D1789" s="12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>((Table1[[#This Row],[deadline]]/60)/60/24)+DATE(1970,1,1)</f>
        <v>42098.613854166666</v>
      </c>
      <c r="K1789">
        <v>1425570237</v>
      </c>
      <c r="L1789" s="11">
        <f>((Table1[[#This Row],[launched_at]]/60)/60/24)+DATE(1970,1,1)</f>
        <v>42068.65552083333</v>
      </c>
      <c r="M1789">
        <f>MONTH(Table1[[#This Row],[Date Created Conversion]])</f>
        <v>3</v>
      </c>
      <c r="N1789">
        <f>YEAR(Table1[[#This Row],[Date Created Conversion]])</f>
        <v>2015</v>
      </c>
      <c r="O1789" t="b">
        <v>1</v>
      </c>
      <c r="P1789">
        <v>24</v>
      </c>
      <c r="Q1789" t="b">
        <v>0</v>
      </c>
      <c r="R1789" t="s">
        <v>8285</v>
      </c>
      <c r="S1789" s="6">
        <f>Table1[[#This Row],[pledged]]/Table1[[#This Row],[goal]]</f>
        <v>0.15329999999999999</v>
      </c>
      <c r="T1789" s="8">
        <f>IF(Table1[[#This Row],[pledged]]=0,"no backers",Table1[[#This Row],[pledged]]/Table1[[#This Row],[backers_count]])</f>
        <v>63.875</v>
      </c>
      <c r="U1789" t="str">
        <f>LEFT(Table1[[#This Row],[Category and Sub-Category]],FIND("/",Table1[[#This Row],[Category and Sub-Category]])-1)</f>
        <v>photography</v>
      </c>
      <c r="V1789" t="str">
        <f>RIGHT(Table1[[#This Row],[Category and Sub-Category]],LEN(Table1[[#This Row],[Category and Sub-Category]])-FIND("/",Table1[[#This Row],[Category and Sub-Category]]))</f>
        <v>photobooks</v>
      </c>
    </row>
    <row r="1790" spans="1:22" ht="43.2" x14ac:dyDescent="0.3">
      <c r="A1790">
        <v>1788</v>
      </c>
      <c r="B1790" s="3" t="s">
        <v>1789</v>
      </c>
      <c r="C1790" s="3" t="s">
        <v>5898</v>
      </c>
      <c r="D1790" s="12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>((Table1[[#This Row],[deadline]]/60)/60/24)+DATE(1970,1,1)</f>
        <v>41943.94840277778</v>
      </c>
      <c r="K1790">
        <v>1412203542</v>
      </c>
      <c r="L1790" s="11">
        <f>((Table1[[#This Row],[launched_at]]/60)/60/24)+DATE(1970,1,1)</f>
        <v>41913.94840277778</v>
      </c>
      <c r="M1790">
        <f>MONTH(Table1[[#This Row],[Date Created Conversion]])</f>
        <v>10</v>
      </c>
      <c r="N1790">
        <f>YEAR(Table1[[#This Row],[Date Created Conversion]])</f>
        <v>2014</v>
      </c>
      <c r="O1790" t="b">
        <v>1</v>
      </c>
      <c r="P1790">
        <v>4</v>
      </c>
      <c r="Q1790" t="b">
        <v>0</v>
      </c>
      <c r="R1790" t="s">
        <v>8285</v>
      </c>
      <c r="S1790" s="6">
        <f>Table1[[#This Row],[pledged]]/Table1[[#This Row],[goal]]</f>
        <v>1.3818181818181818E-2</v>
      </c>
      <c r="T1790" s="8">
        <f>IF(Table1[[#This Row],[pledged]]=0,"no backers",Table1[[#This Row],[pledged]]/Table1[[#This Row],[backers_count]])</f>
        <v>19</v>
      </c>
      <c r="U1790" t="str">
        <f>LEFT(Table1[[#This Row],[Category and Sub-Category]],FIND("/",Table1[[#This Row],[Category and Sub-Category]])-1)</f>
        <v>photography</v>
      </c>
      <c r="V1790" t="str">
        <f>RIGHT(Table1[[#This Row],[Category and Sub-Category]],LEN(Table1[[#This Row],[Category and Sub-Category]])-FIND("/",Table1[[#This Row],[Category and Sub-Category]]))</f>
        <v>photobooks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 s="12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>((Table1[[#This Row],[deadline]]/60)/60/24)+DATE(1970,1,1)</f>
        <v>42016.250034722223</v>
      </c>
      <c r="K1791">
        <v>1415858403</v>
      </c>
      <c r="L1791" s="11">
        <f>((Table1[[#This Row],[launched_at]]/60)/60/24)+DATE(1970,1,1)</f>
        <v>41956.250034722223</v>
      </c>
      <c r="M1791">
        <f>MONTH(Table1[[#This Row],[Date Created Conversion]])</f>
        <v>11</v>
      </c>
      <c r="N1791">
        <f>YEAR(Table1[[#This Row],[Date Created Conversion]])</f>
        <v>2014</v>
      </c>
      <c r="O1791" t="b">
        <v>1</v>
      </c>
      <c r="P1791">
        <v>4</v>
      </c>
      <c r="Q1791" t="b">
        <v>0</v>
      </c>
      <c r="R1791" t="s">
        <v>8285</v>
      </c>
      <c r="S1791" s="6">
        <f>Table1[[#This Row],[pledged]]/Table1[[#This Row],[goal]]</f>
        <v>5.0000000000000001E-3</v>
      </c>
      <c r="T1791" s="8">
        <f>IF(Table1[[#This Row],[pledged]]=0,"no backers",Table1[[#This Row],[pledged]]/Table1[[#This Row],[backers_count]])</f>
        <v>10</v>
      </c>
      <c r="U1791" t="str">
        <f>LEFT(Table1[[#This Row],[Category and Sub-Category]],FIND("/",Table1[[#This Row],[Category and Sub-Category]])-1)</f>
        <v>photography</v>
      </c>
      <c r="V1791" t="str">
        <f>RIGHT(Table1[[#This Row],[Category and Sub-Category]],LEN(Table1[[#This Row],[Category and Sub-Category]])-FIND("/",Table1[[#This Row],[Category and Sub-Category]]))</f>
        <v>photobooks</v>
      </c>
    </row>
    <row r="1792" spans="1:22" ht="43.2" x14ac:dyDescent="0.3">
      <c r="A1792">
        <v>1790</v>
      </c>
      <c r="B1792" s="3" t="s">
        <v>1791</v>
      </c>
      <c r="C1792" s="3" t="s">
        <v>5900</v>
      </c>
      <c r="D1792" s="1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>((Table1[[#This Row],[deadline]]/60)/60/24)+DATE(1970,1,1)</f>
        <v>42040.674513888895</v>
      </c>
      <c r="K1792">
        <v>1420560678</v>
      </c>
      <c r="L1792" s="11">
        <f>((Table1[[#This Row],[launched_at]]/60)/60/24)+DATE(1970,1,1)</f>
        <v>42010.674513888895</v>
      </c>
      <c r="M1792">
        <f>MONTH(Table1[[#This Row],[Date Created Conversion]])</f>
        <v>1</v>
      </c>
      <c r="N1792">
        <f>YEAR(Table1[[#This Row],[Date Created Conversion]])</f>
        <v>2015</v>
      </c>
      <c r="O1792" t="b">
        <v>1</v>
      </c>
      <c r="P1792">
        <v>15</v>
      </c>
      <c r="Q1792" t="b">
        <v>0</v>
      </c>
      <c r="R1792" t="s">
        <v>8285</v>
      </c>
      <c r="S1792" s="6">
        <f>Table1[[#This Row],[pledged]]/Table1[[#This Row],[goal]]</f>
        <v>4.9575757575757579E-2</v>
      </c>
      <c r="T1792" s="8">
        <f>IF(Table1[[#This Row],[pledged]]=0,"no backers",Table1[[#This Row],[pledged]]/Table1[[#This Row],[backers_count]])</f>
        <v>109.06666666666666</v>
      </c>
      <c r="U1792" t="str">
        <f>LEFT(Table1[[#This Row],[Category and Sub-Category]],FIND("/",Table1[[#This Row],[Category and Sub-Category]])-1)</f>
        <v>photography</v>
      </c>
      <c r="V1792" t="str">
        <f>RIGHT(Table1[[#This Row],[Category and Sub-Category]],LEN(Table1[[#This Row],[Category and Sub-Category]])-FIND("/",Table1[[#This Row],[Category and Sub-Category]]))</f>
        <v>photobooks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 s="12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>((Table1[[#This Row],[deadline]]/60)/60/24)+DATE(1970,1,1)</f>
        <v>42033.740335648152</v>
      </c>
      <c r="K1793">
        <v>1417369565</v>
      </c>
      <c r="L1793" s="11">
        <f>((Table1[[#This Row],[launched_at]]/60)/60/24)+DATE(1970,1,1)</f>
        <v>41973.740335648152</v>
      </c>
      <c r="M1793">
        <f>MONTH(Table1[[#This Row],[Date Created Conversion]])</f>
        <v>11</v>
      </c>
      <c r="N1793">
        <f>YEAR(Table1[[#This Row],[Date Created Conversion]])</f>
        <v>2014</v>
      </c>
      <c r="O1793" t="b">
        <v>1</v>
      </c>
      <c r="P1793">
        <v>4</v>
      </c>
      <c r="Q1793" t="b">
        <v>0</v>
      </c>
      <c r="R1793" t="s">
        <v>8285</v>
      </c>
      <c r="S1793" s="6">
        <f>Table1[[#This Row],[pledged]]/Table1[[#This Row],[goal]]</f>
        <v>3.5666666666666666E-2</v>
      </c>
      <c r="T1793" s="8">
        <f>IF(Table1[[#This Row],[pledged]]=0,"no backers",Table1[[#This Row],[pledged]]/Table1[[#This Row],[backers_count]])</f>
        <v>26.75</v>
      </c>
      <c r="U1793" t="str">
        <f>LEFT(Table1[[#This Row],[Category and Sub-Category]],FIND("/",Table1[[#This Row],[Category and Sub-Category]])-1)</f>
        <v>photography</v>
      </c>
      <c r="V1793" t="str">
        <f>RIGHT(Table1[[#This Row],[Category and Sub-Category]],LEN(Table1[[#This Row],[Category and Sub-Category]])-FIND("/",Table1[[#This Row],[Category and Sub-Category]]))</f>
        <v>photobooks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 s="12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>((Table1[[#This Row],[deadline]]/60)/60/24)+DATE(1970,1,1)</f>
        <v>42226.290972222225</v>
      </c>
      <c r="K1794">
        <v>1435970682</v>
      </c>
      <c r="L1794" s="11">
        <f>((Table1[[#This Row],[launched_at]]/60)/60/24)+DATE(1970,1,1)</f>
        <v>42189.031041666662</v>
      </c>
      <c r="M1794">
        <f>MONTH(Table1[[#This Row],[Date Created Conversion]])</f>
        <v>7</v>
      </c>
      <c r="N1794">
        <f>YEAR(Table1[[#This Row],[Date Created Conversion]])</f>
        <v>2015</v>
      </c>
      <c r="O1794" t="b">
        <v>1</v>
      </c>
      <c r="P1794">
        <v>139</v>
      </c>
      <c r="Q1794" t="b">
        <v>0</v>
      </c>
      <c r="R1794" t="s">
        <v>8285</v>
      </c>
      <c r="S1794" s="6">
        <f>Table1[[#This Row],[pledged]]/Table1[[#This Row],[goal]]</f>
        <v>0.61124000000000001</v>
      </c>
      <c r="T1794" s="8">
        <f>IF(Table1[[#This Row],[pledged]]=0,"no backers",Table1[[#This Row],[pledged]]/Table1[[#This Row],[backers_count]])</f>
        <v>109.93525179856115</v>
      </c>
      <c r="U1794" t="str">
        <f>LEFT(Table1[[#This Row],[Category and Sub-Category]],FIND("/",Table1[[#This Row],[Category and Sub-Category]])-1)</f>
        <v>photography</v>
      </c>
      <c r="V1794" t="str">
        <f>RIGHT(Table1[[#This Row],[Category and Sub-Category]],LEN(Table1[[#This Row],[Category and Sub-Category]])-FIND("/",Table1[[#This Row],[Category and Sub-Category]]))</f>
        <v>photobooks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 s="12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>((Table1[[#This Row],[deadline]]/60)/60/24)+DATE(1970,1,1)</f>
        <v>41970.933333333334</v>
      </c>
      <c r="K1795">
        <v>1414531440</v>
      </c>
      <c r="L1795" s="11">
        <f>((Table1[[#This Row],[launched_at]]/60)/60/24)+DATE(1970,1,1)</f>
        <v>41940.89166666667</v>
      </c>
      <c r="M1795">
        <f>MONTH(Table1[[#This Row],[Date Created Conversion]])</f>
        <v>10</v>
      </c>
      <c r="N1795">
        <f>YEAR(Table1[[#This Row],[Date Created Conversion]])</f>
        <v>2014</v>
      </c>
      <c r="O1795" t="b">
        <v>1</v>
      </c>
      <c r="P1795">
        <v>2</v>
      </c>
      <c r="Q1795" t="b">
        <v>0</v>
      </c>
      <c r="R1795" t="s">
        <v>8285</v>
      </c>
      <c r="S1795" s="6">
        <f>Table1[[#This Row],[pledged]]/Table1[[#This Row],[goal]]</f>
        <v>1.3333333333333334E-2</v>
      </c>
      <c r="T1795" s="8">
        <f>IF(Table1[[#This Row],[pledged]]=0,"no backers",Table1[[#This Row],[pledged]]/Table1[[#This Row],[backers_count]])</f>
        <v>20</v>
      </c>
      <c r="U1795" t="str">
        <f>LEFT(Table1[[#This Row],[Category and Sub-Category]],FIND("/",Table1[[#This Row],[Category and Sub-Category]])-1)</f>
        <v>photography</v>
      </c>
      <c r="V1795" t="str">
        <f>RIGHT(Table1[[#This Row],[Category and Sub-Category]],LEN(Table1[[#This Row],[Category and Sub-Category]])-FIND("/",Table1[[#This Row],[Category and Sub-Category]]))</f>
        <v>photobooks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 s="12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>((Table1[[#This Row],[deadline]]/60)/60/24)+DATE(1970,1,1)</f>
        <v>42046.551180555558</v>
      </c>
      <c r="K1796">
        <v>1420636422</v>
      </c>
      <c r="L1796" s="11">
        <f>((Table1[[#This Row],[launched_at]]/60)/60/24)+DATE(1970,1,1)</f>
        <v>42011.551180555558</v>
      </c>
      <c r="M1796">
        <f>MONTH(Table1[[#This Row],[Date Created Conversion]])</f>
        <v>1</v>
      </c>
      <c r="N1796">
        <f>YEAR(Table1[[#This Row],[Date Created Conversion]])</f>
        <v>2015</v>
      </c>
      <c r="O1796" t="b">
        <v>1</v>
      </c>
      <c r="P1796">
        <v>18</v>
      </c>
      <c r="Q1796" t="b">
        <v>0</v>
      </c>
      <c r="R1796" t="s">
        <v>8285</v>
      </c>
      <c r="S1796" s="6">
        <f>Table1[[#This Row],[pledged]]/Table1[[#This Row],[goal]]</f>
        <v>0.11077777777777778</v>
      </c>
      <c r="T1796" s="8">
        <f>IF(Table1[[#This Row],[pledged]]=0,"no backers",Table1[[#This Row],[pledged]]/Table1[[#This Row],[backers_count]])</f>
        <v>55.388888888888886</v>
      </c>
      <c r="U1796" t="str">
        <f>LEFT(Table1[[#This Row],[Category and Sub-Category]],FIND("/",Table1[[#This Row],[Category and Sub-Category]])-1)</f>
        <v>photography</v>
      </c>
      <c r="V1796" t="str">
        <f>RIGHT(Table1[[#This Row],[Category and Sub-Category]],LEN(Table1[[#This Row],[Category and Sub-Category]])-FIND("/",Table1[[#This Row],[Category and Sub-Category]]))</f>
        <v>photobooks</v>
      </c>
    </row>
    <row r="1797" spans="1:22" ht="43.2" x14ac:dyDescent="0.3">
      <c r="A1797">
        <v>1795</v>
      </c>
      <c r="B1797" s="3" t="s">
        <v>1796</v>
      </c>
      <c r="C1797" s="3" t="s">
        <v>5905</v>
      </c>
      <c r="D1797" s="12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>((Table1[[#This Row],[deadline]]/60)/60/24)+DATE(1970,1,1)</f>
        <v>42657.666666666672</v>
      </c>
      <c r="K1797">
        <v>1473922541</v>
      </c>
      <c r="L1797" s="11">
        <f>((Table1[[#This Row],[launched_at]]/60)/60/24)+DATE(1970,1,1)</f>
        <v>42628.288668981477</v>
      </c>
      <c r="M1797">
        <f>MONTH(Table1[[#This Row],[Date Created Conversion]])</f>
        <v>9</v>
      </c>
      <c r="N1797">
        <f>YEAR(Table1[[#This Row],[Date Created Conversion]])</f>
        <v>2016</v>
      </c>
      <c r="O1797" t="b">
        <v>1</v>
      </c>
      <c r="P1797">
        <v>81</v>
      </c>
      <c r="Q1797" t="b">
        <v>0</v>
      </c>
      <c r="R1797" t="s">
        <v>8285</v>
      </c>
      <c r="S1797" s="6">
        <f>Table1[[#This Row],[pledged]]/Table1[[#This Row],[goal]]</f>
        <v>0.38735714285714284</v>
      </c>
      <c r="T1797" s="8">
        <f>IF(Table1[[#This Row],[pledged]]=0,"no backers",Table1[[#This Row],[pledged]]/Table1[[#This Row],[backers_count]])</f>
        <v>133.90123456790124</v>
      </c>
      <c r="U1797" t="str">
        <f>LEFT(Table1[[#This Row],[Category and Sub-Category]],FIND("/",Table1[[#This Row],[Category and Sub-Category]])-1)</f>
        <v>photography</v>
      </c>
      <c r="V1797" t="str">
        <f>RIGHT(Table1[[#This Row],[Category and Sub-Category]],LEN(Table1[[#This Row],[Category and Sub-Category]])-FIND("/",Table1[[#This Row],[Category and Sub-Category]]))</f>
        <v>photobooks</v>
      </c>
    </row>
    <row r="1798" spans="1:22" ht="57.6" x14ac:dyDescent="0.3">
      <c r="A1798">
        <v>1796</v>
      </c>
      <c r="B1798" s="3" t="s">
        <v>1797</v>
      </c>
      <c r="C1798" s="3" t="s">
        <v>5906</v>
      </c>
      <c r="D1798" s="12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>((Table1[[#This Row],[deadline]]/60)/60/24)+DATE(1970,1,1)</f>
        <v>42575.439421296294</v>
      </c>
      <c r="K1798">
        <v>1464172366</v>
      </c>
      <c r="L1798" s="11">
        <f>((Table1[[#This Row],[launched_at]]/60)/60/24)+DATE(1970,1,1)</f>
        <v>42515.439421296294</v>
      </c>
      <c r="M1798">
        <f>MONTH(Table1[[#This Row],[Date Created Conversion]])</f>
        <v>5</v>
      </c>
      <c r="N1798">
        <f>YEAR(Table1[[#This Row],[Date Created Conversion]])</f>
        <v>2016</v>
      </c>
      <c r="O1798" t="b">
        <v>1</v>
      </c>
      <c r="P1798">
        <v>86</v>
      </c>
      <c r="Q1798" t="b">
        <v>0</v>
      </c>
      <c r="R1798" t="s">
        <v>8285</v>
      </c>
      <c r="S1798" s="6">
        <f>Table1[[#This Row],[pledged]]/Table1[[#This Row],[goal]]</f>
        <v>0.22052631578947368</v>
      </c>
      <c r="T1798" s="8">
        <f>IF(Table1[[#This Row],[pledged]]=0,"no backers",Table1[[#This Row],[pledged]]/Table1[[#This Row],[backers_count]])</f>
        <v>48.720930232558139</v>
      </c>
      <c r="U1798" t="str">
        <f>LEFT(Table1[[#This Row],[Category and Sub-Category]],FIND("/",Table1[[#This Row],[Category and Sub-Category]])-1)</f>
        <v>photography</v>
      </c>
      <c r="V1798" t="str">
        <f>RIGHT(Table1[[#This Row],[Category and Sub-Category]],LEN(Table1[[#This Row],[Category and Sub-Category]])-FIND("/",Table1[[#This Row],[Category and Sub-Category]]))</f>
        <v>photobooks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 s="12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>((Table1[[#This Row],[deadline]]/60)/60/24)+DATE(1970,1,1)</f>
        <v>42719.56931712963</v>
      </c>
      <c r="K1799">
        <v>1479217189</v>
      </c>
      <c r="L1799" s="11">
        <f>((Table1[[#This Row],[launched_at]]/60)/60/24)+DATE(1970,1,1)</f>
        <v>42689.56931712963</v>
      </c>
      <c r="M1799">
        <f>MONTH(Table1[[#This Row],[Date Created Conversion]])</f>
        <v>11</v>
      </c>
      <c r="N1799">
        <f>YEAR(Table1[[#This Row],[Date Created Conversion]])</f>
        <v>2016</v>
      </c>
      <c r="O1799" t="b">
        <v>1</v>
      </c>
      <c r="P1799">
        <v>140</v>
      </c>
      <c r="Q1799" t="b">
        <v>0</v>
      </c>
      <c r="R1799" t="s">
        <v>8285</v>
      </c>
      <c r="S1799" s="6">
        <f>Table1[[#This Row],[pledged]]/Table1[[#This Row],[goal]]</f>
        <v>0.67549999999999999</v>
      </c>
      <c r="T1799" s="8">
        <f>IF(Table1[[#This Row],[pledged]]=0,"no backers",Table1[[#This Row],[pledged]]/Table1[[#This Row],[backers_count]])</f>
        <v>48.25</v>
      </c>
      <c r="U1799" t="str">
        <f>LEFT(Table1[[#This Row],[Category and Sub-Category]],FIND("/",Table1[[#This Row],[Category and Sub-Category]])-1)</f>
        <v>photography</v>
      </c>
      <c r="V1799" t="str">
        <f>RIGHT(Table1[[#This Row],[Category and Sub-Category]],LEN(Table1[[#This Row],[Category and Sub-Category]])-FIND("/",Table1[[#This Row],[Category and Sub-Category]]))</f>
        <v>photobooks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 s="12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>((Table1[[#This Row],[deadline]]/60)/60/24)+DATE(1970,1,1)</f>
        <v>42404.32677083333</v>
      </c>
      <c r="K1800">
        <v>1449388233</v>
      </c>
      <c r="L1800" s="11">
        <f>((Table1[[#This Row],[launched_at]]/60)/60/24)+DATE(1970,1,1)</f>
        <v>42344.32677083333</v>
      </c>
      <c r="M1800">
        <f>MONTH(Table1[[#This Row],[Date Created Conversion]])</f>
        <v>12</v>
      </c>
      <c r="N1800">
        <f>YEAR(Table1[[#This Row],[Date Created Conversion]])</f>
        <v>2015</v>
      </c>
      <c r="O1800" t="b">
        <v>1</v>
      </c>
      <c r="P1800">
        <v>37</v>
      </c>
      <c r="Q1800" t="b">
        <v>0</v>
      </c>
      <c r="R1800" t="s">
        <v>8285</v>
      </c>
      <c r="S1800" s="6">
        <f>Table1[[#This Row],[pledged]]/Table1[[#This Row],[goal]]</f>
        <v>0.136375</v>
      </c>
      <c r="T1800" s="8">
        <f>IF(Table1[[#This Row],[pledged]]=0,"no backers",Table1[[#This Row],[pledged]]/Table1[[#This Row],[backers_count]])</f>
        <v>58.972972972972975</v>
      </c>
      <c r="U1800" t="str">
        <f>LEFT(Table1[[#This Row],[Category and Sub-Category]],FIND("/",Table1[[#This Row],[Category and Sub-Category]])-1)</f>
        <v>photography</v>
      </c>
      <c r="V1800" t="str">
        <f>RIGHT(Table1[[#This Row],[Category and Sub-Category]],LEN(Table1[[#This Row],[Category and Sub-Category]])-FIND("/",Table1[[#This Row],[Category and Sub-Category]]))</f>
        <v>photobooks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 s="12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>((Table1[[#This Row],[deadline]]/60)/60/24)+DATE(1970,1,1)</f>
        <v>41954.884351851855</v>
      </c>
      <c r="K1801">
        <v>1414008808</v>
      </c>
      <c r="L1801" s="11">
        <f>((Table1[[#This Row],[launched_at]]/60)/60/24)+DATE(1970,1,1)</f>
        <v>41934.842685185184</v>
      </c>
      <c r="M1801">
        <f>MONTH(Table1[[#This Row],[Date Created Conversion]])</f>
        <v>10</v>
      </c>
      <c r="N1801">
        <f>YEAR(Table1[[#This Row],[Date Created Conversion]])</f>
        <v>2014</v>
      </c>
      <c r="O1801" t="b">
        <v>1</v>
      </c>
      <c r="P1801">
        <v>6</v>
      </c>
      <c r="Q1801" t="b">
        <v>0</v>
      </c>
      <c r="R1801" t="s">
        <v>8285</v>
      </c>
      <c r="S1801" s="6">
        <f>Table1[[#This Row],[pledged]]/Table1[[#This Row],[goal]]</f>
        <v>1.7457500000000001E-2</v>
      </c>
      <c r="T1801" s="8">
        <f>IF(Table1[[#This Row],[pledged]]=0,"no backers",Table1[[#This Row],[pledged]]/Table1[[#This Row],[backers_count]])</f>
        <v>11.638333333333334</v>
      </c>
      <c r="U1801" t="str">
        <f>LEFT(Table1[[#This Row],[Category and Sub-Category]],FIND("/",Table1[[#This Row],[Category and Sub-Category]])-1)</f>
        <v>photography</v>
      </c>
      <c r="V1801" t="str">
        <f>RIGHT(Table1[[#This Row],[Category and Sub-Category]],LEN(Table1[[#This Row],[Category and Sub-Category]])-FIND("/",Table1[[#This Row],[Category and Sub-Category]]))</f>
        <v>photobooks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 s="1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>((Table1[[#This Row],[deadline]]/60)/60/24)+DATE(1970,1,1)</f>
        <v>42653.606134259258</v>
      </c>
      <c r="K1802">
        <v>1473517970</v>
      </c>
      <c r="L1802" s="11">
        <f>((Table1[[#This Row],[launched_at]]/60)/60/24)+DATE(1970,1,1)</f>
        <v>42623.606134259258</v>
      </c>
      <c r="M1802">
        <f>MONTH(Table1[[#This Row],[Date Created Conversion]])</f>
        <v>9</v>
      </c>
      <c r="N1802">
        <f>YEAR(Table1[[#This Row],[Date Created Conversion]])</f>
        <v>2016</v>
      </c>
      <c r="O1802" t="b">
        <v>1</v>
      </c>
      <c r="P1802">
        <v>113</v>
      </c>
      <c r="Q1802" t="b">
        <v>0</v>
      </c>
      <c r="R1802" t="s">
        <v>8285</v>
      </c>
      <c r="S1802" s="6">
        <f>Table1[[#This Row],[pledged]]/Table1[[#This Row],[goal]]</f>
        <v>0.20449632511889321</v>
      </c>
      <c r="T1802" s="8">
        <f>IF(Table1[[#This Row],[pledged]]=0,"no backers",Table1[[#This Row],[pledged]]/Table1[[#This Row],[backers_count]])</f>
        <v>83.716814159292042</v>
      </c>
      <c r="U1802" t="str">
        <f>LEFT(Table1[[#This Row],[Category and Sub-Category]],FIND("/",Table1[[#This Row],[Category and Sub-Category]])-1)</f>
        <v>photography</v>
      </c>
      <c r="V1802" t="str">
        <f>RIGHT(Table1[[#This Row],[Category and Sub-Category]],LEN(Table1[[#This Row],[Category and Sub-Category]])-FIND("/",Table1[[#This Row],[Category and Sub-Category]]))</f>
        <v>photobooks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 s="12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>((Table1[[#This Row],[deadline]]/60)/60/24)+DATE(1970,1,1)</f>
        <v>42353.506944444445</v>
      </c>
      <c r="K1803">
        <v>1447429868</v>
      </c>
      <c r="L1803" s="11">
        <f>((Table1[[#This Row],[launched_at]]/60)/60/24)+DATE(1970,1,1)</f>
        <v>42321.660509259258</v>
      </c>
      <c r="M1803">
        <f>MONTH(Table1[[#This Row],[Date Created Conversion]])</f>
        <v>11</v>
      </c>
      <c r="N1803">
        <f>YEAR(Table1[[#This Row],[Date Created Conversion]])</f>
        <v>2015</v>
      </c>
      <c r="O1803" t="b">
        <v>1</v>
      </c>
      <c r="P1803">
        <v>37</v>
      </c>
      <c r="Q1803" t="b">
        <v>0</v>
      </c>
      <c r="R1803" t="s">
        <v>8285</v>
      </c>
      <c r="S1803" s="6">
        <f>Table1[[#This Row],[pledged]]/Table1[[#This Row],[goal]]</f>
        <v>0.13852941176470587</v>
      </c>
      <c r="T1803" s="8">
        <f>IF(Table1[[#This Row],[pledged]]=0,"no backers",Table1[[#This Row],[pledged]]/Table1[[#This Row],[backers_count]])</f>
        <v>63.648648648648646</v>
      </c>
      <c r="U1803" t="str">
        <f>LEFT(Table1[[#This Row],[Category and Sub-Category]],FIND("/",Table1[[#This Row],[Category and Sub-Category]])-1)</f>
        <v>photography</v>
      </c>
      <c r="V1803" t="str">
        <f>RIGHT(Table1[[#This Row],[Category and Sub-Category]],LEN(Table1[[#This Row],[Category and Sub-Category]])-FIND("/",Table1[[#This Row],[Category and Sub-Category]]))</f>
        <v>photobooks</v>
      </c>
    </row>
    <row r="1804" spans="1:22" ht="43.2" x14ac:dyDescent="0.3">
      <c r="A1804">
        <v>1802</v>
      </c>
      <c r="B1804" s="3" t="s">
        <v>1803</v>
      </c>
      <c r="C1804" s="3" t="s">
        <v>5912</v>
      </c>
      <c r="D1804" s="12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>((Table1[[#This Row],[deadline]]/60)/60/24)+DATE(1970,1,1)</f>
        <v>42182.915972222225</v>
      </c>
      <c r="K1804">
        <v>1433416830</v>
      </c>
      <c r="L1804" s="11">
        <f>((Table1[[#This Row],[launched_at]]/60)/60/24)+DATE(1970,1,1)</f>
        <v>42159.47256944445</v>
      </c>
      <c r="M1804">
        <f>MONTH(Table1[[#This Row],[Date Created Conversion]])</f>
        <v>6</v>
      </c>
      <c r="N1804">
        <f>YEAR(Table1[[#This Row],[Date Created Conversion]])</f>
        <v>2015</v>
      </c>
      <c r="O1804" t="b">
        <v>1</v>
      </c>
      <c r="P1804">
        <v>18</v>
      </c>
      <c r="Q1804" t="b">
        <v>0</v>
      </c>
      <c r="R1804" t="s">
        <v>8285</v>
      </c>
      <c r="S1804" s="6">
        <f>Table1[[#This Row],[pledged]]/Table1[[#This Row],[goal]]</f>
        <v>0.48485714285714288</v>
      </c>
      <c r="T1804" s="8">
        <f>IF(Table1[[#This Row],[pledged]]=0,"no backers",Table1[[#This Row],[pledged]]/Table1[[#This Row],[backers_count]])</f>
        <v>94.277777777777771</v>
      </c>
      <c r="U1804" t="str">
        <f>LEFT(Table1[[#This Row],[Category and Sub-Category]],FIND("/",Table1[[#This Row],[Category and Sub-Category]])-1)</f>
        <v>photography</v>
      </c>
      <c r="V1804" t="str">
        <f>RIGHT(Table1[[#This Row],[Category and Sub-Category]],LEN(Table1[[#This Row],[Category and Sub-Category]])-FIND("/",Table1[[#This Row],[Category and Sub-Category]]))</f>
        <v>photobooks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 s="12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>((Table1[[#This Row],[deadline]]/60)/60/24)+DATE(1970,1,1)</f>
        <v>42049.071550925932</v>
      </c>
      <c r="K1805">
        <v>1421199782</v>
      </c>
      <c r="L1805" s="11">
        <f>((Table1[[#This Row],[launched_at]]/60)/60/24)+DATE(1970,1,1)</f>
        <v>42018.071550925932</v>
      </c>
      <c r="M1805">
        <f>MONTH(Table1[[#This Row],[Date Created Conversion]])</f>
        <v>1</v>
      </c>
      <c r="N1805">
        <f>YEAR(Table1[[#This Row],[Date Created Conversion]])</f>
        <v>2015</v>
      </c>
      <c r="O1805" t="b">
        <v>1</v>
      </c>
      <c r="P1805">
        <v>75</v>
      </c>
      <c r="Q1805" t="b">
        <v>0</v>
      </c>
      <c r="R1805" t="s">
        <v>8285</v>
      </c>
      <c r="S1805" s="6">
        <f>Table1[[#This Row],[pledged]]/Table1[[#This Row],[goal]]</f>
        <v>0.308</v>
      </c>
      <c r="T1805" s="8">
        <f>IF(Table1[[#This Row],[pledged]]=0,"no backers",Table1[[#This Row],[pledged]]/Table1[[#This Row],[backers_count]])</f>
        <v>71.86666666666666</v>
      </c>
      <c r="U1805" t="str">
        <f>LEFT(Table1[[#This Row],[Category and Sub-Category]],FIND("/",Table1[[#This Row],[Category and Sub-Category]])-1)</f>
        <v>photography</v>
      </c>
      <c r="V1805" t="str">
        <f>RIGHT(Table1[[#This Row],[Category and Sub-Category]],LEN(Table1[[#This Row],[Category and Sub-Category]])-FIND("/",Table1[[#This Row],[Category and Sub-Category]]))</f>
        <v>photobooks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 s="12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>((Table1[[#This Row],[deadline]]/60)/60/24)+DATE(1970,1,1)</f>
        <v>42322.719953703709</v>
      </c>
      <c r="K1806">
        <v>1444061804</v>
      </c>
      <c r="L1806" s="11">
        <f>((Table1[[#This Row],[launched_at]]/60)/60/24)+DATE(1970,1,1)</f>
        <v>42282.678287037037</v>
      </c>
      <c r="M1806">
        <f>MONTH(Table1[[#This Row],[Date Created Conversion]])</f>
        <v>10</v>
      </c>
      <c r="N1806">
        <f>YEAR(Table1[[#This Row],[Date Created Conversion]])</f>
        <v>2015</v>
      </c>
      <c r="O1806" t="b">
        <v>1</v>
      </c>
      <c r="P1806">
        <v>52</v>
      </c>
      <c r="Q1806" t="b">
        <v>0</v>
      </c>
      <c r="R1806" t="s">
        <v>8285</v>
      </c>
      <c r="S1806" s="6">
        <f>Table1[[#This Row],[pledged]]/Table1[[#This Row],[goal]]</f>
        <v>0.35174193548387095</v>
      </c>
      <c r="T1806" s="8">
        <f>IF(Table1[[#This Row],[pledged]]=0,"no backers",Table1[[#This Row],[pledged]]/Table1[[#This Row],[backers_count]])</f>
        <v>104.84615384615384</v>
      </c>
      <c r="U1806" t="str">
        <f>LEFT(Table1[[#This Row],[Category and Sub-Category]],FIND("/",Table1[[#This Row],[Category and Sub-Category]])-1)</f>
        <v>photography</v>
      </c>
      <c r="V1806" t="str">
        <f>RIGHT(Table1[[#This Row],[Category and Sub-Category]],LEN(Table1[[#This Row],[Category and Sub-Category]])-FIND("/",Table1[[#This Row],[Category and Sub-Category]]))</f>
        <v>photobooks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 s="12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>((Table1[[#This Row],[deadline]]/60)/60/24)+DATE(1970,1,1)</f>
        <v>42279.75</v>
      </c>
      <c r="K1807">
        <v>1441048658</v>
      </c>
      <c r="L1807" s="11">
        <f>((Table1[[#This Row],[launched_at]]/60)/60/24)+DATE(1970,1,1)</f>
        <v>42247.803912037038</v>
      </c>
      <c r="M1807">
        <f>MONTH(Table1[[#This Row],[Date Created Conversion]])</f>
        <v>8</v>
      </c>
      <c r="N1807">
        <f>YEAR(Table1[[#This Row],[Date Created Conversion]])</f>
        <v>2015</v>
      </c>
      <c r="O1807" t="b">
        <v>1</v>
      </c>
      <c r="P1807">
        <v>122</v>
      </c>
      <c r="Q1807" t="b">
        <v>0</v>
      </c>
      <c r="R1807" t="s">
        <v>8285</v>
      </c>
      <c r="S1807" s="6">
        <f>Table1[[#This Row],[pledged]]/Table1[[#This Row],[goal]]</f>
        <v>0.36404444444444445</v>
      </c>
      <c r="T1807" s="8">
        <f>IF(Table1[[#This Row],[pledged]]=0,"no backers",Table1[[#This Row],[pledged]]/Table1[[#This Row],[backers_count]])</f>
        <v>67.139344262295083</v>
      </c>
      <c r="U1807" t="str">
        <f>LEFT(Table1[[#This Row],[Category and Sub-Category]],FIND("/",Table1[[#This Row],[Category and Sub-Category]])-1)</f>
        <v>photography</v>
      </c>
      <c r="V1807" t="str">
        <f>RIGHT(Table1[[#This Row],[Category and Sub-Category]],LEN(Table1[[#This Row],[Category and Sub-Category]])-FIND("/",Table1[[#This Row],[Category and Sub-Category]]))</f>
        <v>photobooks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 s="12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>((Table1[[#This Row],[deadline]]/60)/60/24)+DATE(1970,1,1)</f>
        <v>41912.638298611113</v>
      </c>
      <c r="K1808">
        <v>1409066349</v>
      </c>
      <c r="L1808" s="11">
        <f>((Table1[[#This Row],[launched_at]]/60)/60/24)+DATE(1970,1,1)</f>
        <v>41877.638298611113</v>
      </c>
      <c r="M1808">
        <f>MONTH(Table1[[#This Row],[Date Created Conversion]])</f>
        <v>8</v>
      </c>
      <c r="N1808">
        <f>YEAR(Table1[[#This Row],[Date Created Conversion]])</f>
        <v>2014</v>
      </c>
      <c r="O1808" t="b">
        <v>1</v>
      </c>
      <c r="P1808">
        <v>8</v>
      </c>
      <c r="Q1808" t="b">
        <v>0</v>
      </c>
      <c r="R1808" t="s">
        <v>8285</v>
      </c>
      <c r="S1808" s="6">
        <f>Table1[[#This Row],[pledged]]/Table1[[#This Row],[goal]]</f>
        <v>2.955E-2</v>
      </c>
      <c r="T1808" s="8">
        <f>IF(Table1[[#This Row],[pledged]]=0,"no backers",Table1[[#This Row],[pledged]]/Table1[[#This Row],[backers_count]])</f>
        <v>73.875</v>
      </c>
      <c r="U1808" t="str">
        <f>LEFT(Table1[[#This Row],[Category and Sub-Category]],FIND("/",Table1[[#This Row],[Category and Sub-Category]])-1)</f>
        <v>photography</v>
      </c>
      <c r="V1808" t="str">
        <f>RIGHT(Table1[[#This Row],[Category and Sub-Category]],LEN(Table1[[#This Row],[Category and Sub-Category]])-FIND("/",Table1[[#This Row],[Category and Sub-Category]]))</f>
        <v>photobooks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 s="12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>((Table1[[#This Row],[deadline]]/60)/60/24)+DATE(1970,1,1)</f>
        <v>41910.068437499998</v>
      </c>
      <c r="K1809">
        <v>1409276313</v>
      </c>
      <c r="L1809" s="11">
        <f>((Table1[[#This Row],[launched_at]]/60)/60/24)+DATE(1970,1,1)</f>
        <v>41880.068437499998</v>
      </c>
      <c r="M1809">
        <f>MONTH(Table1[[#This Row],[Date Created Conversion]])</f>
        <v>8</v>
      </c>
      <c r="N1809">
        <f>YEAR(Table1[[#This Row],[Date Created Conversion]])</f>
        <v>2014</v>
      </c>
      <c r="O1809" t="b">
        <v>1</v>
      </c>
      <c r="P1809">
        <v>8</v>
      </c>
      <c r="Q1809" t="b">
        <v>0</v>
      </c>
      <c r="R1809" t="s">
        <v>8285</v>
      </c>
      <c r="S1809" s="6">
        <f>Table1[[#This Row],[pledged]]/Table1[[#This Row],[goal]]</f>
        <v>0.1106</v>
      </c>
      <c r="T1809" s="8">
        <f>IF(Table1[[#This Row],[pledged]]=0,"no backers",Table1[[#This Row],[pledged]]/Table1[[#This Row],[backers_count]])</f>
        <v>69.125</v>
      </c>
      <c r="U1809" t="str">
        <f>LEFT(Table1[[#This Row],[Category and Sub-Category]],FIND("/",Table1[[#This Row],[Category and Sub-Category]])-1)</f>
        <v>photography</v>
      </c>
      <c r="V1809" t="str">
        <f>RIGHT(Table1[[#This Row],[Category and Sub-Category]],LEN(Table1[[#This Row],[Category and Sub-Category]])-FIND("/",Table1[[#This Row],[Category and Sub-Category]]))</f>
        <v>photobooks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 s="12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>((Table1[[#This Row],[deadline]]/60)/60/24)+DATE(1970,1,1)</f>
        <v>42777.680902777778</v>
      </c>
      <c r="K1810">
        <v>1483806030</v>
      </c>
      <c r="L1810" s="11">
        <f>((Table1[[#This Row],[launched_at]]/60)/60/24)+DATE(1970,1,1)</f>
        <v>42742.680902777778</v>
      </c>
      <c r="M1810">
        <f>MONTH(Table1[[#This Row],[Date Created Conversion]])</f>
        <v>1</v>
      </c>
      <c r="N1810">
        <f>YEAR(Table1[[#This Row],[Date Created Conversion]])</f>
        <v>2017</v>
      </c>
      <c r="O1810" t="b">
        <v>1</v>
      </c>
      <c r="P1810">
        <v>96</v>
      </c>
      <c r="Q1810" t="b">
        <v>0</v>
      </c>
      <c r="R1810" t="s">
        <v>8285</v>
      </c>
      <c r="S1810" s="6">
        <f>Table1[[#This Row],[pledged]]/Table1[[#This Row],[goal]]</f>
        <v>0.41407142857142859</v>
      </c>
      <c r="T1810" s="8">
        <f>IF(Table1[[#This Row],[pledged]]=0,"no backers",Table1[[#This Row],[pledged]]/Table1[[#This Row],[backers_count]])</f>
        <v>120.77083333333333</v>
      </c>
      <c r="U1810" t="str">
        <f>LEFT(Table1[[#This Row],[Category and Sub-Category]],FIND("/",Table1[[#This Row],[Category and Sub-Category]])-1)</f>
        <v>photography</v>
      </c>
      <c r="V1810" t="str">
        <f>RIGHT(Table1[[#This Row],[Category and Sub-Category]],LEN(Table1[[#This Row],[Category and Sub-Category]])-FIND("/",Table1[[#This Row],[Category and Sub-Category]]))</f>
        <v>photobooks</v>
      </c>
    </row>
    <row r="1811" spans="1:22" ht="43.2" x14ac:dyDescent="0.3">
      <c r="A1811">
        <v>1809</v>
      </c>
      <c r="B1811" s="3" t="s">
        <v>1810</v>
      </c>
      <c r="C1811" s="3" t="s">
        <v>5919</v>
      </c>
      <c r="D1811" s="12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>((Table1[[#This Row],[deadline]]/60)/60/24)+DATE(1970,1,1)</f>
        <v>42064.907858796301</v>
      </c>
      <c r="K1811">
        <v>1422222439</v>
      </c>
      <c r="L1811" s="11">
        <f>((Table1[[#This Row],[launched_at]]/60)/60/24)+DATE(1970,1,1)</f>
        <v>42029.907858796301</v>
      </c>
      <c r="M1811">
        <f>MONTH(Table1[[#This Row],[Date Created Conversion]])</f>
        <v>1</v>
      </c>
      <c r="N1811">
        <f>YEAR(Table1[[#This Row],[Date Created Conversion]])</f>
        <v>2015</v>
      </c>
      <c r="O1811" t="b">
        <v>1</v>
      </c>
      <c r="P1811">
        <v>9</v>
      </c>
      <c r="Q1811" t="b">
        <v>0</v>
      </c>
      <c r="R1811" t="s">
        <v>8285</v>
      </c>
      <c r="S1811" s="6">
        <f>Table1[[#This Row],[pledged]]/Table1[[#This Row],[goal]]</f>
        <v>0.10857142857142857</v>
      </c>
      <c r="T1811" s="8">
        <f>IF(Table1[[#This Row],[pledged]]=0,"no backers",Table1[[#This Row],[pledged]]/Table1[[#This Row],[backers_count]])</f>
        <v>42.222222222222221</v>
      </c>
      <c r="U1811" t="str">
        <f>LEFT(Table1[[#This Row],[Category and Sub-Category]],FIND("/",Table1[[#This Row],[Category and Sub-Category]])-1)</f>
        <v>photography</v>
      </c>
      <c r="V1811" t="str">
        <f>RIGHT(Table1[[#This Row],[Category and Sub-Category]],LEN(Table1[[#This Row],[Category and Sub-Category]])-FIND("/",Table1[[#This Row],[Category and Sub-Category]]))</f>
        <v>photobooks</v>
      </c>
    </row>
    <row r="1812" spans="1:22" ht="43.2" x14ac:dyDescent="0.3">
      <c r="A1812">
        <v>1810</v>
      </c>
      <c r="B1812" s="3" t="s">
        <v>1811</v>
      </c>
      <c r="C1812" s="3" t="s">
        <v>5920</v>
      </c>
      <c r="D1812" s="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>((Table1[[#This Row],[deadline]]/60)/60/24)+DATE(1970,1,1)</f>
        <v>41872.91002314815</v>
      </c>
      <c r="K1812">
        <v>1407621026</v>
      </c>
      <c r="L1812" s="11">
        <f>((Table1[[#This Row],[launched_at]]/60)/60/24)+DATE(1970,1,1)</f>
        <v>41860.91002314815</v>
      </c>
      <c r="M1812">
        <f>MONTH(Table1[[#This Row],[Date Created Conversion]])</f>
        <v>8</v>
      </c>
      <c r="N1812">
        <f>YEAR(Table1[[#This Row],[Date Created Conversion]])</f>
        <v>2014</v>
      </c>
      <c r="O1812" t="b">
        <v>0</v>
      </c>
      <c r="P1812">
        <v>2</v>
      </c>
      <c r="Q1812" t="b">
        <v>0</v>
      </c>
      <c r="R1812" t="s">
        <v>8285</v>
      </c>
      <c r="S1812" s="6">
        <f>Table1[[#This Row],[pledged]]/Table1[[#This Row],[goal]]</f>
        <v>3.3333333333333333E-2</v>
      </c>
      <c r="T1812" s="8">
        <f>IF(Table1[[#This Row],[pledged]]=0,"no backers",Table1[[#This Row],[pledged]]/Table1[[#This Row],[backers_count]])</f>
        <v>7.5</v>
      </c>
      <c r="U1812" t="str">
        <f>LEFT(Table1[[#This Row],[Category and Sub-Category]],FIND("/",Table1[[#This Row],[Category and Sub-Category]])-1)</f>
        <v>photography</v>
      </c>
      <c r="V1812" t="str">
        <f>RIGHT(Table1[[#This Row],[Category and Sub-Category]],LEN(Table1[[#This Row],[Category and Sub-Category]])-FIND("/",Table1[[#This Row],[Category and Sub-Category]]))</f>
        <v>photobooks</v>
      </c>
    </row>
    <row r="1813" spans="1:22" ht="43.2" x14ac:dyDescent="0.3">
      <c r="A1813">
        <v>1811</v>
      </c>
      <c r="B1813" s="3" t="s">
        <v>1812</v>
      </c>
      <c r="C1813" s="3" t="s">
        <v>5921</v>
      </c>
      <c r="D1813" s="12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>((Table1[[#This Row],[deadline]]/60)/60/24)+DATE(1970,1,1)</f>
        <v>41936.166666666664</v>
      </c>
      <c r="K1813">
        <v>1408962270</v>
      </c>
      <c r="L1813" s="11">
        <f>((Table1[[#This Row],[launched_at]]/60)/60/24)+DATE(1970,1,1)</f>
        <v>41876.433680555558</v>
      </c>
      <c r="M1813">
        <f>MONTH(Table1[[#This Row],[Date Created Conversion]])</f>
        <v>8</v>
      </c>
      <c r="N1813">
        <f>YEAR(Table1[[#This Row],[Date Created Conversion]])</f>
        <v>2014</v>
      </c>
      <c r="O1813" t="b">
        <v>0</v>
      </c>
      <c r="P1813">
        <v>26</v>
      </c>
      <c r="Q1813" t="b">
        <v>0</v>
      </c>
      <c r="R1813" t="s">
        <v>8285</v>
      </c>
      <c r="S1813" s="6">
        <f>Table1[[#This Row],[pledged]]/Table1[[#This Row],[goal]]</f>
        <v>7.407407407407407E-4</v>
      </c>
      <c r="T1813" s="8">
        <f>IF(Table1[[#This Row],[pledged]]=0,"no backers",Table1[[#This Row],[pledged]]/Table1[[#This Row],[backers_count]])</f>
        <v>1.5384615384615385</v>
      </c>
      <c r="U1813" t="str">
        <f>LEFT(Table1[[#This Row],[Category and Sub-Category]],FIND("/",Table1[[#This Row],[Category and Sub-Category]])-1)</f>
        <v>photography</v>
      </c>
      <c r="V1813" t="str">
        <f>RIGHT(Table1[[#This Row],[Category and Sub-Category]],LEN(Table1[[#This Row],[Category and Sub-Category]])-FIND("/",Table1[[#This Row],[Category and Sub-Category]]))</f>
        <v>photobooks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 s="12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>((Table1[[#This Row],[deadline]]/60)/60/24)+DATE(1970,1,1)</f>
        <v>42554.318703703699</v>
      </c>
      <c r="K1814">
        <v>1464939536</v>
      </c>
      <c r="L1814" s="11">
        <f>((Table1[[#This Row],[launched_at]]/60)/60/24)+DATE(1970,1,1)</f>
        <v>42524.318703703699</v>
      </c>
      <c r="M1814">
        <f>MONTH(Table1[[#This Row],[Date Created Conversion]])</f>
        <v>6</v>
      </c>
      <c r="N1814">
        <f>YEAR(Table1[[#This Row],[Date Created Conversion]])</f>
        <v>2016</v>
      </c>
      <c r="O1814" t="b">
        <v>0</v>
      </c>
      <c r="P1814">
        <v>23</v>
      </c>
      <c r="Q1814" t="b">
        <v>0</v>
      </c>
      <c r="R1814" t="s">
        <v>8285</v>
      </c>
      <c r="S1814" s="6">
        <f>Table1[[#This Row],[pledged]]/Table1[[#This Row],[goal]]</f>
        <v>0.13307692307692306</v>
      </c>
      <c r="T1814" s="8">
        <f>IF(Table1[[#This Row],[pledged]]=0,"no backers",Table1[[#This Row],[pledged]]/Table1[[#This Row],[backers_count]])</f>
        <v>37.608695652173914</v>
      </c>
      <c r="U1814" t="str">
        <f>LEFT(Table1[[#This Row],[Category and Sub-Category]],FIND("/",Table1[[#This Row],[Category and Sub-Category]])-1)</f>
        <v>photography</v>
      </c>
      <c r="V1814" t="str">
        <f>RIGHT(Table1[[#This Row],[Category and Sub-Category]],LEN(Table1[[#This Row],[Category and Sub-Category]])-FIND("/",Table1[[#This Row],[Category and Sub-Category]]))</f>
        <v>photobooks</v>
      </c>
    </row>
    <row r="1815" spans="1:22" ht="43.2" x14ac:dyDescent="0.3">
      <c r="A1815">
        <v>1813</v>
      </c>
      <c r="B1815" s="3" t="s">
        <v>1814</v>
      </c>
      <c r="C1815" s="3" t="s">
        <v>5923</v>
      </c>
      <c r="D1815" s="12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>((Table1[[#This Row],[deadline]]/60)/60/24)+DATE(1970,1,1)</f>
        <v>41859.889027777775</v>
      </c>
      <c r="K1815">
        <v>1404940812</v>
      </c>
      <c r="L1815" s="11">
        <f>((Table1[[#This Row],[launched_at]]/60)/60/24)+DATE(1970,1,1)</f>
        <v>41829.889027777775</v>
      </c>
      <c r="M1815">
        <f>MONTH(Table1[[#This Row],[Date Created Conversion]])</f>
        <v>7</v>
      </c>
      <c r="N1815">
        <f>YEAR(Table1[[#This Row],[Date Created Conversion]])</f>
        <v>2014</v>
      </c>
      <c r="O1815" t="b">
        <v>0</v>
      </c>
      <c r="P1815">
        <v>0</v>
      </c>
      <c r="Q1815" t="b">
        <v>0</v>
      </c>
      <c r="R1815" t="s">
        <v>8285</v>
      </c>
      <c r="S1815" s="6">
        <f>Table1[[#This Row],[pledged]]/Table1[[#This Row],[goal]]</f>
        <v>0</v>
      </c>
      <c r="T1815" s="8" t="str">
        <f>IF(Table1[[#This Row],[pledged]]=0,"no backers",Table1[[#This Row],[pledged]]/Table1[[#This Row],[backers_count]])</f>
        <v>no backers</v>
      </c>
      <c r="U1815" t="str">
        <f>LEFT(Table1[[#This Row],[Category and Sub-Category]],FIND("/",Table1[[#This Row],[Category and Sub-Category]])-1)</f>
        <v>photography</v>
      </c>
      <c r="V1815" t="str">
        <f>RIGHT(Table1[[#This Row],[Category and Sub-Category]],LEN(Table1[[#This Row],[Category and Sub-Category]])-FIND("/",Table1[[#This Row],[Category and Sub-Category]]))</f>
        <v>photobooks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 s="12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>((Table1[[#This Row],[deadline]]/60)/60/24)+DATE(1970,1,1)</f>
        <v>42063.314074074078</v>
      </c>
      <c r="K1816">
        <v>1422516736</v>
      </c>
      <c r="L1816" s="11">
        <f>((Table1[[#This Row],[launched_at]]/60)/60/24)+DATE(1970,1,1)</f>
        <v>42033.314074074078</v>
      </c>
      <c r="M1816">
        <f>MONTH(Table1[[#This Row],[Date Created Conversion]])</f>
        <v>1</v>
      </c>
      <c r="N1816">
        <f>YEAR(Table1[[#This Row],[Date Created Conversion]])</f>
        <v>2015</v>
      </c>
      <c r="O1816" t="b">
        <v>0</v>
      </c>
      <c r="P1816">
        <v>140</v>
      </c>
      <c r="Q1816" t="b">
        <v>0</v>
      </c>
      <c r="R1816" t="s">
        <v>8285</v>
      </c>
      <c r="S1816" s="6">
        <f>Table1[[#This Row],[pledged]]/Table1[[#This Row],[goal]]</f>
        <v>0.49183333333333334</v>
      </c>
      <c r="T1816" s="8">
        <f>IF(Table1[[#This Row],[pledged]]=0,"no backers",Table1[[#This Row],[pledged]]/Table1[[#This Row],[backers_count]])</f>
        <v>42.157142857142858</v>
      </c>
      <c r="U1816" t="str">
        <f>LEFT(Table1[[#This Row],[Category and Sub-Category]],FIND("/",Table1[[#This Row],[Category and Sub-Category]])-1)</f>
        <v>photography</v>
      </c>
      <c r="V1816" t="str">
        <f>RIGHT(Table1[[#This Row],[Category and Sub-Category]],LEN(Table1[[#This Row],[Category and Sub-Category]])-FIND("/",Table1[[#This Row],[Category and Sub-Category]]))</f>
        <v>photobooks</v>
      </c>
    </row>
    <row r="1817" spans="1:22" ht="57.6" x14ac:dyDescent="0.3">
      <c r="A1817">
        <v>1815</v>
      </c>
      <c r="B1817" s="3" t="s">
        <v>1816</v>
      </c>
      <c r="C1817" s="3" t="s">
        <v>5925</v>
      </c>
      <c r="D1817" s="12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>((Table1[[#This Row],[deadline]]/60)/60/24)+DATE(1970,1,1)</f>
        <v>42186.906678240746</v>
      </c>
      <c r="K1817">
        <v>1434577537</v>
      </c>
      <c r="L1817" s="11">
        <f>((Table1[[#This Row],[launched_at]]/60)/60/24)+DATE(1970,1,1)</f>
        <v>42172.906678240746</v>
      </c>
      <c r="M1817">
        <f>MONTH(Table1[[#This Row],[Date Created Conversion]])</f>
        <v>6</v>
      </c>
      <c r="N1817">
        <f>YEAR(Table1[[#This Row],[Date Created Conversion]])</f>
        <v>2015</v>
      </c>
      <c r="O1817" t="b">
        <v>0</v>
      </c>
      <c r="P1817">
        <v>0</v>
      </c>
      <c r="Q1817" t="b">
        <v>0</v>
      </c>
      <c r="R1817" t="s">
        <v>8285</v>
      </c>
      <c r="S1817" s="6">
        <f>Table1[[#This Row],[pledged]]/Table1[[#This Row],[goal]]</f>
        <v>0</v>
      </c>
      <c r="T1817" s="8" t="str">
        <f>IF(Table1[[#This Row],[pledged]]=0,"no backers",Table1[[#This Row],[pledged]]/Table1[[#This Row],[backers_count]])</f>
        <v>no backers</v>
      </c>
      <c r="U1817" t="str">
        <f>LEFT(Table1[[#This Row],[Category and Sub-Category]],FIND("/",Table1[[#This Row],[Category and Sub-Category]])-1)</f>
        <v>photography</v>
      </c>
      <c r="V1817" t="str">
        <f>RIGHT(Table1[[#This Row],[Category and Sub-Category]],LEN(Table1[[#This Row],[Category and Sub-Category]])-FIND("/",Table1[[#This Row],[Category and Sub-Category]]))</f>
        <v>photobooks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 s="12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>((Table1[[#This Row],[deadline]]/60)/60/24)+DATE(1970,1,1)</f>
        <v>42576.791666666672</v>
      </c>
      <c r="K1818">
        <v>1467061303</v>
      </c>
      <c r="L1818" s="11">
        <f>((Table1[[#This Row],[launched_at]]/60)/60/24)+DATE(1970,1,1)</f>
        <v>42548.876192129625</v>
      </c>
      <c r="M1818">
        <f>MONTH(Table1[[#This Row],[Date Created Conversion]])</f>
        <v>6</v>
      </c>
      <c r="N1818">
        <f>YEAR(Table1[[#This Row],[Date Created Conversion]])</f>
        <v>2016</v>
      </c>
      <c r="O1818" t="b">
        <v>0</v>
      </c>
      <c r="P1818">
        <v>6</v>
      </c>
      <c r="Q1818" t="b">
        <v>0</v>
      </c>
      <c r="R1818" t="s">
        <v>8285</v>
      </c>
      <c r="S1818" s="6">
        <f>Table1[[#This Row],[pledged]]/Table1[[#This Row],[goal]]</f>
        <v>2.036E-2</v>
      </c>
      <c r="T1818" s="8">
        <f>IF(Table1[[#This Row],[pledged]]=0,"no backers",Table1[[#This Row],[pledged]]/Table1[[#This Row],[backers_count]])</f>
        <v>84.833333333333329</v>
      </c>
      <c r="U1818" t="str">
        <f>LEFT(Table1[[#This Row],[Category and Sub-Category]],FIND("/",Table1[[#This Row],[Category and Sub-Category]])-1)</f>
        <v>photography</v>
      </c>
      <c r="V1818" t="str">
        <f>RIGHT(Table1[[#This Row],[Category and Sub-Category]],LEN(Table1[[#This Row],[Category and Sub-Category]])-FIND("/",Table1[[#This Row],[Category and Sub-Category]]))</f>
        <v>photobooks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 s="12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>((Table1[[#This Row],[deadline]]/60)/60/24)+DATE(1970,1,1)</f>
        <v>42765.290972222225</v>
      </c>
      <c r="K1819">
        <v>1480607607</v>
      </c>
      <c r="L1819" s="11">
        <f>((Table1[[#This Row],[launched_at]]/60)/60/24)+DATE(1970,1,1)</f>
        <v>42705.662118055552</v>
      </c>
      <c r="M1819">
        <f>MONTH(Table1[[#This Row],[Date Created Conversion]])</f>
        <v>12</v>
      </c>
      <c r="N1819">
        <f>YEAR(Table1[[#This Row],[Date Created Conversion]])</f>
        <v>2016</v>
      </c>
      <c r="O1819" t="b">
        <v>0</v>
      </c>
      <c r="P1819">
        <v>100</v>
      </c>
      <c r="Q1819" t="b">
        <v>0</v>
      </c>
      <c r="R1819" t="s">
        <v>8285</v>
      </c>
      <c r="S1819" s="6">
        <f>Table1[[#This Row],[pledged]]/Table1[[#This Row],[goal]]</f>
        <v>0.52327777777777773</v>
      </c>
      <c r="T1819" s="8">
        <f>IF(Table1[[#This Row],[pledged]]=0,"no backers",Table1[[#This Row],[pledged]]/Table1[[#This Row],[backers_count]])</f>
        <v>94.19</v>
      </c>
      <c r="U1819" t="str">
        <f>LEFT(Table1[[#This Row],[Category and Sub-Category]],FIND("/",Table1[[#This Row],[Category and Sub-Category]])-1)</f>
        <v>photography</v>
      </c>
      <c r="V1819" t="str">
        <f>RIGHT(Table1[[#This Row],[Category and Sub-Category]],LEN(Table1[[#This Row],[Category and Sub-Category]])-FIND("/",Table1[[#This Row],[Category and Sub-Category]]))</f>
        <v>photobooks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 s="12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>((Table1[[#This Row],[deadline]]/60)/60/24)+DATE(1970,1,1)</f>
        <v>42097.192708333328</v>
      </c>
      <c r="K1820">
        <v>1425447450</v>
      </c>
      <c r="L1820" s="11">
        <f>((Table1[[#This Row],[launched_at]]/60)/60/24)+DATE(1970,1,1)</f>
        <v>42067.234375</v>
      </c>
      <c r="M1820">
        <f>MONTH(Table1[[#This Row],[Date Created Conversion]])</f>
        <v>3</v>
      </c>
      <c r="N1820">
        <f>YEAR(Table1[[#This Row],[Date Created Conversion]])</f>
        <v>2015</v>
      </c>
      <c r="O1820" t="b">
        <v>0</v>
      </c>
      <c r="P1820">
        <v>0</v>
      </c>
      <c r="Q1820" t="b">
        <v>0</v>
      </c>
      <c r="R1820" t="s">
        <v>8285</v>
      </c>
      <c r="S1820" s="6">
        <f>Table1[[#This Row],[pledged]]/Table1[[#This Row],[goal]]</f>
        <v>0</v>
      </c>
      <c r="T1820" s="8" t="str">
        <f>IF(Table1[[#This Row],[pledged]]=0,"no backers",Table1[[#This Row],[pledged]]/Table1[[#This Row],[backers_count]])</f>
        <v>no backers</v>
      </c>
      <c r="U1820" t="str">
        <f>LEFT(Table1[[#This Row],[Category and Sub-Category]],FIND("/",Table1[[#This Row],[Category and Sub-Category]])-1)</f>
        <v>photography</v>
      </c>
      <c r="V1820" t="str">
        <f>RIGHT(Table1[[#This Row],[Category and Sub-Category]],LEN(Table1[[#This Row],[Category and Sub-Category]])-FIND("/",Table1[[#This Row],[Category and Sub-Category]]))</f>
        <v>photobooks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 s="12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>((Table1[[#This Row],[deadline]]/60)/60/24)+DATE(1970,1,1)</f>
        <v>41850.752268518518</v>
      </c>
      <c r="K1821">
        <v>1404151396</v>
      </c>
      <c r="L1821" s="11">
        <f>((Table1[[#This Row],[launched_at]]/60)/60/24)+DATE(1970,1,1)</f>
        <v>41820.752268518518</v>
      </c>
      <c r="M1821">
        <f>MONTH(Table1[[#This Row],[Date Created Conversion]])</f>
        <v>6</v>
      </c>
      <c r="N1821">
        <f>YEAR(Table1[[#This Row],[Date Created Conversion]])</f>
        <v>2014</v>
      </c>
      <c r="O1821" t="b">
        <v>0</v>
      </c>
      <c r="P1821">
        <v>4</v>
      </c>
      <c r="Q1821" t="b">
        <v>0</v>
      </c>
      <c r="R1821" t="s">
        <v>8285</v>
      </c>
      <c r="S1821" s="6">
        <f>Table1[[#This Row],[pledged]]/Table1[[#This Row],[goal]]</f>
        <v>2.0833333333333332E-2</v>
      </c>
      <c r="T1821" s="8">
        <f>IF(Table1[[#This Row],[pledged]]=0,"no backers",Table1[[#This Row],[pledged]]/Table1[[#This Row],[backers_count]])</f>
        <v>6.25</v>
      </c>
      <c r="U1821" t="str">
        <f>LEFT(Table1[[#This Row],[Category and Sub-Category]],FIND("/",Table1[[#This Row],[Category and Sub-Category]])-1)</f>
        <v>photography</v>
      </c>
      <c r="V1821" t="str">
        <f>RIGHT(Table1[[#This Row],[Category and Sub-Category]],LEN(Table1[[#This Row],[Category and Sub-Category]])-FIND("/",Table1[[#This Row],[Category and Sub-Category]]))</f>
        <v>photobooks</v>
      </c>
    </row>
    <row r="1822" spans="1:22" ht="57.6" x14ac:dyDescent="0.3">
      <c r="A1822">
        <v>1820</v>
      </c>
      <c r="B1822" s="3" t="s">
        <v>1821</v>
      </c>
      <c r="C1822" s="3" t="s">
        <v>5930</v>
      </c>
      <c r="D1822" s="1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>((Table1[[#This Row],[deadline]]/60)/60/24)+DATE(1970,1,1)</f>
        <v>42095.042708333334</v>
      </c>
      <c r="K1822">
        <v>1425261690</v>
      </c>
      <c r="L1822" s="11">
        <f>((Table1[[#This Row],[launched_at]]/60)/60/24)+DATE(1970,1,1)</f>
        <v>42065.084375000006</v>
      </c>
      <c r="M1822">
        <f>MONTH(Table1[[#This Row],[Date Created Conversion]])</f>
        <v>3</v>
      </c>
      <c r="N1822">
        <f>YEAR(Table1[[#This Row],[Date Created Conversion]])</f>
        <v>2015</v>
      </c>
      <c r="O1822" t="b">
        <v>0</v>
      </c>
      <c r="P1822">
        <v>8</v>
      </c>
      <c r="Q1822" t="b">
        <v>0</v>
      </c>
      <c r="R1822" t="s">
        <v>8285</v>
      </c>
      <c r="S1822" s="6">
        <f>Table1[[#This Row],[pledged]]/Table1[[#This Row],[goal]]</f>
        <v>6.565384615384616E-2</v>
      </c>
      <c r="T1822" s="8">
        <f>IF(Table1[[#This Row],[pledged]]=0,"no backers",Table1[[#This Row],[pledged]]/Table1[[#This Row],[backers_count]])</f>
        <v>213.375</v>
      </c>
      <c r="U1822" t="str">
        <f>LEFT(Table1[[#This Row],[Category and Sub-Category]],FIND("/",Table1[[#This Row],[Category and Sub-Category]])-1)</f>
        <v>photography</v>
      </c>
      <c r="V1822" t="str">
        <f>RIGHT(Table1[[#This Row],[Category and Sub-Category]],LEN(Table1[[#This Row],[Category and Sub-Category]])-FIND("/",Table1[[#This Row],[Category and Sub-Category]]))</f>
        <v>photobooks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 s="12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>((Table1[[#This Row],[deadline]]/60)/60/24)+DATE(1970,1,1)</f>
        <v>40971.319062499999</v>
      </c>
      <c r="K1823">
        <v>1326872367</v>
      </c>
      <c r="L1823" s="11">
        <f>((Table1[[#This Row],[launched_at]]/60)/60/24)+DATE(1970,1,1)</f>
        <v>40926.319062499999</v>
      </c>
      <c r="M1823">
        <f>MONTH(Table1[[#This Row],[Date Created Conversion]])</f>
        <v>1</v>
      </c>
      <c r="N1823">
        <f>YEAR(Table1[[#This Row],[Date Created Conversion]])</f>
        <v>2012</v>
      </c>
      <c r="O1823" t="b">
        <v>0</v>
      </c>
      <c r="P1823">
        <v>57</v>
      </c>
      <c r="Q1823" t="b">
        <v>1</v>
      </c>
      <c r="R1823" t="s">
        <v>8276</v>
      </c>
      <c r="S1823" s="6">
        <f>Table1[[#This Row],[pledged]]/Table1[[#This Row],[goal]]</f>
        <v>1.3489</v>
      </c>
      <c r="T1823" s="8">
        <f>IF(Table1[[#This Row],[pledged]]=0,"no backers",Table1[[#This Row],[pledged]]/Table1[[#This Row],[backers_count]])</f>
        <v>59.162280701754383</v>
      </c>
      <c r="U1823" t="str">
        <f>LEFT(Table1[[#This Row],[Category and Sub-Category]],FIND("/",Table1[[#This Row],[Category and Sub-Category]])-1)</f>
        <v>music</v>
      </c>
      <c r="V1823" t="str">
        <f>RIGHT(Table1[[#This Row],[Category and Sub-Category]],LEN(Table1[[#This Row],[Category and Sub-Category]])-FIND("/",Table1[[#This Row],[Category and Sub-Category]]))</f>
        <v>rock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 s="12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>((Table1[[#This Row],[deadline]]/60)/60/24)+DATE(1970,1,1)</f>
        <v>41670.792361111111</v>
      </c>
      <c r="K1824">
        <v>1388084862</v>
      </c>
      <c r="L1824" s="11">
        <f>((Table1[[#This Row],[launched_at]]/60)/60/24)+DATE(1970,1,1)</f>
        <v>41634.797013888885</v>
      </c>
      <c r="M1824">
        <f>MONTH(Table1[[#This Row],[Date Created Conversion]])</f>
        <v>12</v>
      </c>
      <c r="N1824">
        <f>YEAR(Table1[[#This Row],[Date Created Conversion]])</f>
        <v>2013</v>
      </c>
      <c r="O1824" t="b">
        <v>0</v>
      </c>
      <c r="P1824">
        <v>11</v>
      </c>
      <c r="Q1824" t="b">
        <v>1</v>
      </c>
      <c r="R1824" t="s">
        <v>8276</v>
      </c>
      <c r="S1824" s="6">
        <f>Table1[[#This Row],[pledged]]/Table1[[#This Row],[goal]]</f>
        <v>1</v>
      </c>
      <c r="T1824" s="8">
        <f>IF(Table1[[#This Row],[pledged]]=0,"no backers",Table1[[#This Row],[pledged]]/Table1[[#This Row],[backers_count]])</f>
        <v>27.272727272727273</v>
      </c>
      <c r="U1824" t="str">
        <f>LEFT(Table1[[#This Row],[Category and Sub-Category]],FIND("/",Table1[[#This Row],[Category and Sub-Category]])-1)</f>
        <v>music</v>
      </c>
      <c r="V1824" t="str">
        <f>RIGHT(Table1[[#This Row],[Category and Sub-Category]],LEN(Table1[[#This Row],[Category and Sub-Category]])-FIND("/",Table1[[#This Row],[Category and Sub-Category]]))</f>
        <v>rock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 s="12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>((Table1[[#This Row],[deadline]]/60)/60/24)+DATE(1970,1,1)</f>
        <v>41206.684907407405</v>
      </c>
      <c r="K1825">
        <v>1348503976</v>
      </c>
      <c r="L1825" s="11">
        <f>((Table1[[#This Row],[launched_at]]/60)/60/24)+DATE(1970,1,1)</f>
        <v>41176.684907407405</v>
      </c>
      <c r="M1825">
        <f>MONTH(Table1[[#This Row],[Date Created Conversion]])</f>
        <v>9</v>
      </c>
      <c r="N1825">
        <f>YEAR(Table1[[#This Row],[Date Created Conversion]])</f>
        <v>2012</v>
      </c>
      <c r="O1825" t="b">
        <v>0</v>
      </c>
      <c r="P1825">
        <v>33</v>
      </c>
      <c r="Q1825" t="b">
        <v>1</v>
      </c>
      <c r="R1825" t="s">
        <v>8276</v>
      </c>
      <c r="S1825" s="6">
        <f>Table1[[#This Row],[pledged]]/Table1[[#This Row],[goal]]</f>
        <v>1.1585714285714286</v>
      </c>
      <c r="T1825" s="8">
        <f>IF(Table1[[#This Row],[pledged]]=0,"no backers",Table1[[#This Row],[pledged]]/Table1[[#This Row],[backers_count]])</f>
        <v>24.575757575757574</v>
      </c>
      <c r="U1825" t="str">
        <f>LEFT(Table1[[#This Row],[Category and Sub-Category]],FIND("/",Table1[[#This Row],[Category and Sub-Category]])-1)</f>
        <v>music</v>
      </c>
      <c r="V1825" t="str">
        <f>RIGHT(Table1[[#This Row],[Category and Sub-Category]],LEN(Table1[[#This Row],[Category and Sub-Category]])-FIND("/",Table1[[#This Row],[Category and Sub-Category]]))</f>
        <v>rock</v>
      </c>
    </row>
    <row r="1826" spans="1:22" x14ac:dyDescent="0.3">
      <c r="A1826">
        <v>1824</v>
      </c>
      <c r="B1826" s="3" t="s">
        <v>1825</v>
      </c>
      <c r="C1826" s="3" t="s">
        <v>5934</v>
      </c>
      <c r="D1826" s="12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>((Table1[[#This Row],[deadline]]/60)/60/24)+DATE(1970,1,1)</f>
        <v>41647.088888888888</v>
      </c>
      <c r="K1826">
        <v>1387403967</v>
      </c>
      <c r="L1826" s="11">
        <f>((Table1[[#This Row],[launched_at]]/60)/60/24)+DATE(1970,1,1)</f>
        <v>41626.916284722225</v>
      </c>
      <c r="M1826">
        <f>MONTH(Table1[[#This Row],[Date Created Conversion]])</f>
        <v>12</v>
      </c>
      <c r="N1826">
        <f>YEAR(Table1[[#This Row],[Date Created Conversion]])</f>
        <v>2013</v>
      </c>
      <c r="O1826" t="b">
        <v>0</v>
      </c>
      <c r="P1826">
        <v>40</v>
      </c>
      <c r="Q1826" t="b">
        <v>1</v>
      </c>
      <c r="R1826" t="s">
        <v>8276</v>
      </c>
      <c r="S1826" s="6">
        <f>Table1[[#This Row],[pledged]]/Table1[[#This Row],[goal]]</f>
        <v>1.0006666666666666</v>
      </c>
      <c r="T1826" s="8">
        <f>IF(Table1[[#This Row],[pledged]]=0,"no backers",Table1[[#This Row],[pledged]]/Table1[[#This Row],[backers_count]])</f>
        <v>75.05</v>
      </c>
      <c r="U1826" t="str">
        <f>LEFT(Table1[[#This Row],[Category and Sub-Category]],FIND("/",Table1[[#This Row],[Category and Sub-Category]])-1)</f>
        <v>music</v>
      </c>
      <c r="V1826" t="str">
        <f>RIGHT(Table1[[#This Row],[Category and Sub-Category]],LEN(Table1[[#This Row],[Category and Sub-Category]])-FIND("/",Table1[[#This Row],[Category and Sub-Category]]))</f>
        <v>rock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 s="12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>((Table1[[#This Row],[deadline]]/60)/60/24)+DATE(1970,1,1)</f>
        <v>41466.83452546296</v>
      </c>
      <c r="K1827">
        <v>1371585703</v>
      </c>
      <c r="L1827" s="11">
        <f>((Table1[[#This Row],[launched_at]]/60)/60/24)+DATE(1970,1,1)</f>
        <v>41443.83452546296</v>
      </c>
      <c r="M1827">
        <f>MONTH(Table1[[#This Row],[Date Created Conversion]])</f>
        <v>6</v>
      </c>
      <c r="N1827">
        <f>YEAR(Table1[[#This Row],[Date Created Conversion]])</f>
        <v>2013</v>
      </c>
      <c r="O1827" t="b">
        <v>0</v>
      </c>
      <c r="P1827">
        <v>50</v>
      </c>
      <c r="Q1827" t="b">
        <v>1</v>
      </c>
      <c r="R1827" t="s">
        <v>8276</v>
      </c>
      <c r="S1827" s="6">
        <f>Table1[[#This Row],[pledged]]/Table1[[#This Row],[goal]]</f>
        <v>1.0505</v>
      </c>
      <c r="T1827" s="8">
        <f>IF(Table1[[#This Row],[pledged]]=0,"no backers",Table1[[#This Row],[pledged]]/Table1[[#This Row],[backers_count]])</f>
        <v>42.02</v>
      </c>
      <c r="U1827" t="str">
        <f>LEFT(Table1[[#This Row],[Category and Sub-Category]],FIND("/",Table1[[#This Row],[Category and Sub-Category]])-1)</f>
        <v>music</v>
      </c>
      <c r="V1827" t="str">
        <f>RIGHT(Table1[[#This Row],[Category and Sub-Category]],LEN(Table1[[#This Row],[Category and Sub-Category]])-FIND("/",Table1[[#This Row],[Category and Sub-Category]]))</f>
        <v>rock</v>
      </c>
    </row>
    <row r="1828" spans="1:22" ht="28.8" x14ac:dyDescent="0.3">
      <c r="A1828">
        <v>1826</v>
      </c>
      <c r="B1828" s="3" t="s">
        <v>1827</v>
      </c>
      <c r="C1828" s="3" t="s">
        <v>5936</v>
      </c>
      <c r="D1828" s="12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>((Table1[[#This Row],[deadline]]/60)/60/24)+DATE(1970,1,1)</f>
        <v>41687.923807870371</v>
      </c>
      <c r="K1828">
        <v>1390083017</v>
      </c>
      <c r="L1828" s="11">
        <f>((Table1[[#This Row],[launched_at]]/60)/60/24)+DATE(1970,1,1)</f>
        <v>41657.923807870371</v>
      </c>
      <c r="M1828">
        <f>MONTH(Table1[[#This Row],[Date Created Conversion]])</f>
        <v>1</v>
      </c>
      <c r="N1828">
        <f>YEAR(Table1[[#This Row],[Date Created Conversion]])</f>
        <v>2014</v>
      </c>
      <c r="O1828" t="b">
        <v>0</v>
      </c>
      <c r="P1828">
        <v>38</v>
      </c>
      <c r="Q1828" t="b">
        <v>1</v>
      </c>
      <c r="R1828" t="s">
        <v>8276</v>
      </c>
      <c r="S1828" s="6">
        <f>Table1[[#This Row],[pledged]]/Table1[[#This Row],[goal]]</f>
        <v>1.01</v>
      </c>
      <c r="T1828" s="8">
        <f>IF(Table1[[#This Row],[pledged]]=0,"no backers",Table1[[#This Row],[pledged]]/Table1[[#This Row],[backers_count]])</f>
        <v>53.157894736842103</v>
      </c>
      <c r="U1828" t="str">
        <f>LEFT(Table1[[#This Row],[Category and Sub-Category]],FIND("/",Table1[[#This Row],[Category and Sub-Category]])-1)</f>
        <v>music</v>
      </c>
      <c r="V1828" t="str">
        <f>RIGHT(Table1[[#This Row],[Category and Sub-Category]],LEN(Table1[[#This Row],[Category and Sub-Category]])-FIND("/",Table1[[#This Row],[Category and Sub-Category]]))</f>
        <v>rock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 s="12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>((Table1[[#This Row],[deadline]]/60)/60/24)+DATE(1970,1,1)</f>
        <v>40605.325937499998</v>
      </c>
      <c r="K1829">
        <v>1294818561</v>
      </c>
      <c r="L1829" s="11">
        <f>((Table1[[#This Row],[launched_at]]/60)/60/24)+DATE(1970,1,1)</f>
        <v>40555.325937499998</v>
      </c>
      <c r="M1829">
        <f>MONTH(Table1[[#This Row],[Date Created Conversion]])</f>
        <v>1</v>
      </c>
      <c r="N1829">
        <f>YEAR(Table1[[#This Row],[Date Created Conversion]])</f>
        <v>2011</v>
      </c>
      <c r="O1829" t="b">
        <v>0</v>
      </c>
      <c r="P1829">
        <v>96</v>
      </c>
      <c r="Q1829" t="b">
        <v>1</v>
      </c>
      <c r="R1829" t="s">
        <v>8276</v>
      </c>
      <c r="S1829" s="6">
        <f>Table1[[#This Row],[pledged]]/Table1[[#This Row],[goal]]</f>
        <v>1.0066250000000001</v>
      </c>
      <c r="T1829" s="8">
        <f>IF(Table1[[#This Row],[pledged]]=0,"no backers",Table1[[#This Row],[pledged]]/Table1[[#This Row],[backers_count]])</f>
        <v>83.885416666666671</v>
      </c>
      <c r="U1829" t="str">
        <f>LEFT(Table1[[#This Row],[Category and Sub-Category]],FIND("/",Table1[[#This Row],[Category and Sub-Category]])-1)</f>
        <v>music</v>
      </c>
      <c r="V1829" t="str">
        <f>RIGHT(Table1[[#This Row],[Category and Sub-Category]],LEN(Table1[[#This Row],[Category and Sub-Category]])-FIND("/",Table1[[#This Row],[Category and Sub-Category]]))</f>
        <v>rock</v>
      </c>
    </row>
    <row r="1830" spans="1:22" ht="57.6" x14ac:dyDescent="0.3">
      <c r="A1830">
        <v>1828</v>
      </c>
      <c r="B1830" s="3" t="s">
        <v>1829</v>
      </c>
      <c r="C1830" s="3" t="s">
        <v>5938</v>
      </c>
      <c r="D1830" s="12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>((Table1[[#This Row],[deadline]]/60)/60/24)+DATE(1970,1,1)</f>
        <v>41768.916666666664</v>
      </c>
      <c r="K1830">
        <v>1396906530</v>
      </c>
      <c r="L1830" s="11">
        <f>((Table1[[#This Row],[launched_at]]/60)/60/24)+DATE(1970,1,1)</f>
        <v>41736.899652777778</v>
      </c>
      <c r="M1830">
        <f>MONTH(Table1[[#This Row],[Date Created Conversion]])</f>
        <v>4</v>
      </c>
      <c r="N1830">
        <f>YEAR(Table1[[#This Row],[Date Created Conversion]])</f>
        <v>2014</v>
      </c>
      <c r="O1830" t="b">
        <v>0</v>
      </c>
      <c r="P1830">
        <v>48</v>
      </c>
      <c r="Q1830" t="b">
        <v>1</v>
      </c>
      <c r="R1830" t="s">
        <v>8276</v>
      </c>
      <c r="S1830" s="6">
        <f>Table1[[#This Row],[pledged]]/Table1[[#This Row],[goal]]</f>
        <v>1.0016</v>
      </c>
      <c r="T1830" s="8">
        <f>IF(Table1[[#This Row],[pledged]]=0,"no backers",Table1[[#This Row],[pledged]]/Table1[[#This Row],[backers_count]])</f>
        <v>417.33333333333331</v>
      </c>
      <c r="U1830" t="str">
        <f>LEFT(Table1[[#This Row],[Category and Sub-Category]],FIND("/",Table1[[#This Row],[Category and Sub-Category]])-1)</f>
        <v>music</v>
      </c>
      <c r="V1830" t="str">
        <f>RIGHT(Table1[[#This Row],[Category and Sub-Category]],LEN(Table1[[#This Row],[Category and Sub-Category]])-FIND("/",Table1[[#This Row],[Category and Sub-Category]]))</f>
        <v>rock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 s="12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>((Table1[[#This Row],[deadline]]/60)/60/24)+DATE(1970,1,1)</f>
        <v>40564.916666666664</v>
      </c>
      <c r="K1831">
        <v>1291428371</v>
      </c>
      <c r="L1831" s="11">
        <f>((Table1[[#This Row],[launched_at]]/60)/60/24)+DATE(1970,1,1)</f>
        <v>40516.087627314817</v>
      </c>
      <c r="M1831">
        <f>MONTH(Table1[[#This Row],[Date Created Conversion]])</f>
        <v>12</v>
      </c>
      <c r="N1831">
        <f>YEAR(Table1[[#This Row],[Date Created Conversion]])</f>
        <v>2010</v>
      </c>
      <c r="O1831" t="b">
        <v>0</v>
      </c>
      <c r="P1831">
        <v>33</v>
      </c>
      <c r="Q1831" t="b">
        <v>1</v>
      </c>
      <c r="R1831" t="s">
        <v>8276</v>
      </c>
      <c r="S1831" s="6">
        <f>Table1[[#This Row],[pledged]]/Table1[[#This Row],[goal]]</f>
        <v>1.6668333333333334</v>
      </c>
      <c r="T1831" s="8">
        <f>IF(Table1[[#This Row],[pledged]]=0,"no backers",Table1[[#This Row],[pledged]]/Table1[[#This Row],[backers_count]])</f>
        <v>75.765151515151516</v>
      </c>
      <c r="U1831" t="str">
        <f>LEFT(Table1[[#This Row],[Category and Sub-Category]],FIND("/",Table1[[#This Row],[Category and Sub-Category]])-1)</f>
        <v>music</v>
      </c>
      <c r="V1831" t="str">
        <f>RIGHT(Table1[[#This Row],[Category and Sub-Category]],LEN(Table1[[#This Row],[Category and Sub-Category]])-FIND("/",Table1[[#This Row],[Category and Sub-Category]]))</f>
        <v>rock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 s="1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>((Table1[[#This Row],[deadline]]/60)/60/24)+DATE(1970,1,1)</f>
        <v>41694.684108796297</v>
      </c>
      <c r="K1832">
        <v>1390667107</v>
      </c>
      <c r="L1832" s="11">
        <f>((Table1[[#This Row],[launched_at]]/60)/60/24)+DATE(1970,1,1)</f>
        <v>41664.684108796297</v>
      </c>
      <c r="M1832">
        <f>MONTH(Table1[[#This Row],[Date Created Conversion]])</f>
        <v>1</v>
      </c>
      <c r="N1832">
        <f>YEAR(Table1[[#This Row],[Date Created Conversion]])</f>
        <v>2014</v>
      </c>
      <c r="O1832" t="b">
        <v>0</v>
      </c>
      <c r="P1832">
        <v>226</v>
      </c>
      <c r="Q1832" t="b">
        <v>1</v>
      </c>
      <c r="R1832" t="s">
        <v>8276</v>
      </c>
      <c r="S1832" s="6">
        <f>Table1[[#This Row],[pledged]]/Table1[[#This Row],[goal]]</f>
        <v>1.0153333333333334</v>
      </c>
      <c r="T1832" s="8">
        <f>IF(Table1[[#This Row],[pledged]]=0,"no backers",Table1[[#This Row],[pledged]]/Table1[[#This Row],[backers_count]])</f>
        <v>67.389380530973455</v>
      </c>
      <c r="U1832" t="str">
        <f>LEFT(Table1[[#This Row],[Category and Sub-Category]],FIND("/",Table1[[#This Row],[Category and Sub-Category]])-1)</f>
        <v>music</v>
      </c>
      <c r="V1832" t="str">
        <f>RIGHT(Table1[[#This Row],[Category and Sub-Category]],LEN(Table1[[#This Row],[Category and Sub-Category]])-FIND("/",Table1[[#This Row],[Category and Sub-Category]]))</f>
        <v>rock</v>
      </c>
    </row>
    <row r="1833" spans="1:22" ht="43.2" x14ac:dyDescent="0.3">
      <c r="A1833">
        <v>1831</v>
      </c>
      <c r="B1833" s="3" t="s">
        <v>1832</v>
      </c>
      <c r="C1833" s="3" t="s">
        <v>5941</v>
      </c>
      <c r="D1833" s="12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>((Table1[[#This Row],[deadline]]/60)/60/24)+DATE(1970,1,1)</f>
        <v>41041.996099537035</v>
      </c>
      <c r="K1833">
        <v>1335570863</v>
      </c>
      <c r="L1833" s="11">
        <f>((Table1[[#This Row],[launched_at]]/60)/60/24)+DATE(1970,1,1)</f>
        <v>41026.996099537035</v>
      </c>
      <c r="M1833">
        <f>MONTH(Table1[[#This Row],[Date Created Conversion]])</f>
        <v>4</v>
      </c>
      <c r="N1833">
        <f>YEAR(Table1[[#This Row],[Date Created Conversion]])</f>
        <v>2012</v>
      </c>
      <c r="O1833" t="b">
        <v>0</v>
      </c>
      <c r="P1833">
        <v>14</v>
      </c>
      <c r="Q1833" t="b">
        <v>1</v>
      </c>
      <c r="R1833" t="s">
        <v>8276</v>
      </c>
      <c r="S1833" s="6">
        <f>Table1[[#This Row],[pledged]]/Table1[[#This Row],[goal]]</f>
        <v>1.03</v>
      </c>
      <c r="T1833" s="8">
        <f>IF(Table1[[#This Row],[pledged]]=0,"no backers",Table1[[#This Row],[pledged]]/Table1[[#This Row],[backers_count]])</f>
        <v>73.571428571428569</v>
      </c>
      <c r="U1833" t="str">
        <f>LEFT(Table1[[#This Row],[Category and Sub-Category]],FIND("/",Table1[[#This Row],[Category and Sub-Category]])-1)</f>
        <v>music</v>
      </c>
      <c r="V1833" t="str">
        <f>RIGHT(Table1[[#This Row],[Category and Sub-Category]],LEN(Table1[[#This Row],[Category and Sub-Category]])-FIND("/",Table1[[#This Row],[Category and Sub-Category]]))</f>
        <v>rock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 s="12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>((Table1[[#This Row],[deadline]]/60)/60/24)+DATE(1970,1,1)</f>
        <v>40606.539664351854</v>
      </c>
      <c r="K1834">
        <v>1296651427</v>
      </c>
      <c r="L1834" s="11">
        <f>((Table1[[#This Row],[launched_at]]/60)/60/24)+DATE(1970,1,1)</f>
        <v>40576.539664351854</v>
      </c>
      <c r="M1834">
        <f>MONTH(Table1[[#This Row],[Date Created Conversion]])</f>
        <v>2</v>
      </c>
      <c r="N1834">
        <f>YEAR(Table1[[#This Row],[Date Created Conversion]])</f>
        <v>2011</v>
      </c>
      <c r="O1834" t="b">
        <v>0</v>
      </c>
      <c r="P1834">
        <v>20</v>
      </c>
      <c r="Q1834" t="b">
        <v>1</v>
      </c>
      <c r="R1834" t="s">
        <v>8276</v>
      </c>
      <c r="S1834" s="6">
        <f>Table1[[#This Row],[pledged]]/Table1[[#This Row],[goal]]</f>
        <v>1.4285714285714286</v>
      </c>
      <c r="T1834" s="8">
        <f>IF(Table1[[#This Row],[pledged]]=0,"no backers",Table1[[#This Row],[pledged]]/Table1[[#This Row],[backers_count]])</f>
        <v>25</v>
      </c>
      <c r="U1834" t="str">
        <f>LEFT(Table1[[#This Row],[Category and Sub-Category]],FIND("/",Table1[[#This Row],[Category and Sub-Category]])-1)</f>
        <v>music</v>
      </c>
      <c r="V1834" t="str">
        <f>RIGHT(Table1[[#This Row],[Category and Sub-Category]],LEN(Table1[[#This Row],[Category and Sub-Category]])-FIND("/",Table1[[#This Row],[Category and Sub-Category]]))</f>
        <v>rock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 s="12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>((Table1[[#This Row],[deadline]]/60)/60/24)+DATE(1970,1,1)</f>
        <v>41335.332638888889</v>
      </c>
      <c r="K1835">
        <v>1359421403</v>
      </c>
      <c r="L1835" s="11">
        <f>((Table1[[#This Row],[launched_at]]/60)/60/24)+DATE(1970,1,1)</f>
        <v>41303.044016203705</v>
      </c>
      <c r="M1835">
        <f>MONTH(Table1[[#This Row],[Date Created Conversion]])</f>
        <v>1</v>
      </c>
      <c r="N1835">
        <f>YEAR(Table1[[#This Row],[Date Created Conversion]])</f>
        <v>2013</v>
      </c>
      <c r="O1835" t="b">
        <v>0</v>
      </c>
      <c r="P1835">
        <v>25</v>
      </c>
      <c r="Q1835" t="b">
        <v>1</v>
      </c>
      <c r="R1835" t="s">
        <v>8276</v>
      </c>
      <c r="S1835" s="6">
        <f>Table1[[#This Row],[pledged]]/Table1[[#This Row],[goal]]</f>
        <v>2.625</v>
      </c>
      <c r="T1835" s="8">
        <f>IF(Table1[[#This Row],[pledged]]=0,"no backers",Table1[[#This Row],[pledged]]/Table1[[#This Row],[backers_count]])</f>
        <v>42</v>
      </c>
      <c r="U1835" t="str">
        <f>LEFT(Table1[[#This Row],[Category and Sub-Category]],FIND("/",Table1[[#This Row],[Category and Sub-Category]])-1)</f>
        <v>music</v>
      </c>
      <c r="V1835" t="str">
        <f>RIGHT(Table1[[#This Row],[Category and Sub-Category]],LEN(Table1[[#This Row],[Category and Sub-Category]])-FIND("/",Table1[[#This Row],[Category and Sub-Category]]))</f>
        <v>rock</v>
      </c>
    </row>
    <row r="1836" spans="1:22" ht="28.8" x14ac:dyDescent="0.3">
      <c r="A1836">
        <v>1834</v>
      </c>
      <c r="B1836" s="3" t="s">
        <v>1835</v>
      </c>
      <c r="C1836" s="3" t="s">
        <v>5944</v>
      </c>
      <c r="D1836" s="12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>((Table1[[#This Row],[deadline]]/60)/60/24)+DATE(1970,1,1)</f>
        <v>42028.964062500003</v>
      </c>
      <c r="K1836">
        <v>1418684895</v>
      </c>
      <c r="L1836" s="11">
        <f>((Table1[[#This Row],[launched_at]]/60)/60/24)+DATE(1970,1,1)</f>
        <v>41988.964062500003</v>
      </c>
      <c r="M1836">
        <f>MONTH(Table1[[#This Row],[Date Created Conversion]])</f>
        <v>12</v>
      </c>
      <c r="N1836">
        <f>YEAR(Table1[[#This Row],[Date Created Conversion]])</f>
        <v>2014</v>
      </c>
      <c r="O1836" t="b">
        <v>0</v>
      </c>
      <c r="P1836">
        <v>90</v>
      </c>
      <c r="Q1836" t="b">
        <v>1</v>
      </c>
      <c r="R1836" t="s">
        <v>8276</v>
      </c>
      <c r="S1836" s="6">
        <f>Table1[[#This Row],[pledged]]/Table1[[#This Row],[goal]]</f>
        <v>1.1805000000000001</v>
      </c>
      <c r="T1836" s="8">
        <f>IF(Table1[[#This Row],[pledged]]=0,"no backers",Table1[[#This Row],[pledged]]/Table1[[#This Row],[backers_count]])</f>
        <v>131.16666666666666</v>
      </c>
      <c r="U1836" t="str">
        <f>LEFT(Table1[[#This Row],[Category and Sub-Category]],FIND("/",Table1[[#This Row],[Category and Sub-Category]])-1)</f>
        <v>music</v>
      </c>
      <c r="V1836" t="str">
        <f>RIGHT(Table1[[#This Row],[Category and Sub-Category]],LEN(Table1[[#This Row],[Category and Sub-Category]])-FIND("/",Table1[[#This Row],[Category and Sub-Category]]))</f>
        <v>rock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 s="12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>((Table1[[#This Row],[deadline]]/60)/60/24)+DATE(1970,1,1)</f>
        <v>42460.660543981481</v>
      </c>
      <c r="K1837">
        <v>1456851071</v>
      </c>
      <c r="L1837" s="11">
        <f>((Table1[[#This Row],[launched_at]]/60)/60/24)+DATE(1970,1,1)</f>
        <v>42430.702210648145</v>
      </c>
      <c r="M1837">
        <f>MONTH(Table1[[#This Row],[Date Created Conversion]])</f>
        <v>3</v>
      </c>
      <c r="N1837">
        <f>YEAR(Table1[[#This Row],[Date Created Conversion]])</f>
        <v>2016</v>
      </c>
      <c r="O1837" t="b">
        <v>0</v>
      </c>
      <c r="P1837">
        <v>11</v>
      </c>
      <c r="Q1837" t="b">
        <v>1</v>
      </c>
      <c r="R1837" t="s">
        <v>8276</v>
      </c>
      <c r="S1837" s="6">
        <f>Table1[[#This Row],[pledged]]/Table1[[#This Row],[goal]]</f>
        <v>1.04</v>
      </c>
      <c r="T1837" s="8">
        <f>IF(Table1[[#This Row],[pledged]]=0,"no backers",Table1[[#This Row],[pledged]]/Table1[[#This Row],[backers_count]])</f>
        <v>47.272727272727273</v>
      </c>
      <c r="U1837" t="str">
        <f>LEFT(Table1[[#This Row],[Category and Sub-Category]],FIND("/",Table1[[#This Row],[Category and Sub-Category]])-1)</f>
        <v>music</v>
      </c>
      <c r="V1837" t="str">
        <f>RIGHT(Table1[[#This Row],[Category and Sub-Category]],LEN(Table1[[#This Row],[Category and Sub-Category]])-FIND("/",Table1[[#This Row],[Category and Sub-Category]]))</f>
        <v>rock</v>
      </c>
    </row>
    <row r="1838" spans="1:22" ht="28.8" x14ac:dyDescent="0.3">
      <c r="A1838">
        <v>1836</v>
      </c>
      <c r="B1838" s="3" t="s">
        <v>1837</v>
      </c>
      <c r="C1838" s="3" t="s">
        <v>5946</v>
      </c>
      <c r="D1838" s="12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>((Table1[[#This Row],[deadline]]/60)/60/24)+DATE(1970,1,1)</f>
        <v>41322.809363425928</v>
      </c>
      <c r="K1838">
        <v>1359660329</v>
      </c>
      <c r="L1838" s="11">
        <f>((Table1[[#This Row],[launched_at]]/60)/60/24)+DATE(1970,1,1)</f>
        <v>41305.809363425928</v>
      </c>
      <c r="M1838">
        <f>MONTH(Table1[[#This Row],[Date Created Conversion]])</f>
        <v>1</v>
      </c>
      <c r="N1838">
        <f>YEAR(Table1[[#This Row],[Date Created Conversion]])</f>
        <v>2013</v>
      </c>
      <c r="O1838" t="b">
        <v>0</v>
      </c>
      <c r="P1838">
        <v>55</v>
      </c>
      <c r="Q1838" t="b">
        <v>1</v>
      </c>
      <c r="R1838" t="s">
        <v>8276</v>
      </c>
      <c r="S1838" s="6">
        <f>Table1[[#This Row],[pledged]]/Table1[[#This Row],[goal]]</f>
        <v>2.0034000000000001</v>
      </c>
      <c r="T1838" s="8">
        <f>IF(Table1[[#This Row],[pledged]]=0,"no backers",Table1[[#This Row],[pledged]]/Table1[[#This Row],[backers_count]])</f>
        <v>182.12727272727273</v>
      </c>
      <c r="U1838" t="str">
        <f>LEFT(Table1[[#This Row],[Category and Sub-Category]],FIND("/",Table1[[#This Row],[Category and Sub-Category]])-1)</f>
        <v>music</v>
      </c>
      <c r="V1838" t="str">
        <f>RIGHT(Table1[[#This Row],[Category and Sub-Category]],LEN(Table1[[#This Row],[Category and Sub-Category]])-FIND("/",Table1[[#This Row],[Category and Sub-Category]]))</f>
        <v>rock</v>
      </c>
    </row>
    <row r="1839" spans="1:22" ht="57.6" x14ac:dyDescent="0.3">
      <c r="A1839">
        <v>1837</v>
      </c>
      <c r="B1839" s="3" t="s">
        <v>1838</v>
      </c>
      <c r="C1839" s="3" t="s">
        <v>5947</v>
      </c>
      <c r="D1839" s="12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>((Table1[[#This Row],[deadline]]/60)/60/24)+DATE(1970,1,1)</f>
        <v>40986.006192129629</v>
      </c>
      <c r="K1839">
        <v>1326848935</v>
      </c>
      <c r="L1839" s="11">
        <f>((Table1[[#This Row],[launched_at]]/60)/60/24)+DATE(1970,1,1)</f>
        <v>40926.047858796301</v>
      </c>
      <c r="M1839">
        <f>MONTH(Table1[[#This Row],[Date Created Conversion]])</f>
        <v>1</v>
      </c>
      <c r="N1839">
        <f>YEAR(Table1[[#This Row],[Date Created Conversion]])</f>
        <v>2012</v>
      </c>
      <c r="O1839" t="b">
        <v>0</v>
      </c>
      <c r="P1839">
        <v>30</v>
      </c>
      <c r="Q1839" t="b">
        <v>1</v>
      </c>
      <c r="R1839" t="s">
        <v>8276</v>
      </c>
      <c r="S1839" s="6">
        <f>Table1[[#This Row],[pledged]]/Table1[[#This Row],[goal]]</f>
        <v>3.0683333333333334</v>
      </c>
      <c r="T1839" s="8">
        <f>IF(Table1[[#This Row],[pledged]]=0,"no backers",Table1[[#This Row],[pledged]]/Table1[[#This Row],[backers_count]])</f>
        <v>61.366666666666667</v>
      </c>
      <c r="U1839" t="str">
        <f>LEFT(Table1[[#This Row],[Category and Sub-Category]],FIND("/",Table1[[#This Row],[Category and Sub-Category]])-1)</f>
        <v>music</v>
      </c>
      <c r="V1839" t="str">
        <f>RIGHT(Table1[[#This Row],[Category and Sub-Category]],LEN(Table1[[#This Row],[Category and Sub-Category]])-FIND("/",Table1[[#This Row],[Category and Sub-Category]]))</f>
        <v>rock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 s="12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>((Table1[[#This Row],[deadline]]/60)/60/24)+DATE(1970,1,1)</f>
        <v>40817.125</v>
      </c>
      <c r="K1840">
        <v>1314989557</v>
      </c>
      <c r="L1840" s="11">
        <f>((Table1[[#This Row],[launched_at]]/60)/60/24)+DATE(1970,1,1)</f>
        <v>40788.786539351851</v>
      </c>
      <c r="M1840">
        <f>MONTH(Table1[[#This Row],[Date Created Conversion]])</f>
        <v>9</v>
      </c>
      <c r="N1840">
        <f>YEAR(Table1[[#This Row],[Date Created Conversion]])</f>
        <v>2011</v>
      </c>
      <c r="O1840" t="b">
        <v>0</v>
      </c>
      <c r="P1840">
        <v>28</v>
      </c>
      <c r="Q1840" t="b">
        <v>1</v>
      </c>
      <c r="R1840" t="s">
        <v>8276</v>
      </c>
      <c r="S1840" s="6">
        <f>Table1[[#This Row],[pledged]]/Table1[[#This Row],[goal]]</f>
        <v>1.00149</v>
      </c>
      <c r="T1840" s="8">
        <f>IF(Table1[[#This Row],[pledged]]=0,"no backers",Table1[[#This Row],[pledged]]/Table1[[#This Row],[backers_count]])</f>
        <v>35.767499999999998</v>
      </c>
      <c r="U1840" t="str">
        <f>LEFT(Table1[[#This Row],[Category and Sub-Category]],FIND("/",Table1[[#This Row],[Category and Sub-Category]])-1)</f>
        <v>music</v>
      </c>
      <c r="V1840" t="str">
        <f>RIGHT(Table1[[#This Row],[Category and Sub-Category]],LEN(Table1[[#This Row],[Category and Sub-Category]])-FIND("/",Table1[[#This Row],[Category and Sub-Category]]))</f>
        <v>rock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 s="12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>((Table1[[#This Row],[deadline]]/60)/60/24)+DATE(1970,1,1)</f>
        <v>42644.722013888888</v>
      </c>
      <c r="K1841">
        <v>1472750382</v>
      </c>
      <c r="L1841" s="11">
        <f>((Table1[[#This Row],[launched_at]]/60)/60/24)+DATE(1970,1,1)</f>
        <v>42614.722013888888</v>
      </c>
      <c r="M1841">
        <f>MONTH(Table1[[#This Row],[Date Created Conversion]])</f>
        <v>9</v>
      </c>
      <c r="N1841">
        <f>YEAR(Table1[[#This Row],[Date Created Conversion]])</f>
        <v>2016</v>
      </c>
      <c r="O1841" t="b">
        <v>0</v>
      </c>
      <c r="P1841">
        <v>45</v>
      </c>
      <c r="Q1841" t="b">
        <v>1</v>
      </c>
      <c r="R1841" t="s">
        <v>8276</v>
      </c>
      <c r="S1841" s="6">
        <f>Table1[[#This Row],[pledged]]/Table1[[#This Row],[goal]]</f>
        <v>2.0529999999999999</v>
      </c>
      <c r="T1841" s="8">
        <f>IF(Table1[[#This Row],[pledged]]=0,"no backers",Table1[[#This Row],[pledged]]/Table1[[#This Row],[backers_count]])</f>
        <v>45.62222222222222</v>
      </c>
      <c r="U1841" t="str">
        <f>LEFT(Table1[[#This Row],[Category and Sub-Category]],FIND("/",Table1[[#This Row],[Category and Sub-Category]])-1)</f>
        <v>music</v>
      </c>
      <c r="V1841" t="str">
        <f>RIGHT(Table1[[#This Row],[Category and Sub-Category]],LEN(Table1[[#This Row],[Category and Sub-Category]])-FIND("/",Table1[[#This Row],[Category and Sub-Category]]))</f>
        <v>rock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 s="1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>((Table1[[#This Row],[deadline]]/60)/60/24)+DATE(1970,1,1)</f>
        <v>41401.207638888889</v>
      </c>
      <c r="K1842">
        <v>1366251510</v>
      </c>
      <c r="L1842" s="11">
        <f>((Table1[[#This Row],[launched_at]]/60)/60/24)+DATE(1970,1,1)</f>
        <v>41382.096180555556</v>
      </c>
      <c r="M1842">
        <f>MONTH(Table1[[#This Row],[Date Created Conversion]])</f>
        <v>4</v>
      </c>
      <c r="N1842">
        <f>YEAR(Table1[[#This Row],[Date Created Conversion]])</f>
        <v>2013</v>
      </c>
      <c r="O1842" t="b">
        <v>0</v>
      </c>
      <c r="P1842">
        <v>13</v>
      </c>
      <c r="Q1842" t="b">
        <v>1</v>
      </c>
      <c r="R1842" t="s">
        <v>8276</v>
      </c>
      <c r="S1842" s="6">
        <f>Table1[[#This Row],[pledged]]/Table1[[#This Row],[goal]]</f>
        <v>1.0888888888888888</v>
      </c>
      <c r="T1842" s="8">
        <f>IF(Table1[[#This Row],[pledged]]=0,"no backers",Table1[[#This Row],[pledged]]/Table1[[#This Row],[backers_count]])</f>
        <v>75.384615384615387</v>
      </c>
      <c r="U1842" t="str">
        <f>LEFT(Table1[[#This Row],[Category and Sub-Category]],FIND("/",Table1[[#This Row],[Category and Sub-Category]])-1)</f>
        <v>music</v>
      </c>
      <c r="V1842" t="str">
        <f>RIGHT(Table1[[#This Row],[Category and Sub-Category]],LEN(Table1[[#This Row],[Category and Sub-Category]])-FIND("/",Table1[[#This Row],[Category and Sub-Category]]))</f>
        <v>rock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 s="12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>((Table1[[#This Row],[deadline]]/60)/60/24)+DATE(1970,1,1)</f>
        <v>41779.207638888889</v>
      </c>
      <c r="K1843">
        <v>1397679445</v>
      </c>
      <c r="L1843" s="11">
        <f>((Table1[[#This Row],[launched_at]]/60)/60/24)+DATE(1970,1,1)</f>
        <v>41745.84542824074</v>
      </c>
      <c r="M1843">
        <f>MONTH(Table1[[#This Row],[Date Created Conversion]])</f>
        <v>4</v>
      </c>
      <c r="N1843">
        <f>YEAR(Table1[[#This Row],[Date Created Conversion]])</f>
        <v>2014</v>
      </c>
      <c r="O1843" t="b">
        <v>0</v>
      </c>
      <c r="P1843">
        <v>40</v>
      </c>
      <c r="Q1843" t="b">
        <v>1</v>
      </c>
      <c r="R1843" t="s">
        <v>8276</v>
      </c>
      <c r="S1843" s="6">
        <f>Table1[[#This Row],[pledged]]/Table1[[#This Row],[goal]]</f>
        <v>1.0175000000000001</v>
      </c>
      <c r="T1843" s="8">
        <f>IF(Table1[[#This Row],[pledged]]=0,"no backers",Table1[[#This Row],[pledged]]/Table1[[#This Row],[backers_count]])</f>
        <v>50.875</v>
      </c>
      <c r="U1843" t="str">
        <f>LEFT(Table1[[#This Row],[Category and Sub-Category]],FIND("/",Table1[[#This Row],[Category and Sub-Category]])-1)</f>
        <v>music</v>
      </c>
      <c r="V1843" t="str">
        <f>RIGHT(Table1[[#This Row],[Category and Sub-Category]],LEN(Table1[[#This Row],[Category and Sub-Category]])-FIND("/",Table1[[#This Row],[Category and Sub-Category]]))</f>
        <v>rock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 s="12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>((Table1[[#This Row],[deadline]]/60)/60/24)+DATE(1970,1,1)</f>
        <v>42065.249305555553</v>
      </c>
      <c r="K1844">
        <v>1422371381</v>
      </c>
      <c r="L1844" s="11">
        <f>((Table1[[#This Row],[launched_at]]/60)/60/24)+DATE(1970,1,1)</f>
        <v>42031.631724537037</v>
      </c>
      <c r="M1844">
        <f>MONTH(Table1[[#This Row],[Date Created Conversion]])</f>
        <v>1</v>
      </c>
      <c r="N1844">
        <f>YEAR(Table1[[#This Row],[Date Created Conversion]])</f>
        <v>2015</v>
      </c>
      <c r="O1844" t="b">
        <v>0</v>
      </c>
      <c r="P1844">
        <v>21</v>
      </c>
      <c r="Q1844" t="b">
        <v>1</v>
      </c>
      <c r="R1844" t="s">
        <v>8276</v>
      </c>
      <c r="S1844" s="6">
        <f>Table1[[#This Row],[pledged]]/Table1[[#This Row],[goal]]</f>
        <v>1.2524999999999999</v>
      </c>
      <c r="T1844" s="8">
        <f>IF(Table1[[#This Row],[pledged]]=0,"no backers",Table1[[#This Row],[pledged]]/Table1[[#This Row],[backers_count]])</f>
        <v>119.28571428571429</v>
      </c>
      <c r="U1844" t="str">
        <f>LEFT(Table1[[#This Row],[Category and Sub-Category]],FIND("/",Table1[[#This Row],[Category and Sub-Category]])-1)</f>
        <v>music</v>
      </c>
      <c r="V1844" t="str">
        <f>RIGHT(Table1[[#This Row],[Category and Sub-Category]],LEN(Table1[[#This Row],[Category and Sub-Category]])-FIND("/",Table1[[#This Row],[Category and Sub-Category]]))</f>
        <v>rock</v>
      </c>
    </row>
    <row r="1845" spans="1:22" ht="57.6" x14ac:dyDescent="0.3">
      <c r="A1845">
        <v>1843</v>
      </c>
      <c r="B1845" s="3" t="s">
        <v>1844</v>
      </c>
      <c r="C1845" s="3" t="s">
        <v>5953</v>
      </c>
      <c r="D1845" s="12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>((Table1[[#This Row],[deadline]]/60)/60/24)+DATE(1970,1,1)</f>
        <v>40594.994837962964</v>
      </c>
      <c r="K1845">
        <v>1295653954</v>
      </c>
      <c r="L1845" s="11">
        <f>((Table1[[#This Row],[launched_at]]/60)/60/24)+DATE(1970,1,1)</f>
        <v>40564.994837962964</v>
      </c>
      <c r="M1845">
        <f>MONTH(Table1[[#This Row],[Date Created Conversion]])</f>
        <v>1</v>
      </c>
      <c r="N1845">
        <f>YEAR(Table1[[#This Row],[Date Created Conversion]])</f>
        <v>2011</v>
      </c>
      <c r="O1845" t="b">
        <v>0</v>
      </c>
      <c r="P1845">
        <v>134</v>
      </c>
      <c r="Q1845" t="b">
        <v>1</v>
      </c>
      <c r="R1845" t="s">
        <v>8276</v>
      </c>
      <c r="S1845" s="6">
        <f>Table1[[#This Row],[pledged]]/Table1[[#This Row],[goal]]</f>
        <v>1.2400610000000001</v>
      </c>
      <c r="T1845" s="8">
        <f>IF(Table1[[#This Row],[pledged]]=0,"no backers",Table1[[#This Row],[pledged]]/Table1[[#This Row],[backers_count]])</f>
        <v>92.541865671641801</v>
      </c>
      <c r="U1845" t="str">
        <f>LEFT(Table1[[#This Row],[Category and Sub-Category]],FIND("/",Table1[[#This Row],[Category and Sub-Category]])-1)</f>
        <v>music</v>
      </c>
      <c r="V1845" t="str">
        <f>RIGHT(Table1[[#This Row],[Category and Sub-Category]],LEN(Table1[[#This Row],[Category and Sub-Category]])-FIND("/",Table1[[#This Row],[Category and Sub-Category]]))</f>
        <v>rock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 s="12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>((Table1[[#This Row],[deadline]]/60)/60/24)+DATE(1970,1,1)</f>
        <v>40705.125</v>
      </c>
      <c r="K1846">
        <v>1304464914</v>
      </c>
      <c r="L1846" s="11">
        <f>((Table1[[#This Row],[launched_at]]/60)/60/24)+DATE(1970,1,1)</f>
        <v>40666.973541666666</v>
      </c>
      <c r="M1846">
        <f>MONTH(Table1[[#This Row],[Date Created Conversion]])</f>
        <v>5</v>
      </c>
      <c r="N1846">
        <f>YEAR(Table1[[#This Row],[Date Created Conversion]])</f>
        <v>2011</v>
      </c>
      <c r="O1846" t="b">
        <v>0</v>
      </c>
      <c r="P1846">
        <v>20</v>
      </c>
      <c r="Q1846" t="b">
        <v>1</v>
      </c>
      <c r="R1846" t="s">
        <v>8276</v>
      </c>
      <c r="S1846" s="6">
        <f>Table1[[#This Row],[pledged]]/Table1[[#This Row],[goal]]</f>
        <v>1.014</v>
      </c>
      <c r="T1846" s="8">
        <f>IF(Table1[[#This Row],[pledged]]=0,"no backers",Table1[[#This Row],[pledged]]/Table1[[#This Row],[backers_count]])</f>
        <v>76.05</v>
      </c>
      <c r="U1846" t="str">
        <f>LEFT(Table1[[#This Row],[Category and Sub-Category]],FIND("/",Table1[[#This Row],[Category and Sub-Category]])-1)</f>
        <v>music</v>
      </c>
      <c r="V1846" t="str">
        <f>RIGHT(Table1[[#This Row],[Category and Sub-Category]],LEN(Table1[[#This Row],[Category and Sub-Category]])-FIND("/",Table1[[#This Row],[Category and Sub-Category]]))</f>
        <v>rock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 s="12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>((Table1[[#This Row],[deadline]]/60)/60/24)+DATE(1970,1,1)</f>
        <v>42538.204861111109</v>
      </c>
      <c r="K1847">
        <v>1464854398</v>
      </c>
      <c r="L1847" s="11">
        <f>((Table1[[#This Row],[launched_at]]/60)/60/24)+DATE(1970,1,1)</f>
        <v>42523.333310185189</v>
      </c>
      <c r="M1847">
        <f>MONTH(Table1[[#This Row],[Date Created Conversion]])</f>
        <v>6</v>
      </c>
      <c r="N1847">
        <f>YEAR(Table1[[#This Row],[Date Created Conversion]])</f>
        <v>2016</v>
      </c>
      <c r="O1847" t="b">
        <v>0</v>
      </c>
      <c r="P1847">
        <v>19</v>
      </c>
      <c r="Q1847" t="b">
        <v>1</v>
      </c>
      <c r="R1847" t="s">
        <v>8276</v>
      </c>
      <c r="S1847" s="6">
        <f>Table1[[#This Row],[pledged]]/Table1[[#This Row],[goal]]</f>
        <v>1</v>
      </c>
      <c r="T1847" s="8">
        <f>IF(Table1[[#This Row],[pledged]]=0,"no backers",Table1[[#This Row],[pledged]]/Table1[[#This Row],[backers_count]])</f>
        <v>52.631578947368418</v>
      </c>
      <c r="U1847" t="str">
        <f>LEFT(Table1[[#This Row],[Category and Sub-Category]],FIND("/",Table1[[#This Row],[Category and Sub-Category]])-1)</f>
        <v>music</v>
      </c>
      <c r="V1847" t="str">
        <f>RIGHT(Table1[[#This Row],[Category and Sub-Category]],LEN(Table1[[#This Row],[Category and Sub-Category]])-FIND("/",Table1[[#This Row],[Category and Sub-Category]]))</f>
        <v>rock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 s="12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>((Table1[[#This Row],[deadline]]/60)/60/24)+DATE(1970,1,1)</f>
        <v>41258.650196759263</v>
      </c>
      <c r="K1848">
        <v>1352993777</v>
      </c>
      <c r="L1848" s="11">
        <f>((Table1[[#This Row],[launched_at]]/60)/60/24)+DATE(1970,1,1)</f>
        <v>41228.650196759263</v>
      </c>
      <c r="M1848">
        <f>MONTH(Table1[[#This Row],[Date Created Conversion]])</f>
        <v>11</v>
      </c>
      <c r="N1848">
        <f>YEAR(Table1[[#This Row],[Date Created Conversion]])</f>
        <v>2012</v>
      </c>
      <c r="O1848" t="b">
        <v>0</v>
      </c>
      <c r="P1848">
        <v>209</v>
      </c>
      <c r="Q1848" t="b">
        <v>1</v>
      </c>
      <c r="R1848" t="s">
        <v>8276</v>
      </c>
      <c r="S1848" s="6">
        <f>Table1[[#This Row],[pledged]]/Table1[[#This Row],[goal]]</f>
        <v>1.3792666666666666</v>
      </c>
      <c r="T1848" s="8">
        <f>IF(Table1[[#This Row],[pledged]]=0,"no backers",Table1[[#This Row],[pledged]]/Table1[[#This Row],[backers_count]])</f>
        <v>98.990430622009569</v>
      </c>
      <c r="U1848" t="str">
        <f>LEFT(Table1[[#This Row],[Category and Sub-Category]],FIND("/",Table1[[#This Row],[Category and Sub-Category]])-1)</f>
        <v>music</v>
      </c>
      <c r="V1848" t="str">
        <f>RIGHT(Table1[[#This Row],[Category and Sub-Category]],LEN(Table1[[#This Row],[Category and Sub-Category]])-FIND("/",Table1[[#This Row],[Category and Sub-Category]]))</f>
        <v>rock</v>
      </c>
    </row>
    <row r="1849" spans="1:22" ht="57.6" x14ac:dyDescent="0.3">
      <c r="A1849">
        <v>1847</v>
      </c>
      <c r="B1849" s="3" t="s">
        <v>1848</v>
      </c>
      <c r="C1849" s="3" t="s">
        <v>5957</v>
      </c>
      <c r="D1849" s="12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>((Table1[[#This Row],[deadline]]/60)/60/24)+DATE(1970,1,1)</f>
        <v>42115.236481481479</v>
      </c>
      <c r="K1849">
        <v>1427780432</v>
      </c>
      <c r="L1849" s="11">
        <f>((Table1[[#This Row],[launched_at]]/60)/60/24)+DATE(1970,1,1)</f>
        <v>42094.236481481479</v>
      </c>
      <c r="M1849">
        <f>MONTH(Table1[[#This Row],[Date Created Conversion]])</f>
        <v>3</v>
      </c>
      <c r="N1849">
        <f>YEAR(Table1[[#This Row],[Date Created Conversion]])</f>
        <v>2015</v>
      </c>
      <c r="O1849" t="b">
        <v>0</v>
      </c>
      <c r="P1849">
        <v>38</v>
      </c>
      <c r="Q1849" t="b">
        <v>1</v>
      </c>
      <c r="R1849" t="s">
        <v>8276</v>
      </c>
      <c r="S1849" s="6">
        <f>Table1[[#This Row],[pledged]]/Table1[[#This Row],[goal]]</f>
        <v>1.2088000000000001</v>
      </c>
      <c r="T1849" s="8">
        <f>IF(Table1[[#This Row],[pledged]]=0,"no backers",Table1[[#This Row],[pledged]]/Table1[[#This Row],[backers_count]])</f>
        <v>79.526315789473685</v>
      </c>
      <c r="U1849" t="str">
        <f>LEFT(Table1[[#This Row],[Category and Sub-Category]],FIND("/",Table1[[#This Row],[Category and Sub-Category]])-1)</f>
        <v>music</v>
      </c>
      <c r="V1849" t="str">
        <f>RIGHT(Table1[[#This Row],[Category and Sub-Category]],LEN(Table1[[#This Row],[Category and Sub-Category]])-FIND("/",Table1[[#This Row],[Category and Sub-Category]]))</f>
        <v>rock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 s="12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>((Table1[[#This Row],[deadline]]/60)/60/24)+DATE(1970,1,1)</f>
        <v>40755.290972222225</v>
      </c>
      <c r="K1850">
        <v>1306608888</v>
      </c>
      <c r="L1850" s="11">
        <f>((Table1[[#This Row],[launched_at]]/60)/60/24)+DATE(1970,1,1)</f>
        <v>40691.788055555553</v>
      </c>
      <c r="M1850">
        <f>MONTH(Table1[[#This Row],[Date Created Conversion]])</f>
        <v>5</v>
      </c>
      <c r="N1850">
        <f>YEAR(Table1[[#This Row],[Date Created Conversion]])</f>
        <v>2011</v>
      </c>
      <c r="O1850" t="b">
        <v>0</v>
      </c>
      <c r="P1850">
        <v>24</v>
      </c>
      <c r="Q1850" t="b">
        <v>1</v>
      </c>
      <c r="R1850" t="s">
        <v>8276</v>
      </c>
      <c r="S1850" s="6">
        <f>Table1[[#This Row],[pledged]]/Table1[[#This Row],[goal]]</f>
        <v>1.0736666666666668</v>
      </c>
      <c r="T1850" s="8">
        <f>IF(Table1[[#This Row],[pledged]]=0,"no backers",Table1[[#This Row],[pledged]]/Table1[[#This Row],[backers_count]])</f>
        <v>134.20833333333334</v>
      </c>
      <c r="U1850" t="str">
        <f>LEFT(Table1[[#This Row],[Category and Sub-Category]],FIND("/",Table1[[#This Row],[Category and Sub-Category]])-1)</f>
        <v>music</v>
      </c>
      <c r="V1850" t="str">
        <f>RIGHT(Table1[[#This Row],[Category and Sub-Category]],LEN(Table1[[#This Row],[Category and Sub-Category]])-FIND("/",Table1[[#This Row],[Category and Sub-Category]]))</f>
        <v>rock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 s="12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>((Table1[[#This Row],[deadline]]/60)/60/24)+DATE(1970,1,1)</f>
        <v>41199.845590277779</v>
      </c>
      <c r="K1851">
        <v>1347913059</v>
      </c>
      <c r="L1851" s="11">
        <f>((Table1[[#This Row],[launched_at]]/60)/60/24)+DATE(1970,1,1)</f>
        <v>41169.845590277779</v>
      </c>
      <c r="M1851">
        <f>MONTH(Table1[[#This Row],[Date Created Conversion]])</f>
        <v>9</v>
      </c>
      <c r="N1851">
        <f>YEAR(Table1[[#This Row],[Date Created Conversion]])</f>
        <v>2012</v>
      </c>
      <c r="O1851" t="b">
        <v>0</v>
      </c>
      <c r="P1851">
        <v>8</v>
      </c>
      <c r="Q1851" t="b">
        <v>1</v>
      </c>
      <c r="R1851" t="s">
        <v>8276</v>
      </c>
      <c r="S1851" s="6">
        <f>Table1[[#This Row],[pledged]]/Table1[[#This Row],[goal]]</f>
        <v>1.0033333333333334</v>
      </c>
      <c r="T1851" s="8">
        <f>IF(Table1[[#This Row],[pledged]]=0,"no backers",Table1[[#This Row],[pledged]]/Table1[[#This Row],[backers_count]])</f>
        <v>37.625</v>
      </c>
      <c r="U1851" t="str">
        <f>LEFT(Table1[[#This Row],[Category and Sub-Category]],FIND("/",Table1[[#This Row],[Category and Sub-Category]])-1)</f>
        <v>music</v>
      </c>
      <c r="V1851" t="str">
        <f>RIGHT(Table1[[#This Row],[Category and Sub-Category]],LEN(Table1[[#This Row],[Category and Sub-Category]])-FIND("/",Table1[[#This Row],[Category and Sub-Category]]))</f>
        <v>rock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 s="1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>((Table1[[#This Row],[deadline]]/60)/60/24)+DATE(1970,1,1)</f>
        <v>41830.959490740745</v>
      </c>
      <c r="K1852">
        <v>1402441300</v>
      </c>
      <c r="L1852" s="11">
        <f>((Table1[[#This Row],[launched_at]]/60)/60/24)+DATE(1970,1,1)</f>
        <v>41800.959490740745</v>
      </c>
      <c r="M1852">
        <f>MONTH(Table1[[#This Row],[Date Created Conversion]])</f>
        <v>6</v>
      </c>
      <c r="N1852">
        <f>YEAR(Table1[[#This Row],[Date Created Conversion]])</f>
        <v>2014</v>
      </c>
      <c r="O1852" t="b">
        <v>0</v>
      </c>
      <c r="P1852">
        <v>179</v>
      </c>
      <c r="Q1852" t="b">
        <v>1</v>
      </c>
      <c r="R1852" t="s">
        <v>8276</v>
      </c>
      <c r="S1852" s="6">
        <f>Table1[[#This Row],[pledged]]/Table1[[#This Row],[goal]]</f>
        <v>1.0152222222222222</v>
      </c>
      <c r="T1852" s="8">
        <f>IF(Table1[[#This Row],[pledged]]=0,"no backers",Table1[[#This Row],[pledged]]/Table1[[#This Row],[backers_count]])</f>
        <v>51.044692737430168</v>
      </c>
      <c r="U1852" t="str">
        <f>LEFT(Table1[[#This Row],[Category and Sub-Category]],FIND("/",Table1[[#This Row],[Category and Sub-Category]])-1)</f>
        <v>music</v>
      </c>
      <c r="V1852" t="str">
        <f>RIGHT(Table1[[#This Row],[Category and Sub-Category]],LEN(Table1[[#This Row],[Category and Sub-Category]])-FIND("/",Table1[[#This Row],[Category and Sub-Category]]))</f>
        <v>rock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 s="12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>((Table1[[#This Row],[deadline]]/60)/60/24)+DATE(1970,1,1)</f>
        <v>41848.041666666664</v>
      </c>
      <c r="K1853">
        <v>1404769538</v>
      </c>
      <c r="L1853" s="11">
        <f>((Table1[[#This Row],[launched_at]]/60)/60/24)+DATE(1970,1,1)</f>
        <v>41827.906689814816</v>
      </c>
      <c r="M1853">
        <f>MONTH(Table1[[#This Row],[Date Created Conversion]])</f>
        <v>7</v>
      </c>
      <c r="N1853">
        <f>YEAR(Table1[[#This Row],[Date Created Conversion]])</f>
        <v>2014</v>
      </c>
      <c r="O1853" t="b">
        <v>0</v>
      </c>
      <c r="P1853">
        <v>26</v>
      </c>
      <c r="Q1853" t="b">
        <v>1</v>
      </c>
      <c r="R1853" t="s">
        <v>8276</v>
      </c>
      <c r="S1853" s="6">
        <f>Table1[[#This Row],[pledged]]/Table1[[#This Row],[goal]]</f>
        <v>1.0007692307692309</v>
      </c>
      <c r="T1853" s="8">
        <f>IF(Table1[[#This Row],[pledged]]=0,"no backers",Table1[[#This Row],[pledged]]/Table1[[#This Row],[backers_count]])</f>
        <v>50.03846153846154</v>
      </c>
      <c r="U1853" t="str">
        <f>LEFT(Table1[[#This Row],[Category and Sub-Category]],FIND("/",Table1[[#This Row],[Category and Sub-Category]])-1)</f>
        <v>music</v>
      </c>
      <c r="V1853" t="str">
        <f>RIGHT(Table1[[#This Row],[Category and Sub-Category]],LEN(Table1[[#This Row],[Category and Sub-Category]])-FIND("/",Table1[[#This Row],[Category and Sub-Category]]))</f>
        <v>rock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 s="12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>((Table1[[#This Row],[deadline]]/60)/60/24)+DATE(1970,1,1)</f>
        <v>42119</v>
      </c>
      <c r="K1854">
        <v>1426703452</v>
      </c>
      <c r="L1854" s="11">
        <f>((Table1[[#This Row],[launched_at]]/60)/60/24)+DATE(1970,1,1)</f>
        <v>42081.77143518519</v>
      </c>
      <c r="M1854">
        <f>MONTH(Table1[[#This Row],[Date Created Conversion]])</f>
        <v>3</v>
      </c>
      <c r="N1854">
        <f>YEAR(Table1[[#This Row],[Date Created Conversion]])</f>
        <v>2015</v>
      </c>
      <c r="O1854" t="b">
        <v>0</v>
      </c>
      <c r="P1854">
        <v>131</v>
      </c>
      <c r="Q1854" t="b">
        <v>1</v>
      </c>
      <c r="R1854" t="s">
        <v>8276</v>
      </c>
      <c r="S1854" s="6">
        <f>Table1[[#This Row],[pledged]]/Table1[[#This Row],[goal]]</f>
        <v>1.1696666666666666</v>
      </c>
      <c r="T1854" s="8">
        <f>IF(Table1[[#This Row],[pledged]]=0,"no backers",Table1[[#This Row],[pledged]]/Table1[[#This Row],[backers_count]])</f>
        <v>133.93129770992365</v>
      </c>
      <c r="U1854" t="str">
        <f>LEFT(Table1[[#This Row],[Category and Sub-Category]],FIND("/",Table1[[#This Row],[Category and Sub-Category]])-1)</f>
        <v>music</v>
      </c>
      <c r="V1854" t="str">
        <f>RIGHT(Table1[[#This Row],[Category and Sub-Category]],LEN(Table1[[#This Row],[Category and Sub-Category]])-FIND("/",Table1[[#This Row],[Category and Sub-Category]]))</f>
        <v>rock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 s="12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>((Table1[[#This Row],[deadline]]/60)/60/24)+DATE(1970,1,1)</f>
        <v>41227.102048611108</v>
      </c>
      <c r="K1855">
        <v>1348536417</v>
      </c>
      <c r="L1855" s="11">
        <f>((Table1[[#This Row],[launched_at]]/60)/60/24)+DATE(1970,1,1)</f>
        <v>41177.060381944444</v>
      </c>
      <c r="M1855">
        <f>MONTH(Table1[[#This Row],[Date Created Conversion]])</f>
        <v>9</v>
      </c>
      <c r="N1855">
        <f>YEAR(Table1[[#This Row],[Date Created Conversion]])</f>
        <v>2012</v>
      </c>
      <c r="O1855" t="b">
        <v>0</v>
      </c>
      <c r="P1855">
        <v>14</v>
      </c>
      <c r="Q1855" t="b">
        <v>1</v>
      </c>
      <c r="R1855" t="s">
        <v>8276</v>
      </c>
      <c r="S1855" s="6">
        <f>Table1[[#This Row],[pledged]]/Table1[[#This Row],[goal]]</f>
        <v>1.01875</v>
      </c>
      <c r="T1855" s="8">
        <f>IF(Table1[[#This Row],[pledged]]=0,"no backers",Table1[[#This Row],[pledged]]/Table1[[#This Row],[backers_count]])</f>
        <v>58.214285714285715</v>
      </c>
      <c r="U1855" t="str">
        <f>LEFT(Table1[[#This Row],[Category and Sub-Category]],FIND("/",Table1[[#This Row],[Category and Sub-Category]])-1)</f>
        <v>music</v>
      </c>
      <c r="V1855" t="str">
        <f>RIGHT(Table1[[#This Row],[Category and Sub-Category]],LEN(Table1[[#This Row],[Category and Sub-Category]])-FIND("/",Table1[[#This Row],[Category and Sub-Category]]))</f>
        <v>rock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 s="12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>((Table1[[#This Row],[deadline]]/60)/60/24)+DATE(1970,1,1)</f>
        <v>41418.021261574075</v>
      </c>
      <c r="K1856">
        <v>1366763437</v>
      </c>
      <c r="L1856" s="11">
        <f>((Table1[[#This Row],[launched_at]]/60)/60/24)+DATE(1970,1,1)</f>
        <v>41388.021261574075</v>
      </c>
      <c r="M1856">
        <f>MONTH(Table1[[#This Row],[Date Created Conversion]])</f>
        <v>4</v>
      </c>
      <c r="N1856">
        <f>YEAR(Table1[[#This Row],[Date Created Conversion]])</f>
        <v>2013</v>
      </c>
      <c r="O1856" t="b">
        <v>0</v>
      </c>
      <c r="P1856">
        <v>174</v>
      </c>
      <c r="Q1856" t="b">
        <v>1</v>
      </c>
      <c r="R1856" t="s">
        <v>8276</v>
      </c>
      <c r="S1856" s="6">
        <f>Table1[[#This Row],[pledged]]/Table1[[#This Row],[goal]]</f>
        <v>1.0212366666666666</v>
      </c>
      <c r="T1856" s="8">
        <f>IF(Table1[[#This Row],[pledged]]=0,"no backers",Table1[[#This Row],[pledged]]/Table1[[#This Row],[backers_count]])</f>
        <v>88.037643678160919</v>
      </c>
      <c r="U1856" t="str">
        <f>LEFT(Table1[[#This Row],[Category and Sub-Category]],FIND("/",Table1[[#This Row],[Category and Sub-Category]])-1)</f>
        <v>music</v>
      </c>
      <c r="V1856" t="str">
        <f>RIGHT(Table1[[#This Row],[Category and Sub-Category]],LEN(Table1[[#This Row],[Category and Sub-Category]])-FIND("/",Table1[[#This Row],[Category and Sub-Category]]))</f>
        <v>rock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 s="12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>((Table1[[#This Row],[deadline]]/60)/60/24)+DATE(1970,1,1)</f>
        <v>41645.538657407407</v>
      </c>
      <c r="K1857">
        <v>1385124940</v>
      </c>
      <c r="L1857" s="11">
        <f>((Table1[[#This Row],[launched_at]]/60)/60/24)+DATE(1970,1,1)</f>
        <v>41600.538657407407</v>
      </c>
      <c r="M1857">
        <f>MONTH(Table1[[#This Row],[Date Created Conversion]])</f>
        <v>11</v>
      </c>
      <c r="N1857">
        <f>YEAR(Table1[[#This Row],[Date Created Conversion]])</f>
        <v>2013</v>
      </c>
      <c r="O1857" t="b">
        <v>0</v>
      </c>
      <c r="P1857">
        <v>191</v>
      </c>
      <c r="Q1857" t="b">
        <v>1</v>
      </c>
      <c r="R1857" t="s">
        <v>8276</v>
      </c>
      <c r="S1857" s="6">
        <f>Table1[[#This Row],[pledged]]/Table1[[#This Row],[goal]]</f>
        <v>1.5405897142857143</v>
      </c>
      <c r="T1857" s="8">
        <f>IF(Table1[[#This Row],[pledged]]=0,"no backers",Table1[[#This Row],[pledged]]/Table1[[#This Row],[backers_count]])</f>
        <v>70.576753926701571</v>
      </c>
      <c r="U1857" t="str">
        <f>LEFT(Table1[[#This Row],[Category and Sub-Category]],FIND("/",Table1[[#This Row],[Category and Sub-Category]])-1)</f>
        <v>music</v>
      </c>
      <c r="V1857" t="str">
        <f>RIGHT(Table1[[#This Row],[Category and Sub-Category]],LEN(Table1[[#This Row],[Category and Sub-Category]])-FIND("/",Table1[[#This Row],[Category and Sub-Category]]))</f>
        <v>rock</v>
      </c>
    </row>
    <row r="1858" spans="1:22" ht="57.6" x14ac:dyDescent="0.3">
      <c r="A1858">
        <v>1856</v>
      </c>
      <c r="B1858" s="3" t="s">
        <v>1857</v>
      </c>
      <c r="C1858" s="3" t="s">
        <v>5966</v>
      </c>
      <c r="D1858" s="12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>((Table1[[#This Row],[deadline]]/60)/60/24)+DATE(1970,1,1)</f>
        <v>41838.854999999996</v>
      </c>
      <c r="K1858">
        <v>1403901072</v>
      </c>
      <c r="L1858" s="11">
        <f>((Table1[[#This Row],[launched_at]]/60)/60/24)+DATE(1970,1,1)</f>
        <v>41817.854999999996</v>
      </c>
      <c r="M1858">
        <f>MONTH(Table1[[#This Row],[Date Created Conversion]])</f>
        <v>6</v>
      </c>
      <c r="N1858">
        <f>YEAR(Table1[[#This Row],[Date Created Conversion]])</f>
        <v>2014</v>
      </c>
      <c r="O1858" t="b">
        <v>0</v>
      </c>
      <c r="P1858">
        <v>38</v>
      </c>
      <c r="Q1858" t="b">
        <v>1</v>
      </c>
      <c r="R1858" t="s">
        <v>8276</v>
      </c>
      <c r="S1858" s="6">
        <f>Table1[[#This Row],[pledged]]/Table1[[#This Row],[goal]]</f>
        <v>1.0125</v>
      </c>
      <c r="T1858" s="8">
        <f>IF(Table1[[#This Row],[pledged]]=0,"no backers",Table1[[#This Row],[pledged]]/Table1[[#This Row],[backers_count]])</f>
        <v>53.289473684210527</v>
      </c>
      <c r="U1858" t="str">
        <f>LEFT(Table1[[#This Row],[Category and Sub-Category]],FIND("/",Table1[[#This Row],[Category and Sub-Category]])-1)</f>
        <v>music</v>
      </c>
      <c r="V1858" t="str">
        <f>RIGHT(Table1[[#This Row],[Category and Sub-Category]],LEN(Table1[[#This Row],[Category and Sub-Category]])-FIND("/",Table1[[#This Row],[Category and Sub-Category]]))</f>
        <v>rock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 s="12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>((Table1[[#This Row],[deadline]]/60)/60/24)+DATE(1970,1,1)</f>
        <v>41894.76866898148</v>
      </c>
      <c r="K1859">
        <v>1407954413</v>
      </c>
      <c r="L1859" s="11">
        <f>((Table1[[#This Row],[launched_at]]/60)/60/24)+DATE(1970,1,1)</f>
        <v>41864.76866898148</v>
      </c>
      <c r="M1859">
        <f>MONTH(Table1[[#This Row],[Date Created Conversion]])</f>
        <v>8</v>
      </c>
      <c r="N1859">
        <f>YEAR(Table1[[#This Row],[Date Created Conversion]])</f>
        <v>2014</v>
      </c>
      <c r="O1859" t="b">
        <v>0</v>
      </c>
      <c r="P1859">
        <v>22</v>
      </c>
      <c r="Q1859" t="b">
        <v>1</v>
      </c>
      <c r="R1859" t="s">
        <v>8276</v>
      </c>
      <c r="S1859" s="6">
        <f>Table1[[#This Row],[pledged]]/Table1[[#This Row],[goal]]</f>
        <v>1</v>
      </c>
      <c r="T1859" s="8">
        <f>IF(Table1[[#This Row],[pledged]]=0,"no backers",Table1[[#This Row],[pledged]]/Table1[[#This Row],[backers_count]])</f>
        <v>136.36363636363637</v>
      </c>
      <c r="U1859" t="str">
        <f>LEFT(Table1[[#This Row],[Category and Sub-Category]],FIND("/",Table1[[#This Row],[Category and Sub-Category]])-1)</f>
        <v>music</v>
      </c>
      <c r="V1859" t="str">
        <f>RIGHT(Table1[[#This Row],[Category and Sub-Category]],LEN(Table1[[#This Row],[Category and Sub-Category]])-FIND("/",Table1[[#This Row],[Category and Sub-Category]]))</f>
        <v>rock</v>
      </c>
    </row>
    <row r="1860" spans="1:22" ht="57.6" x14ac:dyDescent="0.3">
      <c r="A1860">
        <v>1858</v>
      </c>
      <c r="B1860" s="3" t="s">
        <v>1859</v>
      </c>
      <c r="C1860" s="3" t="s">
        <v>5968</v>
      </c>
      <c r="D1860" s="12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>((Table1[[#This Row],[deadline]]/60)/60/24)+DATE(1970,1,1)</f>
        <v>40893.242141203707</v>
      </c>
      <c r="K1860">
        <v>1318826921</v>
      </c>
      <c r="L1860" s="11">
        <f>((Table1[[#This Row],[launched_at]]/60)/60/24)+DATE(1970,1,1)</f>
        <v>40833.200474537036</v>
      </c>
      <c r="M1860">
        <f>MONTH(Table1[[#This Row],[Date Created Conversion]])</f>
        <v>10</v>
      </c>
      <c r="N1860">
        <f>YEAR(Table1[[#This Row],[Date Created Conversion]])</f>
        <v>2011</v>
      </c>
      <c r="O1860" t="b">
        <v>0</v>
      </c>
      <c r="P1860">
        <v>149</v>
      </c>
      <c r="Q1860" t="b">
        <v>1</v>
      </c>
      <c r="R1860" t="s">
        <v>8276</v>
      </c>
      <c r="S1860" s="6">
        <f>Table1[[#This Row],[pledged]]/Table1[[#This Row],[goal]]</f>
        <v>1.0874800874800874</v>
      </c>
      <c r="T1860" s="8">
        <f>IF(Table1[[#This Row],[pledged]]=0,"no backers",Table1[[#This Row],[pledged]]/Table1[[#This Row],[backers_count]])</f>
        <v>40.547315436241611</v>
      </c>
      <c r="U1860" t="str">
        <f>LEFT(Table1[[#This Row],[Category and Sub-Category]],FIND("/",Table1[[#This Row],[Category and Sub-Category]])-1)</f>
        <v>music</v>
      </c>
      <c r="V1860" t="str">
        <f>RIGHT(Table1[[#This Row],[Category and Sub-Category]],LEN(Table1[[#This Row],[Category and Sub-Category]])-FIND("/",Table1[[#This Row],[Category and Sub-Category]]))</f>
        <v>rock</v>
      </c>
    </row>
    <row r="1861" spans="1:22" ht="28.8" x14ac:dyDescent="0.3">
      <c r="A1861">
        <v>1859</v>
      </c>
      <c r="B1861" s="3" t="s">
        <v>1860</v>
      </c>
      <c r="C1861" s="3" t="s">
        <v>5969</v>
      </c>
      <c r="D1861" s="12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>((Table1[[#This Row],[deadline]]/60)/60/24)+DATE(1970,1,1)</f>
        <v>40808.770011574074</v>
      </c>
      <c r="K1861">
        <v>1314124129</v>
      </c>
      <c r="L1861" s="11">
        <f>((Table1[[#This Row],[launched_at]]/60)/60/24)+DATE(1970,1,1)</f>
        <v>40778.770011574074</v>
      </c>
      <c r="M1861">
        <f>MONTH(Table1[[#This Row],[Date Created Conversion]])</f>
        <v>8</v>
      </c>
      <c r="N1861">
        <f>YEAR(Table1[[#This Row],[Date Created Conversion]])</f>
        <v>2011</v>
      </c>
      <c r="O1861" t="b">
        <v>0</v>
      </c>
      <c r="P1861">
        <v>56</v>
      </c>
      <c r="Q1861" t="b">
        <v>1</v>
      </c>
      <c r="R1861" t="s">
        <v>8276</v>
      </c>
      <c r="S1861" s="6">
        <f>Table1[[#This Row],[pledged]]/Table1[[#This Row],[goal]]</f>
        <v>1.3183333333333334</v>
      </c>
      <c r="T1861" s="8">
        <f>IF(Table1[[#This Row],[pledged]]=0,"no backers",Table1[[#This Row],[pledged]]/Table1[[#This Row],[backers_count]])</f>
        <v>70.625</v>
      </c>
      <c r="U1861" t="str">
        <f>LEFT(Table1[[#This Row],[Category and Sub-Category]],FIND("/",Table1[[#This Row],[Category and Sub-Category]])-1)</f>
        <v>music</v>
      </c>
      <c r="V1861" t="str">
        <f>RIGHT(Table1[[#This Row],[Category and Sub-Category]],LEN(Table1[[#This Row],[Category and Sub-Category]])-FIND("/",Table1[[#This Row],[Category and Sub-Category]]))</f>
        <v>rock</v>
      </c>
    </row>
    <row r="1862" spans="1:22" ht="43.2" x14ac:dyDescent="0.3">
      <c r="A1862">
        <v>1860</v>
      </c>
      <c r="B1862" s="3" t="s">
        <v>1861</v>
      </c>
      <c r="C1862" s="3" t="s">
        <v>5970</v>
      </c>
      <c r="D1862" s="1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>((Table1[[#This Row],[deadline]]/60)/60/24)+DATE(1970,1,1)</f>
        <v>41676.709305555552</v>
      </c>
      <c r="K1862">
        <v>1389891684</v>
      </c>
      <c r="L1862" s="11">
        <f>((Table1[[#This Row],[launched_at]]/60)/60/24)+DATE(1970,1,1)</f>
        <v>41655.709305555552</v>
      </c>
      <c r="M1862">
        <f>MONTH(Table1[[#This Row],[Date Created Conversion]])</f>
        <v>1</v>
      </c>
      <c r="N1862">
        <f>YEAR(Table1[[#This Row],[Date Created Conversion]])</f>
        <v>2014</v>
      </c>
      <c r="O1862" t="b">
        <v>0</v>
      </c>
      <c r="P1862">
        <v>19</v>
      </c>
      <c r="Q1862" t="b">
        <v>1</v>
      </c>
      <c r="R1862" t="s">
        <v>8276</v>
      </c>
      <c r="S1862" s="6">
        <f>Table1[[#This Row],[pledged]]/Table1[[#This Row],[goal]]</f>
        <v>1.3346666666666667</v>
      </c>
      <c r="T1862" s="8">
        <f>IF(Table1[[#This Row],[pledged]]=0,"no backers",Table1[[#This Row],[pledged]]/Table1[[#This Row],[backers_count]])</f>
        <v>52.684210526315788</v>
      </c>
      <c r="U1862" t="str">
        <f>LEFT(Table1[[#This Row],[Category and Sub-Category]],FIND("/",Table1[[#This Row],[Category and Sub-Category]])-1)</f>
        <v>music</v>
      </c>
      <c r="V1862" t="str">
        <f>RIGHT(Table1[[#This Row],[Category and Sub-Category]],LEN(Table1[[#This Row],[Category and Sub-Category]])-FIND("/",Table1[[#This Row],[Category and Sub-Category]]))</f>
        <v>rock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 s="12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>((Table1[[#This Row],[deadline]]/60)/60/24)+DATE(1970,1,1)</f>
        <v>42030.300243055557</v>
      </c>
      <c r="K1863">
        <v>1419664341</v>
      </c>
      <c r="L1863" s="11">
        <f>((Table1[[#This Row],[launched_at]]/60)/60/24)+DATE(1970,1,1)</f>
        <v>42000.300243055557</v>
      </c>
      <c r="M1863">
        <f>MONTH(Table1[[#This Row],[Date Created Conversion]])</f>
        <v>12</v>
      </c>
      <c r="N1863">
        <f>YEAR(Table1[[#This Row],[Date Created Conversion]])</f>
        <v>2014</v>
      </c>
      <c r="O1863" t="b">
        <v>0</v>
      </c>
      <c r="P1863">
        <v>0</v>
      </c>
      <c r="Q1863" t="b">
        <v>0</v>
      </c>
      <c r="R1863" t="s">
        <v>8283</v>
      </c>
      <c r="S1863" s="6">
        <f>Table1[[#This Row],[pledged]]/Table1[[#This Row],[goal]]</f>
        <v>0</v>
      </c>
      <c r="T1863" s="8" t="str">
        <f>IF(Table1[[#This Row],[pledged]]=0,"no backers",Table1[[#This Row],[pledged]]/Table1[[#This Row],[backers_count]])</f>
        <v>no backers</v>
      </c>
      <c r="U1863" t="str">
        <f>LEFT(Table1[[#This Row],[Category and Sub-Category]],FIND("/",Table1[[#This Row],[Category and Sub-Category]])-1)</f>
        <v>games</v>
      </c>
      <c r="V1863" t="str">
        <f>RIGHT(Table1[[#This Row],[Category and Sub-Category]],LEN(Table1[[#This Row],[Category and Sub-Category]])-FIND("/",Table1[[#This Row],[Category and Sub-Category]]))</f>
        <v>mobile games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 s="12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>((Table1[[#This Row],[deadline]]/60)/60/24)+DATE(1970,1,1)</f>
        <v>42802.3125</v>
      </c>
      <c r="K1864">
        <v>1484912974</v>
      </c>
      <c r="L1864" s="11">
        <f>((Table1[[#This Row],[launched_at]]/60)/60/24)+DATE(1970,1,1)</f>
        <v>42755.492754629624</v>
      </c>
      <c r="M1864">
        <f>MONTH(Table1[[#This Row],[Date Created Conversion]])</f>
        <v>1</v>
      </c>
      <c r="N1864">
        <f>YEAR(Table1[[#This Row],[Date Created Conversion]])</f>
        <v>2017</v>
      </c>
      <c r="O1864" t="b">
        <v>0</v>
      </c>
      <c r="P1864">
        <v>16</v>
      </c>
      <c r="Q1864" t="b">
        <v>0</v>
      </c>
      <c r="R1864" t="s">
        <v>8283</v>
      </c>
      <c r="S1864" s="6">
        <f>Table1[[#This Row],[pledged]]/Table1[[#This Row],[goal]]</f>
        <v>8.0833333333333326E-2</v>
      </c>
      <c r="T1864" s="8">
        <f>IF(Table1[[#This Row],[pledged]]=0,"no backers",Table1[[#This Row],[pledged]]/Table1[[#This Row],[backers_count]])</f>
        <v>90.9375</v>
      </c>
      <c r="U1864" t="str">
        <f>LEFT(Table1[[#This Row],[Category and Sub-Category]],FIND("/",Table1[[#This Row],[Category and Sub-Category]])-1)</f>
        <v>games</v>
      </c>
      <c r="V1864" t="str">
        <f>RIGHT(Table1[[#This Row],[Category and Sub-Category]],LEN(Table1[[#This Row],[Category and Sub-Category]])-FIND("/",Table1[[#This Row],[Category and Sub-Category]]))</f>
        <v>mobile games</v>
      </c>
    </row>
    <row r="1865" spans="1:22" ht="43.2" x14ac:dyDescent="0.3">
      <c r="A1865">
        <v>1863</v>
      </c>
      <c r="B1865" s="3" t="s">
        <v>1864</v>
      </c>
      <c r="C1865" s="3" t="s">
        <v>5973</v>
      </c>
      <c r="D1865" s="12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>((Table1[[#This Row],[deadline]]/60)/60/24)+DATE(1970,1,1)</f>
        <v>41802.797280092593</v>
      </c>
      <c r="K1865">
        <v>1400008085</v>
      </c>
      <c r="L1865" s="11">
        <f>((Table1[[#This Row],[launched_at]]/60)/60/24)+DATE(1970,1,1)</f>
        <v>41772.797280092593</v>
      </c>
      <c r="M1865">
        <f>MONTH(Table1[[#This Row],[Date Created Conversion]])</f>
        <v>5</v>
      </c>
      <c r="N1865">
        <f>YEAR(Table1[[#This Row],[Date Created Conversion]])</f>
        <v>2014</v>
      </c>
      <c r="O1865" t="b">
        <v>0</v>
      </c>
      <c r="P1865">
        <v>2</v>
      </c>
      <c r="Q1865" t="b">
        <v>0</v>
      </c>
      <c r="R1865" t="s">
        <v>8283</v>
      </c>
      <c r="S1865" s="6">
        <f>Table1[[#This Row],[pledged]]/Table1[[#This Row],[goal]]</f>
        <v>4.0000000000000001E-3</v>
      </c>
      <c r="T1865" s="8">
        <f>IF(Table1[[#This Row],[pledged]]=0,"no backers",Table1[[#This Row],[pledged]]/Table1[[#This Row],[backers_count]])</f>
        <v>5</v>
      </c>
      <c r="U1865" t="str">
        <f>LEFT(Table1[[#This Row],[Category and Sub-Category]],FIND("/",Table1[[#This Row],[Category and Sub-Category]])-1)</f>
        <v>games</v>
      </c>
      <c r="V1865" t="str">
        <f>RIGHT(Table1[[#This Row],[Category and Sub-Category]],LEN(Table1[[#This Row],[Category and Sub-Category]])-FIND("/",Table1[[#This Row],[Category and Sub-Category]]))</f>
        <v>mobile games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 s="12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>((Table1[[#This Row],[deadline]]/60)/60/24)+DATE(1970,1,1)</f>
        <v>41763.716435185182</v>
      </c>
      <c r="K1866">
        <v>1396631500</v>
      </c>
      <c r="L1866" s="11">
        <f>((Table1[[#This Row],[launched_at]]/60)/60/24)+DATE(1970,1,1)</f>
        <v>41733.716435185182</v>
      </c>
      <c r="M1866">
        <f>MONTH(Table1[[#This Row],[Date Created Conversion]])</f>
        <v>4</v>
      </c>
      <c r="N1866">
        <f>YEAR(Table1[[#This Row],[Date Created Conversion]])</f>
        <v>2014</v>
      </c>
      <c r="O1866" t="b">
        <v>0</v>
      </c>
      <c r="P1866">
        <v>48</v>
      </c>
      <c r="Q1866" t="b">
        <v>0</v>
      </c>
      <c r="R1866" t="s">
        <v>8283</v>
      </c>
      <c r="S1866" s="6">
        <f>Table1[[#This Row],[pledged]]/Table1[[#This Row],[goal]]</f>
        <v>0.42892307692307691</v>
      </c>
      <c r="T1866" s="8">
        <f>IF(Table1[[#This Row],[pledged]]=0,"no backers",Table1[[#This Row],[pledged]]/Table1[[#This Row],[backers_count]])</f>
        <v>58.083333333333336</v>
      </c>
      <c r="U1866" t="str">
        <f>LEFT(Table1[[#This Row],[Category and Sub-Category]],FIND("/",Table1[[#This Row],[Category and Sub-Category]])-1)</f>
        <v>games</v>
      </c>
      <c r="V1866" t="str">
        <f>RIGHT(Table1[[#This Row],[Category and Sub-Category]],LEN(Table1[[#This Row],[Category and Sub-Category]])-FIND("/",Table1[[#This Row],[Category and Sub-Category]]))</f>
        <v>mobile games</v>
      </c>
    </row>
    <row r="1867" spans="1:22" ht="57.6" x14ac:dyDescent="0.3">
      <c r="A1867">
        <v>1865</v>
      </c>
      <c r="B1867" s="3" t="s">
        <v>1866</v>
      </c>
      <c r="C1867" s="3" t="s">
        <v>5975</v>
      </c>
      <c r="D1867" s="12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>((Table1[[#This Row],[deadline]]/60)/60/24)+DATE(1970,1,1)</f>
        <v>42680.409108796302</v>
      </c>
      <c r="K1867">
        <v>1475398147</v>
      </c>
      <c r="L1867" s="11">
        <f>((Table1[[#This Row],[launched_at]]/60)/60/24)+DATE(1970,1,1)</f>
        <v>42645.367442129631</v>
      </c>
      <c r="M1867">
        <f>MONTH(Table1[[#This Row],[Date Created Conversion]])</f>
        <v>10</v>
      </c>
      <c r="N1867">
        <f>YEAR(Table1[[#This Row],[Date Created Conversion]])</f>
        <v>2016</v>
      </c>
      <c r="O1867" t="b">
        <v>0</v>
      </c>
      <c r="P1867">
        <v>2</v>
      </c>
      <c r="Q1867" t="b">
        <v>0</v>
      </c>
      <c r="R1867" t="s">
        <v>8283</v>
      </c>
      <c r="S1867" s="6">
        <f>Table1[[#This Row],[pledged]]/Table1[[#This Row],[goal]]</f>
        <v>3.6363636363636364E-5</v>
      </c>
      <c r="T1867" s="8">
        <f>IF(Table1[[#This Row],[pledged]]=0,"no backers",Table1[[#This Row],[pledged]]/Table1[[#This Row],[backers_count]])</f>
        <v>2</v>
      </c>
      <c r="U1867" t="str">
        <f>LEFT(Table1[[#This Row],[Category and Sub-Category]],FIND("/",Table1[[#This Row],[Category and Sub-Category]])-1)</f>
        <v>games</v>
      </c>
      <c r="V1867" t="str">
        <f>RIGHT(Table1[[#This Row],[Category and Sub-Category]],LEN(Table1[[#This Row],[Category and Sub-Category]])-FIND("/",Table1[[#This Row],[Category and Sub-Category]]))</f>
        <v>mobile games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 s="12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>((Table1[[#This Row],[deadline]]/60)/60/24)+DATE(1970,1,1)</f>
        <v>42795.166666666672</v>
      </c>
      <c r="K1868">
        <v>1483768497</v>
      </c>
      <c r="L1868" s="11">
        <f>((Table1[[#This Row],[launched_at]]/60)/60/24)+DATE(1970,1,1)</f>
        <v>42742.246493055558</v>
      </c>
      <c r="M1868">
        <f>MONTH(Table1[[#This Row],[Date Created Conversion]])</f>
        <v>1</v>
      </c>
      <c r="N1868">
        <f>YEAR(Table1[[#This Row],[Date Created Conversion]])</f>
        <v>2017</v>
      </c>
      <c r="O1868" t="b">
        <v>0</v>
      </c>
      <c r="P1868">
        <v>2</v>
      </c>
      <c r="Q1868" t="b">
        <v>0</v>
      </c>
      <c r="R1868" t="s">
        <v>8283</v>
      </c>
      <c r="S1868" s="6">
        <f>Table1[[#This Row],[pledged]]/Table1[[#This Row],[goal]]</f>
        <v>5.0000000000000001E-3</v>
      </c>
      <c r="T1868" s="8">
        <f>IF(Table1[[#This Row],[pledged]]=0,"no backers",Table1[[#This Row],[pledged]]/Table1[[#This Row],[backers_count]])</f>
        <v>62.5</v>
      </c>
      <c r="U1868" t="str">
        <f>LEFT(Table1[[#This Row],[Category and Sub-Category]],FIND("/",Table1[[#This Row],[Category and Sub-Category]])-1)</f>
        <v>games</v>
      </c>
      <c r="V1868" t="str">
        <f>RIGHT(Table1[[#This Row],[Category and Sub-Category]],LEN(Table1[[#This Row],[Category and Sub-Category]])-FIND("/",Table1[[#This Row],[Category and Sub-Category]]))</f>
        <v>mobile games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 s="12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>((Table1[[#This Row],[deadline]]/60)/60/24)+DATE(1970,1,1)</f>
        <v>42679.924907407403</v>
      </c>
      <c r="K1869">
        <v>1475791912</v>
      </c>
      <c r="L1869" s="11">
        <f>((Table1[[#This Row],[launched_at]]/60)/60/24)+DATE(1970,1,1)</f>
        <v>42649.924907407403</v>
      </c>
      <c r="M1869">
        <f>MONTH(Table1[[#This Row],[Date Created Conversion]])</f>
        <v>10</v>
      </c>
      <c r="N1869">
        <f>YEAR(Table1[[#This Row],[Date Created Conversion]])</f>
        <v>2016</v>
      </c>
      <c r="O1869" t="b">
        <v>0</v>
      </c>
      <c r="P1869">
        <v>1</v>
      </c>
      <c r="Q1869" t="b">
        <v>0</v>
      </c>
      <c r="R1869" t="s">
        <v>8283</v>
      </c>
      <c r="S1869" s="6">
        <f>Table1[[#This Row],[pledged]]/Table1[[#This Row],[goal]]</f>
        <v>5.0000000000000001E-4</v>
      </c>
      <c r="T1869" s="8">
        <f>IF(Table1[[#This Row],[pledged]]=0,"no backers",Table1[[#This Row],[pledged]]/Table1[[#This Row],[backers_count]])</f>
        <v>10</v>
      </c>
      <c r="U1869" t="str">
        <f>LEFT(Table1[[#This Row],[Category and Sub-Category]],FIND("/",Table1[[#This Row],[Category and Sub-Category]])-1)</f>
        <v>games</v>
      </c>
      <c r="V1869" t="str">
        <f>RIGHT(Table1[[#This Row],[Category and Sub-Category]],LEN(Table1[[#This Row],[Category and Sub-Category]])-FIND("/",Table1[[#This Row],[Category and Sub-Category]]))</f>
        <v>mobile games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 s="12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>((Table1[[#This Row],[deadline]]/60)/60/24)+DATE(1970,1,1)</f>
        <v>42353.332638888889</v>
      </c>
      <c r="K1870">
        <v>1448044925</v>
      </c>
      <c r="L1870" s="11">
        <f>((Table1[[#This Row],[launched_at]]/60)/60/24)+DATE(1970,1,1)</f>
        <v>42328.779224537036</v>
      </c>
      <c r="M1870">
        <f>MONTH(Table1[[#This Row],[Date Created Conversion]])</f>
        <v>11</v>
      </c>
      <c r="N1870">
        <f>YEAR(Table1[[#This Row],[Date Created Conversion]])</f>
        <v>2015</v>
      </c>
      <c r="O1870" t="b">
        <v>0</v>
      </c>
      <c r="P1870">
        <v>17</v>
      </c>
      <c r="Q1870" t="b">
        <v>0</v>
      </c>
      <c r="R1870" t="s">
        <v>8283</v>
      </c>
      <c r="S1870" s="6">
        <f>Table1[[#This Row],[pledged]]/Table1[[#This Row],[goal]]</f>
        <v>4.8680000000000001E-2</v>
      </c>
      <c r="T1870" s="8">
        <f>IF(Table1[[#This Row],[pledged]]=0,"no backers",Table1[[#This Row],[pledged]]/Table1[[#This Row],[backers_count]])</f>
        <v>71.588235294117652</v>
      </c>
      <c r="U1870" t="str">
        <f>LEFT(Table1[[#This Row],[Category and Sub-Category]],FIND("/",Table1[[#This Row],[Category and Sub-Category]])-1)</f>
        <v>games</v>
      </c>
      <c r="V1870" t="str">
        <f>RIGHT(Table1[[#This Row],[Category and Sub-Category]],LEN(Table1[[#This Row],[Category and Sub-Category]])-FIND("/",Table1[[#This Row],[Category and Sub-Category]]))</f>
        <v>mobile games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 s="12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>((Table1[[#This Row],[deadline]]/60)/60/24)+DATE(1970,1,1)</f>
        <v>42739.002881944441</v>
      </c>
      <c r="K1871">
        <v>1480896249</v>
      </c>
      <c r="L1871" s="11">
        <f>((Table1[[#This Row],[launched_at]]/60)/60/24)+DATE(1970,1,1)</f>
        <v>42709.002881944441</v>
      </c>
      <c r="M1871">
        <f>MONTH(Table1[[#This Row],[Date Created Conversion]])</f>
        <v>12</v>
      </c>
      <c r="N1871">
        <f>YEAR(Table1[[#This Row],[Date Created Conversion]])</f>
        <v>2016</v>
      </c>
      <c r="O1871" t="b">
        <v>0</v>
      </c>
      <c r="P1871">
        <v>0</v>
      </c>
      <c r="Q1871" t="b">
        <v>0</v>
      </c>
      <c r="R1871" t="s">
        <v>8283</v>
      </c>
      <c r="S1871" s="6">
        <f>Table1[[#This Row],[pledged]]/Table1[[#This Row],[goal]]</f>
        <v>0</v>
      </c>
      <c r="T1871" s="8" t="str">
        <f>IF(Table1[[#This Row],[pledged]]=0,"no backers",Table1[[#This Row],[pledged]]/Table1[[#This Row],[backers_count]])</f>
        <v>no backers</v>
      </c>
      <c r="U1871" t="str">
        <f>LEFT(Table1[[#This Row],[Category and Sub-Category]],FIND("/",Table1[[#This Row],[Category and Sub-Category]])-1)</f>
        <v>games</v>
      </c>
      <c r="V1871" t="str">
        <f>RIGHT(Table1[[#This Row],[Category and Sub-Category]],LEN(Table1[[#This Row],[Category and Sub-Category]])-FIND("/",Table1[[#This Row],[Category and Sub-Category]]))</f>
        <v>mobile games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 s="1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>((Table1[[#This Row],[deadline]]/60)/60/24)+DATE(1970,1,1)</f>
        <v>42400.178472222222</v>
      </c>
      <c r="K1872">
        <v>1451723535</v>
      </c>
      <c r="L1872" s="11">
        <f>((Table1[[#This Row],[launched_at]]/60)/60/24)+DATE(1970,1,1)</f>
        <v>42371.355729166666</v>
      </c>
      <c r="M1872">
        <f>MONTH(Table1[[#This Row],[Date Created Conversion]])</f>
        <v>1</v>
      </c>
      <c r="N1872">
        <f>YEAR(Table1[[#This Row],[Date Created Conversion]])</f>
        <v>2016</v>
      </c>
      <c r="O1872" t="b">
        <v>0</v>
      </c>
      <c r="P1872">
        <v>11</v>
      </c>
      <c r="Q1872" t="b">
        <v>0</v>
      </c>
      <c r="R1872" t="s">
        <v>8283</v>
      </c>
      <c r="S1872" s="6">
        <f>Table1[[#This Row],[pledged]]/Table1[[#This Row],[goal]]</f>
        <v>0.10314285714285715</v>
      </c>
      <c r="T1872" s="8">
        <f>IF(Table1[[#This Row],[pledged]]=0,"no backers",Table1[[#This Row],[pledged]]/Table1[[#This Row],[backers_count]])</f>
        <v>32.81818181818182</v>
      </c>
      <c r="U1872" t="str">
        <f>LEFT(Table1[[#This Row],[Category and Sub-Category]],FIND("/",Table1[[#This Row],[Category and Sub-Category]])-1)</f>
        <v>games</v>
      </c>
      <c r="V1872" t="str">
        <f>RIGHT(Table1[[#This Row],[Category and Sub-Category]],LEN(Table1[[#This Row],[Category and Sub-Category]])-FIND("/",Table1[[#This Row],[Category and Sub-Category]]))</f>
        <v>mobile games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 s="12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>((Table1[[#This Row],[deadline]]/60)/60/24)+DATE(1970,1,1)</f>
        <v>41963.825243055559</v>
      </c>
      <c r="K1873">
        <v>1413053301</v>
      </c>
      <c r="L1873" s="11">
        <f>((Table1[[#This Row],[launched_at]]/60)/60/24)+DATE(1970,1,1)</f>
        <v>41923.783576388887</v>
      </c>
      <c r="M1873">
        <f>MONTH(Table1[[#This Row],[Date Created Conversion]])</f>
        <v>10</v>
      </c>
      <c r="N1873">
        <f>YEAR(Table1[[#This Row],[Date Created Conversion]])</f>
        <v>2014</v>
      </c>
      <c r="O1873" t="b">
        <v>0</v>
      </c>
      <c r="P1873">
        <v>95</v>
      </c>
      <c r="Q1873" t="b">
        <v>0</v>
      </c>
      <c r="R1873" t="s">
        <v>8283</v>
      </c>
      <c r="S1873" s="6">
        <f>Table1[[#This Row],[pledged]]/Table1[[#This Row],[goal]]</f>
        <v>0.7178461538461538</v>
      </c>
      <c r="T1873" s="8">
        <f>IF(Table1[[#This Row],[pledged]]=0,"no backers",Table1[[#This Row],[pledged]]/Table1[[#This Row],[backers_count]])</f>
        <v>49.11578947368421</v>
      </c>
      <c r="U1873" t="str">
        <f>LEFT(Table1[[#This Row],[Category and Sub-Category]],FIND("/",Table1[[#This Row],[Category and Sub-Category]])-1)</f>
        <v>games</v>
      </c>
      <c r="V1873" t="str">
        <f>RIGHT(Table1[[#This Row],[Category and Sub-Category]],LEN(Table1[[#This Row],[Category and Sub-Category]])-FIND("/",Table1[[#This Row],[Category and Sub-Category]]))</f>
        <v>mobile games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 s="12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>((Table1[[#This Row],[deadline]]/60)/60/24)+DATE(1970,1,1)</f>
        <v>42185.129652777774</v>
      </c>
      <c r="K1874">
        <v>1433041602</v>
      </c>
      <c r="L1874" s="11">
        <f>((Table1[[#This Row],[launched_at]]/60)/60/24)+DATE(1970,1,1)</f>
        <v>42155.129652777774</v>
      </c>
      <c r="M1874">
        <f>MONTH(Table1[[#This Row],[Date Created Conversion]])</f>
        <v>5</v>
      </c>
      <c r="N1874">
        <f>YEAR(Table1[[#This Row],[Date Created Conversion]])</f>
        <v>2015</v>
      </c>
      <c r="O1874" t="b">
        <v>0</v>
      </c>
      <c r="P1874">
        <v>13</v>
      </c>
      <c r="Q1874" t="b">
        <v>0</v>
      </c>
      <c r="R1874" t="s">
        <v>8283</v>
      </c>
      <c r="S1874" s="6">
        <f>Table1[[#This Row],[pledged]]/Table1[[#This Row],[goal]]</f>
        <v>1.06E-2</v>
      </c>
      <c r="T1874" s="8">
        <f>IF(Table1[[#This Row],[pledged]]=0,"no backers",Table1[[#This Row],[pledged]]/Table1[[#This Row],[backers_count]])</f>
        <v>16.307692307692307</v>
      </c>
      <c r="U1874" t="str">
        <f>LEFT(Table1[[#This Row],[Category and Sub-Category]],FIND("/",Table1[[#This Row],[Category and Sub-Category]])-1)</f>
        <v>games</v>
      </c>
      <c r="V1874" t="str">
        <f>RIGHT(Table1[[#This Row],[Category and Sub-Category]],LEN(Table1[[#This Row],[Category and Sub-Category]])-FIND("/",Table1[[#This Row],[Category and Sub-Category]]))</f>
        <v>mobile games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 s="12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>((Table1[[#This Row],[deadline]]/60)/60/24)+DATE(1970,1,1)</f>
        <v>42193.697916666672</v>
      </c>
      <c r="K1875">
        <v>1433861210</v>
      </c>
      <c r="L1875" s="11">
        <f>((Table1[[#This Row],[launched_at]]/60)/60/24)+DATE(1970,1,1)</f>
        <v>42164.615856481483</v>
      </c>
      <c r="M1875">
        <f>MONTH(Table1[[#This Row],[Date Created Conversion]])</f>
        <v>6</v>
      </c>
      <c r="N1875">
        <f>YEAR(Table1[[#This Row],[Date Created Conversion]])</f>
        <v>2015</v>
      </c>
      <c r="O1875" t="b">
        <v>0</v>
      </c>
      <c r="P1875">
        <v>2</v>
      </c>
      <c r="Q1875" t="b">
        <v>0</v>
      </c>
      <c r="R1875" t="s">
        <v>8283</v>
      </c>
      <c r="S1875" s="6">
        <f>Table1[[#This Row],[pledged]]/Table1[[#This Row],[goal]]</f>
        <v>4.4999999999999997E-3</v>
      </c>
      <c r="T1875" s="8">
        <f>IF(Table1[[#This Row],[pledged]]=0,"no backers",Table1[[#This Row],[pledged]]/Table1[[#This Row],[backers_count]])</f>
        <v>18</v>
      </c>
      <c r="U1875" t="str">
        <f>LEFT(Table1[[#This Row],[Category and Sub-Category]],FIND("/",Table1[[#This Row],[Category and Sub-Category]])-1)</f>
        <v>games</v>
      </c>
      <c r="V1875" t="str">
        <f>RIGHT(Table1[[#This Row],[Category and Sub-Category]],LEN(Table1[[#This Row],[Category and Sub-Category]])-FIND("/",Table1[[#This Row],[Category and Sub-Category]]))</f>
        <v>mobile games</v>
      </c>
    </row>
    <row r="1876" spans="1:22" ht="57.6" x14ac:dyDescent="0.3">
      <c r="A1876">
        <v>1874</v>
      </c>
      <c r="B1876" s="3" t="s">
        <v>1875</v>
      </c>
      <c r="C1876" s="3" t="s">
        <v>5984</v>
      </c>
      <c r="D1876" s="12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>((Table1[[#This Row],[deadline]]/60)/60/24)+DATE(1970,1,1)</f>
        <v>42549.969131944439</v>
      </c>
      <c r="K1876">
        <v>1465427733</v>
      </c>
      <c r="L1876" s="11">
        <f>((Table1[[#This Row],[launched_at]]/60)/60/24)+DATE(1970,1,1)</f>
        <v>42529.969131944439</v>
      </c>
      <c r="M1876">
        <f>MONTH(Table1[[#This Row],[Date Created Conversion]])</f>
        <v>6</v>
      </c>
      <c r="N1876">
        <f>YEAR(Table1[[#This Row],[Date Created Conversion]])</f>
        <v>2016</v>
      </c>
      <c r="O1876" t="b">
        <v>0</v>
      </c>
      <c r="P1876">
        <v>2</v>
      </c>
      <c r="Q1876" t="b">
        <v>0</v>
      </c>
      <c r="R1876" t="s">
        <v>8283</v>
      </c>
      <c r="S1876" s="6">
        <f>Table1[[#This Row],[pledged]]/Table1[[#This Row],[goal]]</f>
        <v>1.6249999999999999E-4</v>
      </c>
      <c r="T1876" s="8">
        <f>IF(Table1[[#This Row],[pledged]]=0,"no backers",Table1[[#This Row],[pledged]]/Table1[[#This Row],[backers_count]])</f>
        <v>13</v>
      </c>
      <c r="U1876" t="str">
        <f>LEFT(Table1[[#This Row],[Category and Sub-Category]],FIND("/",Table1[[#This Row],[Category and Sub-Category]])-1)</f>
        <v>games</v>
      </c>
      <c r="V1876" t="str">
        <f>RIGHT(Table1[[#This Row],[Category and Sub-Category]],LEN(Table1[[#This Row],[Category and Sub-Category]])-FIND("/",Table1[[#This Row],[Category and Sub-Category]]))</f>
        <v>mobile games</v>
      </c>
    </row>
    <row r="1877" spans="1:22" ht="43.2" x14ac:dyDescent="0.3">
      <c r="A1877">
        <v>1875</v>
      </c>
      <c r="B1877" s="3" t="s">
        <v>1876</v>
      </c>
      <c r="C1877" s="3" t="s">
        <v>5985</v>
      </c>
      <c r="D1877" s="12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>((Table1[[#This Row],[deadline]]/60)/60/24)+DATE(1970,1,1)</f>
        <v>42588.899398148147</v>
      </c>
      <c r="K1877">
        <v>1465335308</v>
      </c>
      <c r="L1877" s="11">
        <f>((Table1[[#This Row],[launched_at]]/60)/60/24)+DATE(1970,1,1)</f>
        <v>42528.899398148147</v>
      </c>
      <c r="M1877">
        <f>MONTH(Table1[[#This Row],[Date Created Conversion]])</f>
        <v>6</v>
      </c>
      <c r="N1877">
        <f>YEAR(Table1[[#This Row],[Date Created Conversion]])</f>
        <v>2016</v>
      </c>
      <c r="O1877" t="b">
        <v>0</v>
      </c>
      <c r="P1877">
        <v>3</v>
      </c>
      <c r="Q1877" t="b">
        <v>0</v>
      </c>
      <c r="R1877" t="s">
        <v>8283</v>
      </c>
      <c r="S1877" s="6">
        <f>Table1[[#This Row],[pledged]]/Table1[[#This Row],[goal]]</f>
        <v>5.1000000000000004E-3</v>
      </c>
      <c r="T1877" s="8">
        <f>IF(Table1[[#This Row],[pledged]]=0,"no backers",Table1[[#This Row],[pledged]]/Table1[[#This Row],[backers_count]])</f>
        <v>17</v>
      </c>
      <c r="U1877" t="str">
        <f>LEFT(Table1[[#This Row],[Category and Sub-Category]],FIND("/",Table1[[#This Row],[Category and Sub-Category]])-1)</f>
        <v>games</v>
      </c>
      <c r="V1877" t="str">
        <f>RIGHT(Table1[[#This Row],[Category and Sub-Category]],LEN(Table1[[#This Row],[Category and Sub-Category]])-FIND("/",Table1[[#This Row],[Category and Sub-Category]]))</f>
        <v>mobile games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 s="12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>((Table1[[#This Row],[deadline]]/60)/60/24)+DATE(1970,1,1)</f>
        <v>41806.284780092588</v>
      </c>
      <c r="K1878">
        <v>1400309405</v>
      </c>
      <c r="L1878" s="11">
        <f>((Table1[[#This Row],[launched_at]]/60)/60/24)+DATE(1970,1,1)</f>
        <v>41776.284780092588</v>
      </c>
      <c r="M1878">
        <f>MONTH(Table1[[#This Row],[Date Created Conversion]])</f>
        <v>5</v>
      </c>
      <c r="N1878">
        <f>YEAR(Table1[[#This Row],[Date Created Conversion]])</f>
        <v>2014</v>
      </c>
      <c r="O1878" t="b">
        <v>0</v>
      </c>
      <c r="P1878">
        <v>0</v>
      </c>
      <c r="Q1878" t="b">
        <v>0</v>
      </c>
      <c r="R1878" t="s">
        <v>8283</v>
      </c>
      <c r="S1878" s="6">
        <f>Table1[[#This Row],[pledged]]/Table1[[#This Row],[goal]]</f>
        <v>0</v>
      </c>
      <c r="T1878" s="8" t="str">
        <f>IF(Table1[[#This Row],[pledged]]=0,"no backers",Table1[[#This Row],[pledged]]/Table1[[#This Row],[backers_count]])</f>
        <v>no backers</v>
      </c>
      <c r="U1878" t="str">
        <f>LEFT(Table1[[#This Row],[Category and Sub-Category]],FIND("/",Table1[[#This Row],[Category and Sub-Category]])-1)</f>
        <v>games</v>
      </c>
      <c r="V1878" t="str">
        <f>RIGHT(Table1[[#This Row],[Category and Sub-Category]],LEN(Table1[[#This Row],[Category and Sub-Category]])-FIND("/",Table1[[#This Row],[Category and Sub-Category]]))</f>
        <v>mobile games</v>
      </c>
    </row>
    <row r="1879" spans="1:22" ht="43.2" x14ac:dyDescent="0.3">
      <c r="A1879">
        <v>1877</v>
      </c>
      <c r="B1879" s="3" t="s">
        <v>1878</v>
      </c>
      <c r="C1879" s="3" t="s">
        <v>5987</v>
      </c>
      <c r="D1879" s="12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>((Table1[[#This Row],[deadline]]/60)/60/24)+DATE(1970,1,1)</f>
        <v>42064.029224537036</v>
      </c>
      <c r="K1879">
        <v>1422664925</v>
      </c>
      <c r="L1879" s="11">
        <f>((Table1[[#This Row],[launched_at]]/60)/60/24)+DATE(1970,1,1)</f>
        <v>42035.029224537036</v>
      </c>
      <c r="M1879">
        <f>MONTH(Table1[[#This Row],[Date Created Conversion]])</f>
        <v>1</v>
      </c>
      <c r="N1879">
        <f>YEAR(Table1[[#This Row],[Date Created Conversion]])</f>
        <v>2015</v>
      </c>
      <c r="O1879" t="b">
        <v>0</v>
      </c>
      <c r="P1879">
        <v>0</v>
      </c>
      <c r="Q1879" t="b">
        <v>0</v>
      </c>
      <c r="R1879" t="s">
        <v>8283</v>
      </c>
      <c r="S1879" s="6">
        <f>Table1[[#This Row],[pledged]]/Table1[[#This Row],[goal]]</f>
        <v>0</v>
      </c>
      <c r="T1879" s="8" t="str">
        <f>IF(Table1[[#This Row],[pledged]]=0,"no backers",Table1[[#This Row],[pledged]]/Table1[[#This Row],[backers_count]])</f>
        <v>no backers</v>
      </c>
      <c r="U1879" t="str">
        <f>LEFT(Table1[[#This Row],[Category and Sub-Category]],FIND("/",Table1[[#This Row],[Category and Sub-Category]])-1)</f>
        <v>games</v>
      </c>
      <c r="V1879" t="str">
        <f>RIGHT(Table1[[#This Row],[Category and Sub-Category]],LEN(Table1[[#This Row],[Category and Sub-Category]])-FIND("/",Table1[[#This Row],[Category and Sub-Category]]))</f>
        <v>mobile games</v>
      </c>
    </row>
    <row r="1880" spans="1:22" ht="57.6" x14ac:dyDescent="0.3">
      <c r="A1880">
        <v>1878</v>
      </c>
      <c r="B1880" s="3" t="s">
        <v>1879</v>
      </c>
      <c r="C1880" s="3" t="s">
        <v>5988</v>
      </c>
      <c r="D1880" s="12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>((Table1[[#This Row],[deadline]]/60)/60/24)+DATE(1970,1,1)</f>
        <v>41803.008738425924</v>
      </c>
      <c r="K1880">
        <v>1400026355</v>
      </c>
      <c r="L1880" s="11">
        <f>((Table1[[#This Row],[launched_at]]/60)/60/24)+DATE(1970,1,1)</f>
        <v>41773.008738425924</v>
      </c>
      <c r="M1880">
        <f>MONTH(Table1[[#This Row],[Date Created Conversion]])</f>
        <v>5</v>
      </c>
      <c r="N1880">
        <f>YEAR(Table1[[#This Row],[Date Created Conversion]])</f>
        <v>2014</v>
      </c>
      <c r="O1880" t="b">
        <v>0</v>
      </c>
      <c r="P1880">
        <v>0</v>
      </c>
      <c r="Q1880" t="b">
        <v>0</v>
      </c>
      <c r="R1880" t="s">
        <v>8283</v>
      </c>
      <c r="S1880" s="6">
        <f>Table1[[#This Row],[pledged]]/Table1[[#This Row],[goal]]</f>
        <v>0</v>
      </c>
      <c r="T1880" s="8" t="str">
        <f>IF(Table1[[#This Row],[pledged]]=0,"no backers",Table1[[#This Row],[pledged]]/Table1[[#This Row],[backers_count]])</f>
        <v>no backers</v>
      </c>
      <c r="U1880" t="str">
        <f>LEFT(Table1[[#This Row],[Category and Sub-Category]],FIND("/",Table1[[#This Row],[Category and Sub-Category]])-1)</f>
        <v>games</v>
      </c>
      <c r="V1880" t="str">
        <f>RIGHT(Table1[[#This Row],[Category and Sub-Category]],LEN(Table1[[#This Row],[Category and Sub-Category]])-FIND("/",Table1[[#This Row],[Category and Sub-Category]]))</f>
        <v>mobile games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 s="12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>((Table1[[#This Row],[deadline]]/60)/60/24)+DATE(1970,1,1)</f>
        <v>42443.607974537037</v>
      </c>
      <c r="K1881">
        <v>1455377729</v>
      </c>
      <c r="L1881" s="11">
        <f>((Table1[[#This Row],[launched_at]]/60)/60/24)+DATE(1970,1,1)</f>
        <v>42413.649641203709</v>
      </c>
      <c r="M1881">
        <f>MONTH(Table1[[#This Row],[Date Created Conversion]])</f>
        <v>2</v>
      </c>
      <c r="N1881">
        <f>YEAR(Table1[[#This Row],[Date Created Conversion]])</f>
        <v>2016</v>
      </c>
      <c r="O1881" t="b">
        <v>0</v>
      </c>
      <c r="P1881">
        <v>2</v>
      </c>
      <c r="Q1881" t="b">
        <v>0</v>
      </c>
      <c r="R1881" t="s">
        <v>8283</v>
      </c>
      <c r="S1881" s="6">
        <f>Table1[[#This Row],[pledged]]/Table1[[#This Row],[goal]]</f>
        <v>1.1999999999999999E-3</v>
      </c>
      <c r="T1881" s="8">
        <f>IF(Table1[[#This Row],[pledged]]=0,"no backers",Table1[[#This Row],[pledged]]/Table1[[#This Row],[backers_count]])</f>
        <v>3</v>
      </c>
      <c r="U1881" t="str">
        <f>LEFT(Table1[[#This Row],[Category and Sub-Category]],FIND("/",Table1[[#This Row],[Category and Sub-Category]])-1)</f>
        <v>games</v>
      </c>
      <c r="V1881" t="str">
        <f>RIGHT(Table1[[#This Row],[Category and Sub-Category]],LEN(Table1[[#This Row],[Category and Sub-Category]])-FIND("/",Table1[[#This Row],[Category and Sub-Category]]))</f>
        <v>mobile games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 s="1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>((Table1[[#This Row],[deadline]]/60)/60/24)+DATE(1970,1,1)</f>
        <v>42459.525231481486</v>
      </c>
      <c r="K1882">
        <v>1456839380</v>
      </c>
      <c r="L1882" s="11">
        <f>((Table1[[#This Row],[launched_at]]/60)/60/24)+DATE(1970,1,1)</f>
        <v>42430.566898148143</v>
      </c>
      <c r="M1882">
        <f>MONTH(Table1[[#This Row],[Date Created Conversion]])</f>
        <v>3</v>
      </c>
      <c r="N1882">
        <f>YEAR(Table1[[#This Row],[Date Created Conversion]])</f>
        <v>2016</v>
      </c>
      <c r="O1882" t="b">
        <v>0</v>
      </c>
      <c r="P1882">
        <v>24</v>
      </c>
      <c r="Q1882" t="b">
        <v>0</v>
      </c>
      <c r="R1882" t="s">
        <v>8283</v>
      </c>
      <c r="S1882" s="6">
        <f>Table1[[#This Row],[pledged]]/Table1[[#This Row],[goal]]</f>
        <v>0.20080000000000001</v>
      </c>
      <c r="T1882" s="8">
        <f>IF(Table1[[#This Row],[pledged]]=0,"no backers",Table1[[#This Row],[pledged]]/Table1[[#This Row],[backers_count]])</f>
        <v>41.833333333333336</v>
      </c>
      <c r="U1882" t="str">
        <f>LEFT(Table1[[#This Row],[Category and Sub-Category]],FIND("/",Table1[[#This Row],[Category and Sub-Category]])-1)</f>
        <v>games</v>
      </c>
      <c r="V1882" t="str">
        <f>RIGHT(Table1[[#This Row],[Category and Sub-Category]],LEN(Table1[[#This Row],[Category and Sub-Category]])-FIND("/",Table1[[#This Row],[Category and Sub-Category]]))</f>
        <v>mobile games</v>
      </c>
    </row>
    <row r="1883" spans="1:22" ht="43.2" x14ac:dyDescent="0.3">
      <c r="A1883">
        <v>1881</v>
      </c>
      <c r="B1883" s="3" t="s">
        <v>1882</v>
      </c>
      <c r="C1883" s="3" t="s">
        <v>5991</v>
      </c>
      <c r="D1883" s="12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>((Table1[[#This Row],[deadline]]/60)/60/24)+DATE(1970,1,1)</f>
        <v>42073.110983796301</v>
      </c>
      <c r="K1883">
        <v>1423366789</v>
      </c>
      <c r="L1883" s="11">
        <f>((Table1[[#This Row],[launched_at]]/60)/60/24)+DATE(1970,1,1)</f>
        <v>42043.152650462958</v>
      </c>
      <c r="M1883">
        <f>MONTH(Table1[[#This Row],[Date Created Conversion]])</f>
        <v>2</v>
      </c>
      <c r="N1883">
        <f>YEAR(Table1[[#This Row],[Date Created Conversion]])</f>
        <v>2015</v>
      </c>
      <c r="O1883" t="b">
        <v>0</v>
      </c>
      <c r="P1883">
        <v>70</v>
      </c>
      <c r="Q1883" t="b">
        <v>1</v>
      </c>
      <c r="R1883" t="s">
        <v>8279</v>
      </c>
      <c r="S1883" s="6">
        <f>Table1[[#This Row],[pledged]]/Table1[[#This Row],[goal]]</f>
        <v>1.726845</v>
      </c>
      <c r="T1883" s="8">
        <f>IF(Table1[[#This Row],[pledged]]=0,"no backers",Table1[[#This Row],[pledged]]/Table1[[#This Row],[backers_count]])</f>
        <v>49.338428571428572</v>
      </c>
      <c r="U1883" t="str">
        <f>LEFT(Table1[[#This Row],[Category and Sub-Category]],FIND("/",Table1[[#This Row],[Category and Sub-Category]])-1)</f>
        <v>music</v>
      </c>
      <c r="V1883" t="str">
        <f>RIGHT(Table1[[#This Row],[Category and Sub-Category]],LEN(Table1[[#This Row],[Category and Sub-Category]])-FIND("/",Table1[[#This Row],[Category and Sub-Category]]))</f>
        <v>indie rock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 s="12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>((Table1[[#This Row],[deadline]]/60)/60/24)+DATE(1970,1,1)</f>
        <v>41100.991666666669</v>
      </c>
      <c r="K1884">
        <v>1339109212</v>
      </c>
      <c r="L1884" s="11">
        <f>((Table1[[#This Row],[launched_at]]/60)/60/24)+DATE(1970,1,1)</f>
        <v>41067.949212962965</v>
      </c>
      <c r="M1884">
        <f>MONTH(Table1[[#This Row],[Date Created Conversion]])</f>
        <v>6</v>
      </c>
      <c r="N1884">
        <f>YEAR(Table1[[#This Row],[Date Created Conversion]])</f>
        <v>2012</v>
      </c>
      <c r="O1884" t="b">
        <v>0</v>
      </c>
      <c r="P1884">
        <v>81</v>
      </c>
      <c r="Q1884" t="b">
        <v>1</v>
      </c>
      <c r="R1884" t="s">
        <v>8279</v>
      </c>
      <c r="S1884" s="6">
        <f>Table1[[#This Row],[pledged]]/Table1[[#This Row],[goal]]</f>
        <v>1.008955223880597</v>
      </c>
      <c r="T1884" s="8">
        <f>IF(Table1[[#This Row],[pledged]]=0,"no backers",Table1[[#This Row],[pledged]]/Table1[[#This Row],[backers_count]])</f>
        <v>41.728395061728392</v>
      </c>
      <c r="U1884" t="str">
        <f>LEFT(Table1[[#This Row],[Category and Sub-Category]],FIND("/",Table1[[#This Row],[Category and Sub-Category]])-1)</f>
        <v>music</v>
      </c>
      <c r="V1884" t="str">
        <f>RIGHT(Table1[[#This Row],[Category and Sub-Category]],LEN(Table1[[#This Row],[Category and Sub-Category]])-FIND("/",Table1[[#This Row],[Category and Sub-Category]]))</f>
        <v>indie rock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 s="12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>((Table1[[#This Row],[deadline]]/60)/60/24)+DATE(1970,1,1)</f>
        <v>41007.906342592592</v>
      </c>
      <c r="K1885">
        <v>1331333108</v>
      </c>
      <c r="L1885" s="11">
        <f>((Table1[[#This Row],[launched_at]]/60)/60/24)+DATE(1970,1,1)</f>
        <v>40977.948009259257</v>
      </c>
      <c r="M1885">
        <f>MONTH(Table1[[#This Row],[Date Created Conversion]])</f>
        <v>3</v>
      </c>
      <c r="N1885">
        <f>YEAR(Table1[[#This Row],[Date Created Conversion]])</f>
        <v>2012</v>
      </c>
      <c r="O1885" t="b">
        <v>0</v>
      </c>
      <c r="P1885">
        <v>32</v>
      </c>
      <c r="Q1885" t="b">
        <v>1</v>
      </c>
      <c r="R1885" t="s">
        <v>8279</v>
      </c>
      <c r="S1885" s="6">
        <f>Table1[[#This Row],[pledged]]/Table1[[#This Row],[goal]]</f>
        <v>1.0480480480480481</v>
      </c>
      <c r="T1885" s="8">
        <f>IF(Table1[[#This Row],[pledged]]=0,"no backers",Table1[[#This Row],[pledged]]/Table1[[#This Row],[backers_count]])</f>
        <v>32.71875</v>
      </c>
      <c r="U1885" t="str">
        <f>LEFT(Table1[[#This Row],[Category and Sub-Category]],FIND("/",Table1[[#This Row],[Category and Sub-Category]])-1)</f>
        <v>music</v>
      </c>
      <c r="V1885" t="str">
        <f>RIGHT(Table1[[#This Row],[Category and Sub-Category]],LEN(Table1[[#This Row],[Category and Sub-Category]])-FIND("/",Table1[[#This Row],[Category and Sub-Category]]))</f>
        <v>indie rock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 s="12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>((Table1[[#This Row],[deadline]]/60)/60/24)+DATE(1970,1,1)</f>
        <v>41240.5</v>
      </c>
      <c r="K1886">
        <v>1350967535</v>
      </c>
      <c r="L1886" s="11">
        <f>((Table1[[#This Row],[launched_at]]/60)/60/24)+DATE(1970,1,1)</f>
        <v>41205.198321759257</v>
      </c>
      <c r="M1886">
        <f>MONTH(Table1[[#This Row],[Date Created Conversion]])</f>
        <v>10</v>
      </c>
      <c r="N1886">
        <f>YEAR(Table1[[#This Row],[Date Created Conversion]])</f>
        <v>2012</v>
      </c>
      <c r="O1886" t="b">
        <v>0</v>
      </c>
      <c r="P1886">
        <v>26</v>
      </c>
      <c r="Q1886" t="b">
        <v>1</v>
      </c>
      <c r="R1886" t="s">
        <v>8279</v>
      </c>
      <c r="S1886" s="6">
        <f>Table1[[#This Row],[pledged]]/Table1[[#This Row],[goal]]</f>
        <v>1.351</v>
      </c>
      <c r="T1886" s="8">
        <f>IF(Table1[[#This Row],[pledged]]=0,"no backers",Table1[[#This Row],[pledged]]/Table1[[#This Row],[backers_count]])</f>
        <v>51.96153846153846</v>
      </c>
      <c r="U1886" t="str">
        <f>LEFT(Table1[[#This Row],[Category and Sub-Category]],FIND("/",Table1[[#This Row],[Category and Sub-Category]])-1)</f>
        <v>music</v>
      </c>
      <c r="V1886" t="str">
        <f>RIGHT(Table1[[#This Row],[Category and Sub-Category]],LEN(Table1[[#This Row],[Category and Sub-Category]])-FIND("/",Table1[[#This Row],[Category and Sub-Category]]))</f>
        <v>indie rock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 s="12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>((Table1[[#This Row],[deadline]]/60)/60/24)+DATE(1970,1,1)</f>
        <v>41131.916666666664</v>
      </c>
      <c r="K1887">
        <v>1341800110</v>
      </c>
      <c r="L1887" s="11">
        <f>((Table1[[#This Row],[launched_at]]/60)/60/24)+DATE(1970,1,1)</f>
        <v>41099.093865740739</v>
      </c>
      <c r="M1887">
        <f>MONTH(Table1[[#This Row],[Date Created Conversion]])</f>
        <v>7</v>
      </c>
      <c r="N1887">
        <f>YEAR(Table1[[#This Row],[Date Created Conversion]])</f>
        <v>2012</v>
      </c>
      <c r="O1887" t="b">
        <v>0</v>
      </c>
      <c r="P1887">
        <v>105</v>
      </c>
      <c r="Q1887" t="b">
        <v>1</v>
      </c>
      <c r="R1887" t="s">
        <v>8279</v>
      </c>
      <c r="S1887" s="6">
        <f>Table1[[#This Row],[pledged]]/Table1[[#This Row],[goal]]</f>
        <v>1.1632786885245903</v>
      </c>
      <c r="T1887" s="8">
        <f>IF(Table1[[#This Row],[pledged]]=0,"no backers",Table1[[#This Row],[pledged]]/Table1[[#This Row],[backers_count]])</f>
        <v>50.685714285714283</v>
      </c>
      <c r="U1887" t="str">
        <f>LEFT(Table1[[#This Row],[Category and Sub-Category]],FIND("/",Table1[[#This Row],[Category and Sub-Category]])-1)</f>
        <v>music</v>
      </c>
      <c r="V1887" t="str">
        <f>RIGHT(Table1[[#This Row],[Category and Sub-Category]],LEN(Table1[[#This Row],[Category and Sub-Category]])-FIND("/",Table1[[#This Row],[Category and Sub-Category]]))</f>
        <v>indie rock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 s="12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>((Table1[[#This Row],[deadline]]/60)/60/24)+DATE(1970,1,1)</f>
        <v>41955.94835648148</v>
      </c>
      <c r="K1888">
        <v>1413236738</v>
      </c>
      <c r="L1888" s="11">
        <f>((Table1[[#This Row],[launched_at]]/60)/60/24)+DATE(1970,1,1)</f>
        <v>41925.906689814816</v>
      </c>
      <c r="M1888">
        <f>MONTH(Table1[[#This Row],[Date Created Conversion]])</f>
        <v>10</v>
      </c>
      <c r="N1888">
        <f>YEAR(Table1[[#This Row],[Date Created Conversion]])</f>
        <v>2014</v>
      </c>
      <c r="O1888" t="b">
        <v>0</v>
      </c>
      <c r="P1888">
        <v>29</v>
      </c>
      <c r="Q1888" t="b">
        <v>1</v>
      </c>
      <c r="R1888" t="s">
        <v>8279</v>
      </c>
      <c r="S1888" s="6">
        <f>Table1[[#This Row],[pledged]]/Table1[[#This Row],[goal]]</f>
        <v>1.0208333333333333</v>
      </c>
      <c r="T1888" s="8">
        <f>IF(Table1[[#This Row],[pledged]]=0,"no backers",Table1[[#This Row],[pledged]]/Table1[[#This Row],[backers_count]])</f>
        <v>42.241379310344826</v>
      </c>
      <c r="U1888" t="str">
        <f>LEFT(Table1[[#This Row],[Category and Sub-Category]],FIND("/",Table1[[#This Row],[Category and Sub-Category]])-1)</f>
        <v>music</v>
      </c>
      <c r="V1888" t="str">
        <f>RIGHT(Table1[[#This Row],[Category and Sub-Category]],LEN(Table1[[#This Row],[Category and Sub-Category]])-FIND("/",Table1[[#This Row],[Category and Sub-Category]]))</f>
        <v>indie rock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 s="12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>((Table1[[#This Row],[deadline]]/60)/60/24)+DATE(1970,1,1)</f>
        <v>42341.895833333328</v>
      </c>
      <c r="K1889">
        <v>1447614732</v>
      </c>
      <c r="L1889" s="11">
        <f>((Table1[[#This Row],[launched_at]]/60)/60/24)+DATE(1970,1,1)</f>
        <v>42323.800138888888</v>
      </c>
      <c r="M1889">
        <f>MONTH(Table1[[#This Row],[Date Created Conversion]])</f>
        <v>11</v>
      </c>
      <c r="N1889">
        <f>YEAR(Table1[[#This Row],[Date Created Conversion]])</f>
        <v>2015</v>
      </c>
      <c r="O1889" t="b">
        <v>0</v>
      </c>
      <c r="P1889">
        <v>8</v>
      </c>
      <c r="Q1889" t="b">
        <v>1</v>
      </c>
      <c r="R1889" t="s">
        <v>8279</v>
      </c>
      <c r="S1889" s="6">
        <f>Table1[[#This Row],[pledged]]/Table1[[#This Row],[goal]]</f>
        <v>1.1116666666666666</v>
      </c>
      <c r="T1889" s="8">
        <f>IF(Table1[[#This Row],[pledged]]=0,"no backers",Table1[[#This Row],[pledged]]/Table1[[#This Row],[backers_count]])</f>
        <v>416.875</v>
      </c>
      <c r="U1889" t="str">
        <f>LEFT(Table1[[#This Row],[Category and Sub-Category]],FIND("/",Table1[[#This Row],[Category and Sub-Category]])-1)</f>
        <v>music</v>
      </c>
      <c r="V1889" t="str">
        <f>RIGHT(Table1[[#This Row],[Category and Sub-Category]],LEN(Table1[[#This Row],[Category and Sub-Category]])-FIND("/",Table1[[#This Row],[Category and Sub-Category]]))</f>
        <v>indie rock</v>
      </c>
    </row>
    <row r="1890" spans="1:22" ht="57.6" x14ac:dyDescent="0.3">
      <c r="A1890">
        <v>1888</v>
      </c>
      <c r="B1890" s="3" t="s">
        <v>1889</v>
      </c>
      <c r="C1890" s="3" t="s">
        <v>5998</v>
      </c>
      <c r="D1890" s="12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>((Table1[[#This Row],[deadline]]/60)/60/24)+DATE(1970,1,1)</f>
        <v>40330.207638888889</v>
      </c>
      <c r="K1890">
        <v>1272692732</v>
      </c>
      <c r="L1890" s="11">
        <f>((Table1[[#This Row],[launched_at]]/60)/60/24)+DATE(1970,1,1)</f>
        <v>40299.239953703705</v>
      </c>
      <c r="M1890">
        <f>MONTH(Table1[[#This Row],[Date Created Conversion]])</f>
        <v>5</v>
      </c>
      <c r="N1890">
        <f>YEAR(Table1[[#This Row],[Date Created Conversion]])</f>
        <v>2010</v>
      </c>
      <c r="O1890" t="b">
        <v>0</v>
      </c>
      <c r="P1890">
        <v>89</v>
      </c>
      <c r="Q1890" t="b">
        <v>1</v>
      </c>
      <c r="R1890" t="s">
        <v>8279</v>
      </c>
      <c r="S1890" s="6">
        <f>Table1[[#This Row],[pledged]]/Table1[[#This Row],[goal]]</f>
        <v>1.6608000000000001</v>
      </c>
      <c r="T1890" s="8">
        <f>IF(Table1[[#This Row],[pledged]]=0,"no backers",Table1[[#This Row],[pledged]]/Table1[[#This Row],[backers_count]])</f>
        <v>46.651685393258425</v>
      </c>
      <c r="U1890" t="str">
        <f>LEFT(Table1[[#This Row],[Category and Sub-Category]],FIND("/",Table1[[#This Row],[Category and Sub-Category]])-1)</f>
        <v>music</v>
      </c>
      <c r="V1890" t="str">
        <f>RIGHT(Table1[[#This Row],[Category and Sub-Category]],LEN(Table1[[#This Row],[Category and Sub-Category]])-FIND("/",Table1[[#This Row],[Category and Sub-Category]]))</f>
        <v>indie rock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 s="12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>((Table1[[#This Row],[deadline]]/60)/60/24)+DATE(1970,1,1)</f>
        <v>41344.751689814817</v>
      </c>
      <c r="K1891">
        <v>1359140546</v>
      </c>
      <c r="L1891" s="11">
        <f>((Table1[[#This Row],[launched_at]]/60)/60/24)+DATE(1970,1,1)</f>
        <v>41299.793356481481</v>
      </c>
      <c r="M1891">
        <f>MONTH(Table1[[#This Row],[Date Created Conversion]])</f>
        <v>1</v>
      </c>
      <c r="N1891">
        <f>YEAR(Table1[[#This Row],[Date Created Conversion]])</f>
        <v>2013</v>
      </c>
      <c r="O1891" t="b">
        <v>0</v>
      </c>
      <c r="P1891">
        <v>44</v>
      </c>
      <c r="Q1891" t="b">
        <v>1</v>
      </c>
      <c r="R1891" t="s">
        <v>8279</v>
      </c>
      <c r="S1891" s="6">
        <f>Table1[[#This Row],[pledged]]/Table1[[#This Row],[goal]]</f>
        <v>1.0660000000000001</v>
      </c>
      <c r="T1891" s="8">
        <f>IF(Table1[[#This Row],[pledged]]=0,"no backers",Table1[[#This Row],[pledged]]/Table1[[#This Row],[backers_count]])</f>
        <v>48.454545454545453</v>
      </c>
      <c r="U1891" t="str">
        <f>LEFT(Table1[[#This Row],[Category and Sub-Category]],FIND("/",Table1[[#This Row],[Category and Sub-Category]])-1)</f>
        <v>music</v>
      </c>
      <c r="V1891" t="str">
        <f>RIGHT(Table1[[#This Row],[Category and Sub-Category]],LEN(Table1[[#This Row],[Category and Sub-Category]])-FIND("/",Table1[[#This Row],[Category and Sub-Category]]))</f>
        <v>indie rock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 s="1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>((Table1[[#This Row],[deadline]]/60)/60/24)+DATE(1970,1,1)</f>
        <v>41258.786203703705</v>
      </c>
      <c r="K1892">
        <v>1353005528</v>
      </c>
      <c r="L1892" s="11">
        <f>((Table1[[#This Row],[launched_at]]/60)/60/24)+DATE(1970,1,1)</f>
        <v>41228.786203703705</v>
      </c>
      <c r="M1892">
        <f>MONTH(Table1[[#This Row],[Date Created Conversion]])</f>
        <v>11</v>
      </c>
      <c r="N1892">
        <f>YEAR(Table1[[#This Row],[Date Created Conversion]])</f>
        <v>2012</v>
      </c>
      <c r="O1892" t="b">
        <v>0</v>
      </c>
      <c r="P1892">
        <v>246</v>
      </c>
      <c r="Q1892" t="b">
        <v>1</v>
      </c>
      <c r="R1892" t="s">
        <v>8279</v>
      </c>
      <c r="S1892" s="6">
        <f>Table1[[#This Row],[pledged]]/Table1[[#This Row],[goal]]</f>
        <v>1.4458441666666668</v>
      </c>
      <c r="T1892" s="8">
        <f>IF(Table1[[#This Row],[pledged]]=0,"no backers",Table1[[#This Row],[pledged]]/Table1[[#This Row],[backers_count]])</f>
        <v>70.5289837398374</v>
      </c>
      <c r="U1892" t="str">
        <f>LEFT(Table1[[#This Row],[Category and Sub-Category]],FIND("/",Table1[[#This Row],[Category and Sub-Category]])-1)</f>
        <v>music</v>
      </c>
      <c r="V1892" t="str">
        <f>RIGHT(Table1[[#This Row],[Category and Sub-Category]],LEN(Table1[[#This Row],[Category and Sub-Category]])-FIND("/",Table1[[#This Row],[Category and Sub-Category]]))</f>
        <v>indie rock</v>
      </c>
    </row>
    <row r="1893" spans="1:22" ht="57.6" x14ac:dyDescent="0.3">
      <c r="A1893">
        <v>1891</v>
      </c>
      <c r="B1893" s="3" t="s">
        <v>1892</v>
      </c>
      <c r="C1893" s="3" t="s">
        <v>6001</v>
      </c>
      <c r="D1893" s="12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>((Table1[[#This Row],[deadline]]/60)/60/24)+DATE(1970,1,1)</f>
        <v>40381.25</v>
      </c>
      <c r="K1893">
        <v>1275851354</v>
      </c>
      <c r="L1893" s="11">
        <f>((Table1[[#This Row],[launched_at]]/60)/60/24)+DATE(1970,1,1)</f>
        <v>40335.798078703701</v>
      </c>
      <c r="M1893">
        <f>MONTH(Table1[[#This Row],[Date Created Conversion]])</f>
        <v>6</v>
      </c>
      <c r="N1893">
        <f>YEAR(Table1[[#This Row],[Date Created Conversion]])</f>
        <v>2010</v>
      </c>
      <c r="O1893" t="b">
        <v>0</v>
      </c>
      <c r="P1893">
        <v>120</v>
      </c>
      <c r="Q1893" t="b">
        <v>1</v>
      </c>
      <c r="R1893" t="s">
        <v>8279</v>
      </c>
      <c r="S1893" s="6">
        <f>Table1[[#This Row],[pledged]]/Table1[[#This Row],[goal]]</f>
        <v>1.0555000000000001</v>
      </c>
      <c r="T1893" s="8">
        <f>IF(Table1[[#This Row],[pledged]]=0,"no backers",Table1[[#This Row],[pledged]]/Table1[[#This Row],[backers_count]])</f>
        <v>87.958333333333329</v>
      </c>
      <c r="U1893" t="str">
        <f>LEFT(Table1[[#This Row],[Category and Sub-Category]],FIND("/",Table1[[#This Row],[Category and Sub-Category]])-1)</f>
        <v>music</v>
      </c>
      <c r="V1893" t="str">
        <f>RIGHT(Table1[[#This Row],[Category and Sub-Category]],LEN(Table1[[#This Row],[Category and Sub-Category]])-FIND("/",Table1[[#This Row],[Category and Sub-Category]]))</f>
        <v>indie rock</v>
      </c>
    </row>
    <row r="1894" spans="1:22" ht="43.2" x14ac:dyDescent="0.3">
      <c r="A1894">
        <v>1892</v>
      </c>
      <c r="B1894" s="3" t="s">
        <v>1893</v>
      </c>
      <c r="C1894" s="3" t="s">
        <v>6002</v>
      </c>
      <c r="D1894" s="12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>((Table1[[#This Row],[deadline]]/60)/60/24)+DATE(1970,1,1)</f>
        <v>40701.637511574074</v>
      </c>
      <c r="K1894">
        <v>1304867881</v>
      </c>
      <c r="L1894" s="11">
        <f>((Table1[[#This Row],[launched_at]]/60)/60/24)+DATE(1970,1,1)</f>
        <v>40671.637511574074</v>
      </c>
      <c r="M1894">
        <f>MONTH(Table1[[#This Row],[Date Created Conversion]])</f>
        <v>5</v>
      </c>
      <c r="N1894">
        <f>YEAR(Table1[[#This Row],[Date Created Conversion]])</f>
        <v>2011</v>
      </c>
      <c r="O1894" t="b">
        <v>0</v>
      </c>
      <c r="P1894">
        <v>26</v>
      </c>
      <c r="Q1894" t="b">
        <v>1</v>
      </c>
      <c r="R1894" t="s">
        <v>8279</v>
      </c>
      <c r="S1894" s="6">
        <f>Table1[[#This Row],[pledged]]/Table1[[#This Row],[goal]]</f>
        <v>1.3660000000000001</v>
      </c>
      <c r="T1894" s="8">
        <f>IF(Table1[[#This Row],[pledged]]=0,"no backers",Table1[[#This Row],[pledged]]/Table1[[#This Row],[backers_count]])</f>
        <v>26.26923076923077</v>
      </c>
      <c r="U1894" t="str">
        <f>LEFT(Table1[[#This Row],[Category and Sub-Category]],FIND("/",Table1[[#This Row],[Category and Sub-Category]])-1)</f>
        <v>music</v>
      </c>
      <c r="V1894" t="str">
        <f>RIGHT(Table1[[#This Row],[Category and Sub-Category]],LEN(Table1[[#This Row],[Category and Sub-Category]])-FIND("/",Table1[[#This Row],[Category and Sub-Category]]))</f>
        <v>indie rock</v>
      </c>
    </row>
    <row r="1895" spans="1:22" ht="43.2" x14ac:dyDescent="0.3">
      <c r="A1895">
        <v>1893</v>
      </c>
      <c r="B1895" s="3" t="s">
        <v>1894</v>
      </c>
      <c r="C1895" s="3" t="s">
        <v>6003</v>
      </c>
      <c r="D1895" s="12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>((Table1[[#This Row],[deadline]]/60)/60/24)+DATE(1970,1,1)</f>
        <v>40649.165972222225</v>
      </c>
      <c r="K1895">
        <v>1301524585</v>
      </c>
      <c r="L1895" s="11">
        <f>((Table1[[#This Row],[launched_at]]/60)/60/24)+DATE(1970,1,1)</f>
        <v>40632.94195601852</v>
      </c>
      <c r="M1895">
        <f>MONTH(Table1[[#This Row],[Date Created Conversion]])</f>
        <v>3</v>
      </c>
      <c r="N1895">
        <f>YEAR(Table1[[#This Row],[Date Created Conversion]])</f>
        <v>2011</v>
      </c>
      <c r="O1895" t="b">
        <v>0</v>
      </c>
      <c r="P1895">
        <v>45</v>
      </c>
      <c r="Q1895" t="b">
        <v>1</v>
      </c>
      <c r="R1895" t="s">
        <v>8279</v>
      </c>
      <c r="S1895" s="6">
        <f>Table1[[#This Row],[pledged]]/Table1[[#This Row],[goal]]</f>
        <v>1.04</v>
      </c>
      <c r="T1895" s="8">
        <f>IF(Table1[[#This Row],[pledged]]=0,"no backers",Table1[[#This Row],[pledged]]/Table1[[#This Row],[backers_count]])</f>
        <v>57.777777777777779</v>
      </c>
      <c r="U1895" t="str">
        <f>LEFT(Table1[[#This Row],[Category and Sub-Category]],FIND("/",Table1[[#This Row],[Category and Sub-Category]])-1)</f>
        <v>music</v>
      </c>
      <c r="V1895" t="str">
        <f>RIGHT(Table1[[#This Row],[Category and Sub-Category]],LEN(Table1[[#This Row],[Category and Sub-Category]])-FIND("/",Table1[[#This Row],[Category and Sub-Category]]))</f>
        <v>indie rock</v>
      </c>
    </row>
    <row r="1896" spans="1:22" ht="28.8" x14ac:dyDescent="0.3">
      <c r="A1896">
        <v>1894</v>
      </c>
      <c r="B1896" s="3" t="s">
        <v>1895</v>
      </c>
      <c r="C1896" s="3" t="s">
        <v>6004</v>
      </c>
      <c r="D1896" s="12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>((Table1[[#This Row],[deadline]]/60)/60/24)+DATE(1970,1,1)</f>
        <v>40951.904895833337</v>
      </c>
      <c r="K1896">
        <v>1326404583</v>
      </c>
      <c r="L1896" s="11">
        <f>((Table1[[#This Row],[launched_at]]/60)/60/24)+DATE(1970,1,1)</f>
        <v>40920.904895833337</v>
      </c>
      <c r="M1896">
        <f>MONTH(Table1[[#This Row],[Date Created Conversion]])</f>
        <v>1</v>
      </c>
      <c r="N1896">
        <f>YEAR(Table1[[#This Row],[Date Created Conversion]])</f>
        <v>2012</v>
      </c>
      <c r="O1896" t="b">
        <v>0</v>
      </c>
      <c r="P1896">
        <v>20</v>
      </c>
      <c r="Q1896" t="b">
        <v>1</v>
      </c>
      <c r="R1896" t="s">
        <v>8279</v>
      </c>
      <c r="S1896" s="6">
        <f>Table1[[#This Row],[pledged]]/Table1[[#This Row],[goal]]</f>
        <v>1.145</v>
      </c>
      <c r="T1896" s="8">
        <f>IF(Table1[[#This Row],[pledged]]=0,"no backers",Table1[[#This Row],[pledged]]/Table1[[#This Row],[backers_count]])</f>
        <v>57.25</v>
      </c>
      <c r="U1896" t="str">
        <f>LEFT(Table1[[#This Row],[Category and Sub-Category]],FIND("/",Table1[[#This Row],[Category and Sub-Category]])-1)</f>
        <v>music</v>
      </c>
      <c r="V1896" t="str">
        <f>RIGHT(Table1[[#This Row],[Category and Sub-Category]],LEN(Table1[[#This Row],[Category and Sub-Category]])-FIND("/",Table1[[#This Row],[Category and Sub-Category]]))</f>
        <v>indie rock</v>
      </c>
    </row>
    <row r="1897" spans="1:22" ht="57.6" x14ac:dyDescent="0.3">
      <c r="A1897">
        <v>1895</v>
      </c>
      <c r="B1897" s="3" t="s">
        <v>1896</v>
      </c>
      <c r="C1897" s="3" t="s">
        <v>6005</v>
      </c>
      <c r="D1897" s="12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>((Table1[[#This Row],[deadline]]/60)/60/24)+DATE(1970,1,1)</f>
        <v>42297.746782407412</v>
      </c>
      <c r="K1897">
        <v>1442771722</v>
      </c>
      <c r="L1897" s="11">
        <f>((Table1[[#This Row],[launched_at]]/60)/60/24)+DATE(1970,1,1)</f>
        <v>42267.746782407412</v>
      </c>
      <c r="M1897">
        <f>MONTH(Table1[[#This Row],[Date Created Conversion]])</f>
        <v>9</v>
      </c>
      <c r="N1897">
        <f>YEAR(Table1[[#This Row],[Date Created Conversion]])</f>
        <v>2015</v>
      </c>
      <c r="O1897" t="b">
        <v>0</v>
      </c>
      <c r="P1897">
        <v>47</v>
      </c>
      <c r="Q1897" t="b">
        <v>1</v>
      </c>
      <c r="R1897" t="s">
        <v>8279</v>
      </c>
      <c r="S1897" s="6">
        <f>Table1[[#This Row],[pledged]]/Table1[[#This Row],[goal]]</f>
        <v>1.0171957671957672</v>
      </c>
      <c r="T1897" s="8">
        <f>IF(Table1[[#This Row],[pledged]]=0,"no backers",Table1[[#This Row],[pledged]]/Table1[[#This Row],[backers_count]])</f>
        <v>196.34042553191489</v>
      </c>
      <c r="U1897" t="str">
        <f>LEFT(Table1[[#This Row],[Category and Sub-Category]],FIND("/",Table1[[#This Row],[Category and Sub-Category]])-1)</f>
        <v>music</v>
      </c>
      <c r="V1897" t="str">
        <f>RIGHT(Table1[[#This Row],[Category and Sub-Category]],LEN(Table1[[#This Row],[Category and Sub-Category]])-FIND("/",Table1[[#This Row],[Category and Sub-Category]]))</f>
        <v>indie rock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 s="12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>((Table1[[#This Row],[deadline]]/60)/60/24)+DATE(1970,1,1)</f>
        <v>41011.710243055553</v>
      </c>
      <c r="K1898">
        <v>1331658165</v>
      </c>
      <c r="L1898" s="11">
        <f>((Table1[[#This Row],[launched_at]]/60)/60/24)+DATE(1970,1,1)</f>
        <v>40981.710243055553</v>
      </c>
      <c r="M1898">
        <f>MONTH(Table1[[#This Row],[Date Created Conversion]])</f>
        <v>3</v>
      </c>
      <c r="N1898">
        <f>YEAR(Table1[[#This Row],[Date Created Conversion]])</f>
        <v>2012</v>
      </c>
      <c r="O1898" t="b">
        <v>0</v>
      </c>
      <c r="P1898">
        <v>13</v>
      </c>
      <c r="Q1898" t="b">
        <v>1</v>
      </c>
      <c r="R1898" t="s">
        <v>8279</v>
      </c>
      <c r="S1898" s="6">
        <f>Table1[[#This Row],[pledged]]/Table1[[#This Row],[goal]]</f>
        <v>1.2394678492239468</v>
      </c>
      <c r="T1898" s="8">
        <f>IF(Table1[[#This Row],[pledged]]=0,"no backers",Table1[[#This Row],[pledged]]/Table1[[#This Row],[backers_count]])</f>
        <v>43</v>
      </c>
      <c r="U1898" t="str">
        <f>LEFT(Table1[[#This Row],[Category and Sub-Category]],FIND("/",Table1[[#This Row],[Category and Sub-Category]])-1)</f>
        <v>music</v>
      </c>
      <c r="V1898" t="str">
        <f>RIGHT(Table1[[#This Row],[Category and Sub-Category]],LEN(Table1[[#This Row],[Category and Sub-Category]])-FIND("/",Table1[[#This Row],[Category and Sub-Category]]))</f>
        <v>indie rock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 s="12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>((Table1[[#This Row],[deadline]]/60)/60/24)+DATE(1970,1,1)</f>
        <v>41702.875</v>
      </c>
      <c r="K1899">
        <v>1392040806</v>
      </c>
      <c r="L1899" s="11">
        <f>((Table1[[#This Row],[launched_at]]/60)/60/24)+DATE(1970,1,1)</f>
        <v>41680.583402777782</v>
      </c>
      <c r="M1899">
        <f>MONTH(Table1[[#This Row],[Date Created Conversion]])</f>
        <v>2</v>
      </c>
      <c r="N1899">
        <f>YEAR(Table1[[#This Row],[Date Created Conversion]])</f>
        <v>2014</v>
      </c>
      <c r="O1899" t="b">
        <v>0</v>
      </c>
      <c r="P1899">
        <v>183</v>
      </c>
      <c r="Q1899" t="b">
        <v>1</v>
      </c>
      <c r="R1899" t="s">
        <v>8279</v>
      </c>
      <c r="S1899" s="6">
        <f>Table1[[#This Row],[pledged]]/Table1[[#This Row],[goal]]</f>
        <v>1.0245669291338582</v>
      </c>
      <c r="T1899" s="8">
        <f>IF(Table1[[#This Row],[pledged]]=0,"no backers",Table1[[#This Row],[pledged]]/Table1[[#This Row],[backers_count]])</f>
        <v>35.551912568306008</v>
      </c>
      <c r="U1899" t="str">
        <f>LEFT(Table1[[#This Row],[Category and Sub-Category]],FIND("/",Table1[[#This Row],[Category and Sub-Category]])-1)</f>
        <v>music</v>
      </c>
      <c r="V1899" t="str">
        <f>RIGHT(Table1[[#This Row],[Category and Sub-Category]],LEN(Table1[[#This Row],[Category and Sub-Category]])-FIND("/",Table1[[#This Row],[Category and Sub-Category]]))</f>
        <v>indie rock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 s="12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>((Table1[[#This Row],[deadline]]/60)/60/24)+DATE(1970,1,1)</f>
        <v>42401.75</v>
      </c>
      <c r="K1900">
        <v>1451277473</v>
      </c>
      <c r="L1900" s="11">
        <f>((Table1[[#This Row],[launched_at]]/60)/60/24)+DATE(1970,1,1)</f>
        <v>42366.192974537036</v>
      </c>
      <c r="M1900">
        <f>MONTH(Table1[[#This Row],[Date Created Conversion]])</f>
        <v>12</v>
      </c>
      <c r="N1900">
        <f>YEAR(Table1[[#This Row],[Date Created Conversion]])</f>
        <v>2015</v>
      </c>
      <c r="O1900" t="b">
        <v>0</v>
      </c>
      <c r="P1900">
        <v>21</v>
      </c>
      <c r="Q1900" t="b">
        <v>1</v>
      </c>
      <c r="R1900" t="s">
        <v>8279</v>
      </c>
      <c r="S1900" s="6">
        <f>Table1[[#This Row],[pledged]]/Table1[[#This Row],[goal]]</f>
        <v>1.4450000000000001</v>
      </c>
      <c r="T1900" s="8">
        <f>IF(Table1[[#This Row],[pledged]]=0,"no backers",Table1[[#This Row],[pledged]]/Table1[[#This Row],[backers_count]])</f>
        <v>68.80952380952381</v>
      </c>
      <c r="U1900" t="str">
        <f>LEFT(Table1[[#This Row],[Category and Sub-Category]],FIND("/",Table1[[#This Row],[Category and Sub-Category]])-1)</f>
        <v>music</v>
      </c>
      <c r="V1900" t="str">
        <f>RIGHT(Table1[[#This Row],[Category and Sub-Category]],LEN(Table1[[#This Row],[Category and Sub-Category]])-FIND("/",Table1[[#This Row],[Category and Sub-Category]]))</f>
        <v>indie rock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 s="12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>((Table1[[#This Row],[deadline]]/60)/60/24)+DATE(1970,1,1)</f>
        <v>42088.90006944444</v>
      </c>
      <c r="K1901">
        <v>1424730966</v>
      </c>
      <c r="L1901" s="11">
        <f>((Table1[[#This Row],[launched_at]]/60)/60/24)+DATE(1970,1,1)</f>
        <v>42058.941736111112</v>
      </c>
      <c r="M1901">
        <f>MONTH(Table1[[#This Row],[Date Created Conversion]])</f>
        <v>2</v>
      </c>
      <c r="N1901">
        <f>YEAR(Table1[[#This Row],[Date Created Conversion]])</f>
        <v>2015</v>
      </c>
      <c r="O1901" t="b">
        <v>0</v>
      </c>
      <c r="P1901">
        <v>42</v>
      </c>
      <c r="Q1901" t="b">
        <v>1</v>
      </c>
      <c r="R1901" t="s">
        <v>8279</v>
      </c>
      <c r="S1901" s="6">
        <f>Table1[[#This Row],[pledged]]/Table1[[#This Row],[goal]]</f>
        <v>1.3333333333333333</v>
      </c>
      <c r="T1901" s="8">
        <f>IF(Table1[[#This Row],[pledged]]=0,"no backers",Table1[[#This Row],[pledged]]/Table1[[#This Row],[backers_count]])</f>
        <v>28.571428571428573</v>
      </c>
      <c r="U1901" t="str">
        <f>LEFT(Table1[[#This Row],[Category and Sub-Category]],FIND("/",Table1[[#This Row],[Category and Sub-Category]])-1)</f>
        <v>music</v>
      </c>
      <c r="V1901" t="str">
        <f>RIGHT(Table1[[#This Row],[Category and Sub-Category]],LEN(Table1[[#This Row],[Category and Sub-Category]])-FIND("/",Table1[[#This Row],[Category and Sub-Category]]))</f>
        <v>indie rock</v>
      </c>
    </row>
    <row r="1902" spans="1:22" ht="57.6" x14ac:dyDescent="0.3">
      <c r="A1902">
        <v>1900</v>
      </c>
      <c r="B1902" s="3" t="s">
        <v>1901</v>
      </c>
      <c r="C1902" s="3" t="s">
        <v>6010</v>
      </c>
      <c r="D1902" s="1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>((Table1[[#This Row],[deadline]]/60)/60/24)+DATE(1970,1,1)</f>
        <v>41188.415972222225</v>
      </c>
      <c r="K1902">
        <v>1347137731</v>
      </c>
      <c r="L1902" s="11">
        <f>((Table1[[#This Row],[launched_at]]/60)/60/24)+DATE(1970,1,1)</f>
        <v>41160.871886574074</v>
      </c>
      <c r="M1902">
        <f>MONTH(Table1[[#This Row],[Date Created Conversion]])</f>
        <v>9</v>
      </c>
      <c r="N1902">
        <f>YEAR(Table1[[#This Row],[Date Created Conversion]])</f>
        <v>2012</v>
      </c>
      <c r="O1902" t="b">
        <v>0</v>
      </c>
      <c r="P1902">
        <v>54</v>
      </c>
      <c r="Q1902" t="b">
        <v>1</v>
      </c>
      <c r="R1902" t="s">
        <v>8279</v>
      </c>
      <c r="S1902" s="6">
        <f>Table1[[#This Row],[pledged]]/Table1[[#This Row],[goal]]</f>
        <v>1.0936440000000001</v>
      </c>
      <c r="T1902" s="8">
        <f>IF(Table1[[#This Row],[pledged]]=0,"no backers",Table1[[#This Row],[pledged]]/Table1[[#This Row],[backers_count]])</f>
        <v>50.631666666666668</v>
      </c>
      <c r="U1902" t="str">
        <f>LEFT(Table1[[#This Row],[Category and Sub-Category]],FIND("/",Table1[[#This Row],[Category and Sub-Category]])-1)</f>
        <v>music</v>
      </c>
      <c r="V1902" t="str">
        <f>RIGHT(Table1[[#This Row],[Category and Sub-Category]],LEN(Table1[[#This Row],[Category and Sub-Category]])-FIND("/",Table1[[#This Row],[Category and Sub-Category]]))</f>
        <v>indie rock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 s="12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>((Table1[[#This Row],[deadline]]/60)/60/24)+DATE(1970,1,1)</f>
        <v>42146.541666666672</v>
      </c>
      <c r="K1903">
        <v>1429707729</v>
      </c>
      <c r="L1903" s="11">
        <f>((Table1[[#This Row],[launched_at]]/60)/60/24)+DATE(1970,1,1)</f>
        <v>42116.54315972222</v>
      </c>
      <c r="M1903">
        <f>MONTH(Table1[[#This Row],[Date Created Conversion]])</f>
        <v>4</v>
      </c>
      <c r="N1903">
        <f>YEAR(Table1[[#This Row],[Date Created Conversion]])</f>
        <v>2015</v>
      </c>
      <c r="O1903" t="b">
        <v>0</v>
      </c>
      <c r="P1903">
        <v>25</v>
      </c>
      <c r="Q1903" t="b">
        <v>0</v>
      </c>
      <c r="R1903" t="s">
        <v>8294</v>
      </c>
      <c r="S1903" s="6">
        <f>Table1[[#This Row],[pledged]]/Table1[[#This Row],[goal]]</f>
        <v>2.696969696969697E-2</v>
      </c>
      <c r="T1903" s="8">
        <f>IF(Table1[[#This Row],[pledged]]=0,"no backers",Table1[[#This Row],[pledged]]/Table1[[#This Row],[backers_count]])</f>
        <v>106.8</v>
      </c>
      <c r="U1903" t="str">
        <f>LEFT(Table1[[#This Row],[Category and Sub-Category]],FIND("/",Table1[[#This Row],[Category and Sub-Category]])-1)</f>
        <v>technology</v>
      </c>
      <c r="V1903" t="str">
        <f>RIGHT(Table1[[#This Row],[Category and Sub-Category]],LEN(Table1[[#This Row],[Category and Sub-Category]])-FIND("/",Table1[[#This Row],[Category and Sub-Category]]))</f>
        <v>gadgets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 s="12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>((Table1[[#This Row],[deadline]]/60)/60/24)+DATE(1970,1,1)</f>
        <v>42067.789895833332</v>
      </c>
      <c r="K1904">
        <v>1422903447</v>
      </c>
      <c r="L1904" s="11">
        <f>((Table1[[#This Row],[launched_at]]/60)/60/24)+DATE(1970,1,1)</f>
        <v>42037.789895833332</v>
      </c>
      <c r="M1904">
        <f>MONTH(Table1[[#This Row],[Date Created Conversion]])</f>
        <v>2</v>
      </c>
      <c r="N1904">
        <f>YEAR(Table1[[#This Row],[Date Created Conversion]])</f>
        <v>2015</v>
      </c>
      <c r="O1904" t="b">
        <v>0</v>
      </c>
      <c r="P1904">
        <v>3</v>
      </c>
      <c r="Q1904" t="b">
        <v>0</v>
      </c>
      <c r="R1904" t="s">
        <v>8294</v>
      </c>
      <c r="S1904" s="6">
        <f>Table1[[#This Row],[pledged]]/Table1[[#This Row],[goal]]</f>
        <v>1.2E-2</v>
      </c>
      <c r="T1904" s="8">
        <f>IF(Table1[[#This Row],[pledged]]=0,"no backers",Table1[[#This Row],[pledged]]/Table1[[#This Row],[backers_count]])</f>
        <v>4</v>
      </c>
      <c r="U1904" t="str">
        <f>LEFT(Table1[[#This Row],[Category and Sub-Category]],FIND("/",Table1[[#This Row],[Category and Sub-Category]])-1)</f>
        <v>technology</v>
      </c>
      <c r="V1904" t="str">
        <f>RIGHT(Table1[[#This Row],[Category and Sub-Category]],LEN(Table1[[#This Row],[Category and Sub-Category]])-FIND("/",Table1[[#This Row],[Category and Sub-Category]]))</f>
        <v>gadgets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 s="12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>((Table1[[#This Row],[deadline]]/60)/60/24)+DATE(1970,1,1)</f>
        <v>42762.770729166667</v>
      </c>
      <c r="K1905">
        <v>1480357791</v>
      </c>
      <c r="L1905" s="11">
        <f>((Table1[[#This Row],[launched_at]]/60)/60/24)+DATE(1970,1,1)</f>
        <v>42702.770729166667</v>
      </c>
      <c r="M1905">
        <f>MONTH(Table1[[#This Row],[Date Created Conversion]])</f>
        <v>11</v>
      </c>
      <c r="N1905">
        <f>YEAR(Table1[[#This Row],[Date Created Conversion]])</f>
        <v>2016</v>
      </c>
      <c r="O1905" t="b">
        <v>0</v>
      </c>
      <c r="P1905">
        <v>41</v>
      </c>
      <c r="Q1905" t="b">
        <v>0</v>
      </c>
      <c r="R1905" t="s">
        <v>8294</v>
      </c>
      <c r="S1905" s="6">
        <f>Table1[[#This Row],[pledged]]/Table1[[#This Row],[goal]]</f>
        <v>0.46600000000000003</v>
      </c>
      <c r="T1905" s="8">
        <f>IF(Table1[[#This Row],[pledged]]=0,"no backers",Table1[[#This Row],[pledged]]/Table1[[#This Row],[backers_count]])</f>
        <v>34.097560975609753</v>
      </c>
      <c r="U1905" t="str">
        <f>LEFT(Table1[[#This Row],[Category and Sub-Category]],FIND("/",Table1[[#This Row],[Category and Sub-Category]])-1)</f>
        <v>technology</v>
      </c>
      <c r="V1905" t="str">
        <f>RIGHT(Table1[[#This Row],[Category and Sub-Category]],LEN(Table1[[#This Row],[Category and Sub-Category]])-FIND("/",Table1[[#This Row],[Category and Sub-Category]]))</f>
        <v>gadgets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 s="12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>((Table1[[#This Row],[deadline]]/60)/60/24)+DATE(1970,1,1)</f>
        <v>42371.685428240744</v>
      </c>
      <c r="K1906">
        <v>1447864021</v>
      </c>
      <c r="L1906" s="11">
        <f>((Table1[[#This Row],[launched_at]]/60)/60/24)+DATE(1970,1,1)</f>
        <v>42326.685428240744</v>
      </c>
      <c r="M1906">
        <f>MONTH(Table1[[#This Row],[Date Created Conversion]])</f>
        <v>11</v>
      </c>
      <c r="N1906">
        <f>YEAR(Table1[[#This Row],[Date Created Conversion]])</f>
        <v>2015</v>
      </c>
      <c r="O1906" t="b">
        <v>0</v>
      </c>
      <c r="P1906">
        <v>2</v>
      </c>
      <c r="Q1906" t="b">
        <v>0</v>
      </c>
      <c r="R1906" t="s">
        <v>8294</v>
      </c>
      <c r="S1906" s="6">
        <f>Table1[[#This Row],[pledged]]/Table1[[#This Row],[goal]]</f>
        <v>1E-3</v>
      </c>
      <c r="T1906" s="8">
        <f>IF(Table1[[#This Row],[pledged]]=0,"no backers",Table1[[#This Row],[pledged]]/Table1[[#This Row],[backers_count]])</f>
        <v>25</v>
      </c>
      <c r="U1906" t="str">
        <f>LEFT(Table1[[#This Row],[Category and Sub-Category]],FIND("/",Table1[[#This Row],[Category and Sub-Category]])-1)</f>
        <v>technology</v>
      </c>
      <c r="V1906" t="str">
        <f>RIGHT(Table1[[#This Row],[Category and Sub-Category]],LEN(Table1[[#This Row],[Category and Sub-Category]])-FIND("/",Table1[[#This Row],[Category and Sub-Category]]))</f>
        <v>gadgets</v>
      </c>
    </row>
    <row r="1907" spans="1:22" ht="57.6" x14ac:dyDescent="0.3">
      <c r="A1907">
        <v>1905</v>
      </c>
      <c r="B1907" s="3" t="s">
        <v>1906</v>
      </c>
      <c r="C1907" s="3" t="s">
        <v>6015</v>
      </c>
      <c r="D1907" s="12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>((Table1[[#This Row],[deadline]]/60)/60/24)+DATE(1970,1,1)</f>
        <v>41889.925856481481</v>
      </c>
      <c r="K1907">
        <v>1407535994</v>
      </c>
      <c r="L1907" s="11">
        <f>((Table1[[#This Row],[launched_at]]/60)/60/24)+DATE(1970,1,1)</f>
        <v>41859.925856481481</v>
      </c>
      <c r="M1907">
        <f>MONTH(Table1[[#This Row],[Date Created Conversion]])</f>
        <v>8</v>
      </c>
      <c r="N1907">
        <f>YEAR(Table1[[#This Row],[Date Created Conversion]])</f>
        <v>2014</v>
      </c>
      <c r="O1907" t="b">
        <v>0</v>
      </c>
      <c r="P1907">
        <v>4</v>
      </c>
      <c r="Q1907" t="b">
        <v>0</v>
      </c>
      <c r="R1907" t="s">
        <v>8294</v>
      </c>
      <c r="S1907" s="6">
        <f>Table1[[#This Row],[pledged]]/Table1[[#This Row],[goal]]</f>
        <v>1.6800000000000001E-3</v>
      </c>
      <c r="T1907" s="8">
        <f>IF(Table1[[#This Row],[pledged]]=0,"no backers",Table1[[#This Row],[pledged]]/Table1[[#This Row],[backers_count]])</f>
        <v>10.5</v>
      </c>
      <c r="U1907" t="str">
        <f>LEFT(Table1[[#This Row],[Category and Sub-Category]],FIND("/",Table1[[#This Row],[Category and Sub-Category]])-1)</f>
        <v>technology</v>
      </c>
      <c r="V1907" t="str">
        <f>RIGHT(Table1[[#This Row],[Category and Sub-Category]],LEN(Table1[[#This Row],[Category and Sub-Category]])-FIND("/",Table1[[#This Row],[Category and Sub-Category]]))</f>
        <v>gadgets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 s="12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>((Table1[[#This Row],[deadline]]/60)/60/24)+DATE(1970,1,1)</f>
        <v>42544.671099537038</v>
      </c>
      <c r="K1908">
        <v>1464105983</v>
      </c>
      <c r="L1908" s="11">
        <f>((Table1[[#This Row],[launched_at]]/60)/60/24)+DATE(1970,1,1)</f>
        <v>42514.671099537038</v>
      </c>
      <c r="M1908">
        <f>MONTH(Table1[[#This Row],[Date Created Conversion]])</f>
        <v>5</v>
      </c>
      <c r="N1908">
        <f>YEAR(Table1[[#This Row],[Date Created Conversion]])</f>
        <v>2016</v>
      </c>
      <c r="O1908" t="b">
        <v>0</v>
      </c>
      <c r="P1908">
        <v>99</v>
      </c>
      <c r="Q1908" t="b">
        <v>0</v>
      </c>
      <c r="R1908" t="s">
        <v>8294</v>
      </c>
      <c r="S1908" s="6">
        <f>Table1[[#This Row],[pledged]]/Table1[[#This Row],[goal]]</f>
        <v>0.42759999999999998</v>
      </c>
      <c r="T1908" s="8">
        <f>IF(Table1[[#This Row],[pledged]]=0,"no backers",Table1[[#This Row],[pledged]]/Table1[[#This Row],[backers_count]])</f>
        <v>215.95959595959596</v>
      </c>
      <c r="U1908" t="str">
        <f>LEFT(Table1[[#This Row],[Category and Sub-Category]],FIND("/",Table1[[#This Row],[Category and Sub-Category]])-1)</f>
        <v>technology</v>
      </c>
      <c r="V1908" t="str">
        <f>RIGHT(Table1[[#This Row],[Category and Sub-Category]],LEN(Table1[[#This Row],[Category and Sub-Category]])-FIND("/",Table1[[#This Row],[Category and Sub-Category]]))</f>
        <v>gadgets</v>
      </c>
    </row>
    <row r="1909" spans="1:22" ht="43.2" x14ac:dyDescent="0.3">
      <c r="A1909">
        <v>1907</v>
      </c>
      <c r="B1909" s="3" t="s">
        <v>1908</v>
      </c>
      <c r="C1909" s="3" t="s">
        <v>6017</v>
      </c>
      <c r="D1909" s="12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>((Table1[[#This Row],[deadline]]/60)/60/24)+DATE(1970,1,1)</f>
        <v>41782.587094907409</v>
      </c>
      <c r="K1909">
        <v>1399557925</v>
      </c>
      <c r="L1909" s="11">
        <f>((Table1[[#This Row],[launched_at]]/60)/60/24)+DATE(1970,1,1)</f>
        <v>41767.587094907409</v>
      </c>
      <c r="M1909">
        <f>MONTH(Table1[[#This Row],[Date Created Conversion]])</f>
        <v>5</v>
      </c>
      <c r="N1909">
        <f>YEAR(Table1[[#This Row],[Date Created Conversion]])</f>
        <v>2014</v>
      </c>
      <c r="O1909" t="b">
        <v>0</v>
      </c>
      <c r="P1909">
        <v>4</v>
      </c>
      <c r="Q1909" t="b">
        <v>0</v>
      </c>
      <c r="R1909" t="s">
        <v>8294</v>
      </c>
      <c r="S1909" s="6">
        <f>Table1[[#This Row],[pledged]]/Table1[[#This Row],[goal]]</f>
        <v>2.8333333333333335E-3</v>
      </c>
      <c r="T1909" s="8">
        <f>IF(Table1[[#This Row],[pledged]]=0,"no backers",Table1[[#This Row],[pledged]]/Table1[[#This Row],[backers_count]])</f>
        <v>21.25</v>
      </c>
      <c r="U1909" t="str">
        <f>LEFT(Table1[[#This Row],[Category and Sub-Category]],FIND("/",Table1[[#This Row],[Category and Sub-Category]])-1)</f>
        <v>technology</v>
      </c>
      <c r="V1909" t="str">
        <f>RIGHT(Table1[[#This Row],[Category and Sub-Category]],LEN(Table1[[#This Row],[Category and Sub-Category]])-FIND("/",Table1[[#This Row],[Category and Sub-Category]]))</f>
        <v>gadgets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 s="12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>((Table1[[#This Row],[deadline]]/60)/60/24)+DATE(1970,1,1)</f>
        <v>42733.917824074073</v>
      </c>
      <c r="K1910">
        <v>1480456900</v>
      </c>
      <c r="L1910" s="11">
        <f>((Table1[[#This Row],[launched_at]]/60)/60/24)+DATE(1970,1,1)</f>
        <v>42703.917824074073</v>
      </c>
      <c r="M1910">
        <f>MONTH(Table1[[#This Row],[Date Created Conversion]])</f>
        <v>11</v>
      </c>
      <c r="N1910">
        <f>YEAR(Table1[[#This Row],[Date Created Conversion]])</f>
        <v>2016</v>
      </c>
      <c r="O1910" t="b">
        <v>0</v>
      </c>
      <c r="P1910">
        <v>4</v>
      </c>
      <c r="Q1910" t="b">
        <v>0</v>
      </c>
      <c r="R1910" t="s">
        <v>8294</v>
      </c>
      <c r="S1910" s="6">
        <f>Table1[[#This Row],[pledged]]/Table1[[#This Row],[goal]]</f>
        <v>1.7319999999999999E-2</v>
      </c>
      <c r="T1910" s="8">
        <f>IF(Table1[[#This Row],[pledged]]=0,"no backers",Table1[[#This Row],[pledged]]/Table1[[#This Row],[backers_count]])</f>
        <v>108.25</v>
      </c>
      <c r="U1910" t="str">
        <f>LEFT(Table1[[#This Row],[Category and Sub-Category]],FIND("/",Table1[[#This Row],[Category and Sub-Category]])-1)</f>
        <v>technology</v>
      </c>
      <c r="V1910" t="str">
        <f>RIGHT(Table1[[#This Row],[Category and Sub-Category]],LEN(Table1[[#This Row],[Category and Sub-Category]])-FIND("/",Table1[[#This Row],[Category and Sub-Category]]))</f>
        <v>gadgets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 s="12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>((Table1[[#This Row],[deadline]]/60)/60/24)+DATE(1970,1,1)</f>
        <v>41935.429155092592</v>
      </c>
      <c r="K1911">
        <v>1411467479</v>
      </c>
      <c r="L1911" s="11">
        <f>((Table1[[#This Row],[launched_at]]/60)/60/24)+DATE(1970,1,1)</f>
        <v>41905.429155092592</v>
      </c>
      <c r="M1911">
        <f>MONTH(Table1[[#This Row],[Date Created Conversion]])</f>
        <v>9</v>
      </c>
      <c r="N1911">
        <f>YEAR(Table1[[#This Row],[Date Created Conversion]])</f>
        <v>2014</v>
      </c>
      <c r="O1911" t="b">
        <v>0</v>
      </c>
      <c r="P1911">
        <v>38</v>
      </c>
      <c r="Q1911" t="b">
        <v>0</v>
      </c>
      <c r="R1911" t="s">
        <v>8294</v>
      </c>
      <c r="S1911" s="6">
        <f>Table1[[#This Row],[pledged]]/Table1[[#This Row],[goal]]</f>
        <v>0.14111428571428572</v>
      </c>
      <c r="T1911" s="8">
        <f>IF(Table1[[#This Row],[pledged]]=0,"no backers",Table1[[#This Row],[pledged]]/Table1[[#This Row],[backers_count]])</f>
        <v>129.97368421052633</v>
      </c>
      <c r="U1911" t="str">
        <f>LEFT(Table1[[#This Row],[Category and Sub-Category]],FIND("/",Table1[[#This Row],[Category and Sub-Category]])-1)</f>
        <v>technology</v>
      </c>
      <c r="V1911" t="str">
        <f>RIGHT(Table1[[#This Row],[Category and Sub-Category]],LEN(Table1[[#This Row],[Category and Sub-Category]])-FIND("/",Table1[[#This Row],[Category and Sub-Category]]))</f>
        <v>gadgets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 s="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>((Table1[[#This Row],[deadline]]/60)/60/24)+DATE(1970,1,1)</f>
        <v>42308.947916666672</v>
      </c>
      <c r="K1912">
        <v>1442531217</v>
      </c>
      <c r="L1912" s="11">
        <f>((Table1[[#This Row],[launched_at]]/60)/60/24)+DATE(1970,1,1)</f>
        <v>42264.963159722218</v>
      </c>
      <c r="M1912">
        <f>MONTH(Table1[[#This Row],[Date Created Conversion]])</f>
        <v>9</v>
      </c>
      <c r="N1912">
        <f>YEAR(Table1[[#This Row],[Date Created Conversion]])</f>
        <v>2015</v>
      </c>
      <c r="O1912" t="b">
        <v>0</v>
      </c>
      <c r="P1912">
        <v>285</v>
      </c>
      <c r="Q1912" t="b">
        <v>0</v>
      </c>
      <c r="R1912" t="s">
        <v>8294</v>
      </c>
      <c r="S1912" s="6">
        <f>Table1[[#This Row],[pledged]]/Table1[[#This Row],[goal]]</f>
        <v>0.39395294117647056</v>
      </c>
      <c r="T1912" s="8">
        <f>IF(Table1[[#This Row],[pledged]]=0,"no backers",Table1[[#This Row],[pledged]]/Table1[[#This Row],[backers_count]])</f>
        <v>117.49473684210527</v>
      </c>
      <c r="U1912" t="str">
        <f>LEFT(Table1[[#This Row],[Category and Sub-Category]],FIND("/",Table1[[#This Row],[Category and Sub-Category]])-1)</f>
        <v>technology</v>
      </c>
      <c r="V1912" t="str">
        <f>RIGHT(Table1[[#This Row],[Category and Sub-Category]],LEN(Table1[[#This Row],[Category and Sub-Category]])-FIND("/",Table1[[#This Row],[Category and Sub-Category]]))</f>
        <v>gadgets</v>
      </c>
    </row>
    <row r="1913" spans="1:22" ht="57.6" x14ac:dyDescent="0.3">
      <c r="A1913">
        <v>1911</v>
      </c>
      <c r="B1913" s="3" t="s">
        <v>1912</v>
      </c>
      <c r="C1913" s="3" t="s">
        <v>6021</v>
      </c>
      <c r="D1913" s="12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>((Table1[[#This Row],[deadline]]/60)/60/24)+DATE(1970,1,1)</f>
        <v>41860.033958333333</v>
      </c>
      <c r="K1913">
        <v>1404953334</v>
      </c>
      <c r="L1913" s="11">
        <f>((Table1[[#This Row],[launched_at]]/60)/60/24)+DATE(1970,1,1)</f>
        <v>41830.033958333333</v>
      </c>
      <c r="M1913">
        <f>MONTH(Table1[[#This Row],[Date Created Conversion]])</f>
        <v>7</v>
      </c>
      <c r="N1913">
        <f>YEAR(Table1[[#This Row],[Date Created Conversion]])</f>
        <v>2014</v>
      </c>
      <c r="O1913" t="b">
        <v>0</v>
      </c>
      <c r="P1913">
        <v>1</v>
      </c>
      <c r="Q1913" t="b">
        <v>0</v>
      </c>
      <c r="R1913" t="s">
        <v>8294</v>
      </c>
      <c r="S1913" s="6">
        <f>Table1[[#This Row],[pledged]]/Table1[[#This Row],[goal]]</f>
        <v>2.3529411764705883E-4</v>
      </c>
      <c r="T1913" s="8">
        <f>IF(Table1[[#This Row],[pledged]]=0,"no backers",Table1[[#This Row],[pledged]]/Table1[[#This Row],[backers_count]])</f>
        <v>10</v>
      </c>
      <c r="U1913" t="str">
        <f>LEFT(Table1[[#This Row],[Category and Sub-Category]],FIND("/",Table1[[#This Row],[Category and Sub-Category]])-1)</f>
        <v>technology</v>
      </c>
      <c r="V1913" t="str">
        <f>RIGHT(Table1[[#This Row],[Category and Sub-Category]],LEN(Table1[[#This Row],[Category and Sub-Category]])-FIND("/",Table1[[#This Row],[Category and Sub-Category]]))</f>
        <v>gadgets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 s="12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>((Table1[[#This Row],[deadline]]/60)/60/24)+DATE(1970,1,1)</f>
        <v>42159.226388888885</v>
      </c>
      <c r="K1914">
        <v>1430803560</v>
      </c>
      <c r="L1914" s="11">
        <f>((Table1[[#This Row],[launched_at]]/60)/60/24)+DATE(1970,1,1)</f>
        <v>42129.226388888885</v>
      </c>
      <c r="M1914">
        <f>MONTH(Table1[[#This Row],[Date Created Conversion]])</f>
        <v>5</v>
      </c>
      <c r="N1914">
        <f>YEAR(Table1[[#This Row],[Date Created Conversion]])</f>
        <v>2015</v>
      </c>
      <c r="O1914" t="b">
        <v>0</v>
      </c>
      <c r="P1914">
        <v>42</v>
      </c>
      <c r="Q1914" t="b">
        <v>0</v>
      </c>
      <c r="R1914" t="s">
        <v>8294</v>
      </c>
      <c r="S1914" s="6">
        <f>Table1[[#This Row],[pledged]]/Table1[[#This Row],[goal]]</f>
        <v>0.59299999999999997</v>
      </c>
      <c r="T1914" s="8">
        <f>IF(Table1[[#This Row],[pledged]]=0,"no backers",Table1[[#This Row],[pledged]]/Table1[[#This Row],[backers_count]])</f>
        <v>70.595238095238102</v>
      </c>
      <c r="U1914" t="str">
        <f>LEFT(Table1[[#This Row],[Category and Sub-Category]],FIND("/",Table1[[#This Row],[Category and Sub-Category]])-1)</f>
        <v>technology</v>
      </c>
      <c r="V1914" t="str">
        <f>RIGHT(Table1[[#This Row],[Category and Sub-Category]],LEN(Table1[[#This Row],[Category and Sub-Category]])-FIND("/",Table1[[#This Row],[Category and Sub-Category]]))</f>
        <v>gadgets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 s="12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>((Table1[[#This Row],[deadline]]/60)/60/24)+DATE(1970,1,1)</f>
        <v>41920.511319444442</v>
      </c>
      <c r="K1915">
        <v>1410178578</v>
      </c>
      <c r="L1915" s="11">
        <f>((Table1[[#This Row],[launched_at]]/60)/60/24)+DATE(1970,1,1)</f>
        <v>41890.511319444442</v>
      </c>
      <c r="M1915">
        <f>MONTH(Table1[[#This Row],[Date Created Conversion]])</f>
        <v>9</v>
      </c>
      <c r="N1915">
        <f>YEAR(Table1[[#This Row],[Date Created Conversion]])</f>
        <v>2014</v>
      </c>
      <c r="O1915" t="b">
        <v>0</v>
      </c>
      <c r="P1915">
        <v>26</v>
      </c>
      <c r="Q1915" t="b">
        <v>0</v>
      </c>
      <c r="R1915" t="s">
        <v>8294</v>
      </c>
      <c r="S1915" s="6">
        <f>Table1[[#This Row],[pledged]]/Table1[[#This Row],[goal]]</f>
        <v>1.3270833333333334E-2</v>
      </c>
      <c r="T1915" s="8">
        <f>IF(Table1[[#This Row],[pledged]]=0,"no backers",Table1[[#This Row],[pledged]]/Table1[[#This Row],[backers_count]])</f>
        <v>24.5</v>
      </c>
      <c r="U1915" t="str">
        <f>LEFT(Table1[[#This Row],[Category and Sub-Category]],FIND("/",Table1[[#This Row],[Category and Sub-Category]])-1)</f>
        <v>technology</v>
      </c>
      <c r="V1915" t="str">
        <f>RIGHT(Table1[[#This Row],[Category and Sub-Category]],LEN(Table1[[#This Row],[Category and Sub-Category]])-FIND("/",Table1[[#This Row],[Category and Sub-Category]]))</f>
        <v>gadgets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 s="12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>((Table1[[#This Row],[deadline]]/60)/60/24)+DATE(1970,1,1)</f>
        <v>41944.165972222225</v>
      </c>
      <c r="K1916">
        <v>1413519073</v>
      </c>
      <c r="L1916" s="11">
        <f>((Table1[[#This Row],[launched_at]]/60)/60/24)+DATE(1970,1,1)</f>
        <v>41929.174456018518</v>
      </c>
      <c r="M1916">
        <f>MONTH(Table1[[#This Row],[Date Created Conversion]])</f>
        <v>10</v>
      </c>
      <c r="N1916">
        <f>YEAR(Table1[[#This Row],[Date Created Conversion]])</f>
        <v>2014</v>
      </c>
      <c r="O1916" t="b">
        <v>0</v>
      </c>
      <c r="P1916">
        <v>2</v>
      </c>
      <c r="Q1916" t="b">
        <v>0</v>
      </c>
      <c r="R1916" t="s">
        <v>8294</v>
      </c>
      <c r="S1916" s="6">
        <f>Table1[[#This Row],[pledged]]/Table1[[#This Row],[goal]]</f>
        <v>9.0090090090090086E-2</v>
      </c>
      <c r="T1916" s="8">
        <f>IF(Table1[[#This Row],[pledged]]=0,"no backers",Table1[[#This Row],[pledged]]/Table1[[#This Row],[backers_count]])</f>
        <v>30</v>
      </c>
      <c r="U1916" t="str">
        <f>LEFT(Table1[[#This Row],[Category and Sub-Category]],FIND("/",Table1[[#This Row],[Category and Sub-Category]])-1)</f>
        <v>technology</v>
      </c>
      <c r="V1916" t="str">
        <f>RIGHT(Table1[[#This Row],[Category and Sub-Category]],LEN(Table1[[#This Row],[Category and Sub-Category]])-FIND("/",Table1[[#This Row],[Category and Sub-Category]]))</f>
        <v>gadgets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 s="12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>((Table1[[#This Row],[deadline]]/60)/60/24)+DATE(1970,1,1)</f>
        <v>41884.04886574074</v>
      </c>
      <c r="K1917">
        <v>1407892222</v>
      </c>
      <c r="L1917" s="11">
        <f>((Table1[[#This Row],[launched_at]]/60)/60/24)+DATE(1970,1,1)</f>
        <v>41864.04886574074</v>
      </c>
      <c r="M1917">
        <f>MONTH(Table1[[#This Row],[Date Created Conversion]])</f>
        <v>8</v>
      </c>
      <c r="N1917">
        <f>YEAR(Table1[[#This Row],[Date Created Conversion]])</f>
        <v>2014</v>
      </c>
      <c r="O1917" t="b">
        <v>0</v>
      </c>
      <c r="P1917">
        <v>4</v>
      </c>
      <c r="Q1917" t="b">
        <v>0</v>
      </c>
      <c r="R1917" t="s">
        <v>8294</v>
      </c>
      <c r="S1917" s="6">
        <f>Table1[[#This Row],[pledged]]/Table1[[#This Row],[goal]]</f>
        <v>1.6E-2</v>
      </c>
      <c r="T1917" s="8">
        <f>IF(Table1[[#This Row],[pledged]]=0,"no backers",Table1[[#This Row],[pledged]]/Table1[[#This Row],[backers_count]])</f>
        <v>2</v>
      </c>
      <c r="U1917" t="str">
        <f>LEFT(Table1[[#This Row],[Category and Sub-Category]],FIND("/",Table1[[#This Row],[Category and Sub-Category]])-1)</f>
        <v>technology</v>
      </c>
      <c r="V1917" t="str">
        <f>RIGHT(Table1[[#This Row],[Category and Sub-Category]],LEN(Table1[[#This Row],[Category and Sub-Category]])-FIND("/",Table1[[#This Row],[Category and Sub-Category]]))</f>
        <v>gadgets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 s="12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>((Table1[[#This Row],[deadline]]/60)/60/24)+DATE(1970,1,1)</f>
        <v>42681.758969907409</v>
      </c>
      <c r="K1918">
        <v>1476378775</v>
      </c>
      <c r="L1918" s="11">
        <f>((Table1[[#This Row],[launched_at]]/60)/60/24)+DATE(1970,1,1)</f>
        <v>42656.717303240745</v>
      </c>
      <c r="M1918">
        <f>MONTH(Table1[[#This Row],[Date Created Conversion]])</f>
        <v>10</v>
      </c>
      <c r="N1918">
        <f>YEAR(Table1[[#This Row],[Date Created Conversion]])</f>
        <v>2016</v>
      </c>
      <c r="O1918" t="b">
        <v>0</v>
      </c>
      <c r="P1918">
        <v>6</v>
      </c>
      <c r="Q1918" t="b">
        <v>0</v>
      </c>
      <c r="R1918" t="s">
        <v>8294</v>
      </c>
      <c r="S1918" s="6">
        <f>Table1[[#This Row],[pledged]]/Table1[[#This Row],[goal]]</f>
        <v>5.1000000000000004E-3</v>
      </c>
      <c r="T1918" s="8">
        <f>IF(Table1[[#This Row],[pledged]]=0,"no backers",Table1[[#This Row],[pledged]]/Table1[[#This Row],[backers_count]])</f>
        <v>17</v>
      </c>
      <c r="U1918" t="str">
        <f>LEFT(Table1[[#This Row],[Category and Sub-Category]],FIND("/",Table1[[#This Row],[Category and Sub-Category]])-1)</f>
        <v>technology</v>
      </c>
      <c r="V1918" t="str">
        <f>RIGHT(Table1[[#This Row],[Category and Sub-Category]],LEN(Table1[[#This Row],[Category and Sub-Category]])-FIND("/",Table1[[#This Row],[Category and Sub-Category]]))</f>
        <v>gadgets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 s="12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>((Table1[[#This Row],[deadline]]/60)/60/24)+DATE(1970,1,1)</f>
        <v>42776.270057870366</v>
      </c>
      <c r="K1919">
        <v>1484116133</v>
      </c>
      <c r="L1919" s="11">
        <f>((Table1[[#This Row],[launched_at]]/60)/60/24)+DATE(1970,1,1)</f>
        <v>42746.270057870366</v>
      </c>
      <c r="M1919">
        <f>MONTH(Table1[[#This Row],[Date Created Conversion]])</f>
        <v>1</v>
      </c>
      <c r="N1919">
        <f>YEAR(Table1[[#This Row],[Date Created Conversion]])</f>
        <v>2017</v>
      </c>
      <c r="O1919" t="b">
        <v>0</v>
      </c>
      <c r="P1919">
        <v>70</v>
      </c>
      <c r="Q1919" t="b">
        <v>0</v>
      </c>
      <c r="R1919" t="s">
        <v>8294</v>
      </c>
      <c r="S1919" s="6">
        <f>Table1[[#This Row],[pledged]]/Table1[[#This Row],[goal]]</f>
        <v>0.52570512820512816</v>
      </c>
      <c r="T1919" s="8">
        <f>IF(Table1[[#This Row],[pledged]]=0,"no backers",Table1[[#This Row],[pledged]]/Table1[[#This Row],[backers_count]])</f>
        <v>2928.9285714285716</v>
      </c>
      <c r="U1919" t="str">
        <f>LEFT(Table1[[#This Row],[Category and Sub-Category]],FIND("/",Table1[[#This Row],[Category and Sub-Category]])-1)</f>
        <v>technology</v>
      </c>
      <c r="V1919" t="str">
        <f>RIGHT(Table1[[#This Row],[Category and Sub-Category]],LEN(Table1[[#This Row],[Category and Sub-Category]])-FIND("/",Table1[[#This Row],[Category and Sub-Category]]))</f>
        <v>gadgets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 s="12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>((Table1[[#This Row],[deadline]]/60)/60/24)+DATE(1970,1,1)</f>
        <v>41863.789942129632</v>
      </c>
      <c r="K1920">
        <v>1404845851</v>
      </c>
      <c r="L1920" s="11">
        <f>((Table1[[#This Row],[launched_at]]/60)/60/24)+DATE(1970,1,1)</f>
        <v>41828.789942129632</v>
      </c>
      <c r="M1920">
        <f>MONTH(Table1[[#This Row],[Date Created Conversion]])</f>
        <v>7</v>
      </c>
      <c r="N1920">
        <f>YEAR(Table1[[#This Row],[Date Created Conversion]])</f>
        <v>2014</v>
      </c>
      <c r="O1920" t="b">
        <v>0</v>
      </c>
      <c r="P1920">
        <v>9</v>
      </c>
      <c r="Q1920" t="b">
        <v>0</v>
      </c>
      <c r="R1920" t="s">
        <v>8294</v>
      </c>
      <c r="S1920" s="6">
        <f>Table1[[#This Row],[pledged]]/Table1[[#This Row],[goal]]</f>
        <v>1.04E-2</v>
      </c>
      <c r="T1920" s="8">
        <f>IF(Table1[[#This Row],[pledged]]=0,"no backers",Table1[[#This Row],[pledged]]/Table1[[#This Row],[backers_count]])</f>
        <v>28.888888888888889</v>
      </c>
      <c r="U1920" t="str">
        <f>LEFT(Table1[[#This Row],[Category and Sub-Category]],FIND("/",Table1[[#This Row],[Category and Sub-Category]])-1)</f>
        <v>technology</v>
      </c>
      <c r="V1920" t="str">
        <f>RIGHT(Table1[[#This Row],[Category and Sub-Category]],LEN(Table1[[#This Row],[Category and Sub-Category]])-FIND("/",Table1[[#This Row],[Category and Sub-Category]]))</f>
        <v>gadgets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 s="12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>((Table1[[#This Row],[deadline]]/60)/60/24)+DATE(1970,1,1)</f>
        <v>42143.875567129624</v>
      </c>
      <c r="K1921">
        <v>1429477249</v>
      </c>
      <c r="L1921" s="11">
        <f>((Table1[[#This Row],[launched_at]]/60)/60/24)+DATE(1970,1,1)</f>
        <v>42113.875567129624</v>
      </c>
      <c r="M1921">
        <f>MONTH(Table1[[#This Row],[Date Created Conversion]])</f>
        <v>4</v>
      </c>
      <c r="N1921">
        <f>YEAR(Table1[[#This Row],[Date Created Conversion]])</f>
        <v>2015</v>
      </c>
      <c r="O1921" t="b">
        <v>0</v>
      </c>
      <c r="P1921">
        <v>8</v>
      </c>
      <c r="Q1921" t="b">
        <v>0</v>
      </c>
      <c r="R1921" t="s">
        <v>8294</v>
      </c>
      <c r="S1921" s="6">
        <f>Table1[[#This Row],[pledged]]/Table1[[#This Row],[goal]]</f>
        <v>0.47399999999999998</v>
      </c>
      <c r="T1921" s="8">
        <f>IF(Table1[[#This Row],[pledged]]=0,"no backers",Table1[[#This Row],[pledged]]/Table1[[#This Row],[backers_count]])</f>
        <v>29.625</v>
      </c>
      <c r="U1921" t="str">
        <f>LEFT(Table1[[#This Row],[Category and Sub-Category]],FIND("/",Table1[[#This Row],[Category and Sub-Category]])-1)</f>
        <v>technology</v>
      </c>
      <c r="V1921" t="str">
        <f>RIGHT(Table1[[#This Row],[Category and Sub-Category]],LEN(Table1[[#This Row],[Category and Sub-Category]])-FIND("/",Table1[[#This Row],[Category and Sub-Category]]))</f>
        <v>gadgets</v>
      </c>
    </row>
    <row r="1922" spans="1:22" ht="43.2" x14ac:dyDescent="0.3">
      <c r="A1922">
        <v>1920</v>
      </c>
      <c r="B1922" s="3" t="s">
        <v>1921</v>
      </c>
      <c r="C1922" s="3" t="s">
        <v>6030</v>
      </c>
      <c r="D1922" s="1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>((Table1[[#This Row],[deadline]]/60)/60/24)+DATE(1970,1,1)</f>
        <v>42298.958333333328</v>
      </c>
      <c r="K1922">
        <v>1443042061</v>
      </c>
      <c r="L1922" s="11">
        <f>((Table1[[#This Row],[launched_at]]/60)/60/24)+DATE(1970,1,1)</f>
        <v>42270.875706018516</v>
      </c>
      <c r="M1922">
        <f>MONTH(Table1[[#This Row],[Date Created Conversion]])</f>
        <v>9</v>
      </c>
      <c r="N1922">
        <f>YEAR(Table1[[#This Row],[Date Created Conversion]])</f>
        <v>2015</v>
      </c>
      <c r="O1922" t="b">
        <v>0</v>
      </c>
      <c r="P1922">
        <v>105</v>
      </c>
      <c r="Q1922" t="b">
        <v>0</v>
      </c>
      <c r="R1922" t="s">
        <v>8294</v>
      </c>
      <c r="S1922" s="6">
        <f>Table1[[#This Row],[pledged]]/Table1[[#This Row],[goal]]</f>
        <v>0.43030000000000002</v>
      </c>
      <c r="T1922" s="8">
        <f>IF(Table1[[#This Row],[pledged]]=0,"no backers",Table1[[#This Row],[pledged]]/Table1[[#This Row],[backers_count]])</f>
        <v>40.980952380952381</v>
      </c>
      <c r="U1922" t="str">
        <f>LEFT(Table1[[#This Row],[Category and Sub-Category]],FIND("/",Table1[[#This Row],[Category and Sub-Category]])-1)</f>
        <v>technology</v>
      </c>
      <c r="V1922" t="str">
        <f>RIGHT(Table1[[#This Row],[Category and Sub-Category]],LEN(Table1[[#This Row],[Category and Sub-Category]])-FIND("/",Table1[[#This Row],[Category and Sub-Category]]))</f>
        <v>gadgets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 s="12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>((Table1[[#This Row],[deadline]]/60)/60/24)+DATE(1970,1,1)</f>
        <v>41104.221562500003</v>
      </c>
      <c r="K1923">
        <v>1339651143</v>
      </c>
      <c r="L1923" s="11">
        <f>((Table1[[#This Row],[launched_at]]/60)/60/24)+DATE(1970,1,1)</f>
        <v>41074.221562500003</v>
      </c>
      <c r="M1923">
        <f>MONTH(Table1[[#This Row],[Date Created Conversion]])</f>
        <v>6</v>
      </c>
      <c r="N1923">
        <f>YEAR(Table1[[#This Row],[Date Created Conversion]])</f>
        <v>2012</v>
      </c>
      <c r="O1923" t="b">
        <v>0</v>
      </c>
      <c r="P1923">
        <v>38</v>
      </c>
      <c r="Q1923" t="b">
        <v>1</v>
      </c>
      <c r="R1923" t="s">
        <v>8279</v>
      </c>
      <c r="S1923" s="6">
        <f>Table1[[#This Row],[pledged]]/Table1[[#This Row],[goal]]</f>
        <v>1.3680000000000001</v>
      </c>
      <c r="T1923" s="8">
        <f>IF(Table1[[#This Row],[pledged]]=0,"no backers",Table1[[#This Row],[pledged]]/Table1[[#This Row],[backers_count]])</f>
        <v>54</v>
      </c>
      <c r="U1923" t="str">
        <f>LEFT(Table1[[#This Row],[Category and Sub-Category]],FIND("/",Table1[[#This Row],[Category and Sub-Category]])-1)</f>
        <v>music</v>
      </c>
      <c r="V1923" t="str">
        <f>RIGHT(Table1[[#This Row],[Category and Sub-Category]],LEN(Table1[[#This Row],[Category and Sub-Category]])-FIND("/",Table1[[#This Row],[Category and Sub-Category]]))</f>
        <v>indie rock</v>
      </c>
    </row>
    <row r="1924" spans="1:22" ht="43.2" x14ac:dyDescent="0.3">
      <c r="A1924">
        <v>1922</v>
      </c>
      <c r="B1924" s="3" t="s">
        <v>1923</v>
      </c>
      <c r="C1924" s="3" t="s">
        <v>6032</v>
      </c>
      <c r="D1924" s="12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>((Table1[[#This Row],[deadline]]/60)/60/24)+DATE(1970,1,1)</f>
        <v>41620.255868055552</v>
      </c>
      <c r="K1924">
        <v>1384236507</v>
      </c>
      <c r="L1924" s="11">
        <f>((Table1[[#This Row],[launched_at]]/60)/60/24)+DATE(1970,1,1)</f>
        <v>41590.255868055552</v>
      </c>
      <c r="M1924">
        <f>MONTH(Table1[[#This Row],[Date Created Conversion]])</f>
        <v>11</v>
      </c>
      <c r="N1924">
        <f>YEAR(Table1[[#This Row],[Date Created Conversion]])</f>
        <v>2013</v>
      </c>
      <c r="O1924" t="b">
        <v>0</v>
      </c>
      <c r="P1924">
        <v>64</v>
      </c>
      <c r="Q1924" t="b">
        <v>1</v>
      </c>
      <c r="R1924" t="s">
        <v>8279</v>
      </c>
      <c r="S1924" s="6">
        <f>Table1[[#This Row],[pledged]]/Table1[[#This Row],[goal]]</f>
        <v>1.1555</v>
      </c>
      <c r="T1924" s="8">
        <f>IF(Table1[[#This Row],[pledged]]=0,"no backers",Table1[[#This Row],[pledged]]/Table1[[#This Row],[backers_count]])</f>
        <v>36.109375</v>
      </c>
      <c r="U1924" t="str">
        <f>LEFT(Table1[[#This Row],[Category and Sub-Category]],FIND("/",Table1[[#This Row],[Category and Sub-Category]])-1)</f>
        <v>music</v>
      </c>
      <c r="V1924" t="str">
        <f>RIGHT(Table1[[#This Row],[Category and Sub-Category]],LEN(Table1[[#This Row],[Category and Sub-Category]])-FIND("/",Table1[[#This Row],[Category and Sub-Category]]))</f>
        <v>indie rock</v>
      </c>
    </row>
    <row r="1925" spans="1:22" ht="43.2" x14ac:dyDescent="0.3">
      <c r="A1925">
        <v>1923</v>
      </c>
      <c r="B1925" s="3" t="s">
        <v>1924</v>
      </c>
      <c r="C1925" s="3" t="s">
        <v>6033</v>
      </c>
      <c r="D1925" s="12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>((Table1[[#This Row],[deadline]]/60)/60/24)+DATE(1970,1,1)</f>
        <v>40813.207638888889</v>
      </c>
      <c r="K1925">
        <v>1313612532</v>
      </c>
      <c r="L1925" s="11">
        <f>((Table1[[#This Row],[launched_at]]/60)/60/24)+DATE(1970,1,1)</f>
        <v>40772.848749999997</v>
      </c>
      <c r="M1925">
        <f>MONTH(Table1[[#This Row],[Date Created Conversion]])</f>
        <v>8</v>
      </c>
      <c r="N1925">
        <f>YEAR(Table1[[#This Row],[Date Created Conversion]])</f>
        <v>2011</v>
      </c>
      <c r="O1925" t="b">
        <v>0</v>
      </c>
      <c r="P1925">
        <v>13</v>
      </c>
      <c r="Q1925" t="b">
        <v>1</v>
      </c>
      <c r="R1925" t="s">
        <v>8279</v>
      </c>
      <c r="S1925" s="6">
        <f>Table1[[#This Row],[pledged]]/Table1[[#This Row],[goal]]</f>
        <v>2.4079999999999999</v>
      </c>
      <c r="T1925" s="8">
        <f>IF(Table1[[#This Row],[pledged]]=0,"no backers",Table1[[#This Row],[pledged]]/Table1[[#This Row],[backers_count]])</f>
        <v>23.153846153846153</v>
      </c>
      <c r="U1925" t="str">
        <f>LEFT(Table1[[#This Row],[Category and Sub-Category]],FIND("/",Table1[[#This Row],[Category and Sub-Category]])-1)</f>
        <v>music</v>
      </c>
      <c r="V1925" t="str">
        <f>RIGHT(Table1[[#This Row],[Category and Sub-Category]],LEN(Table1[[#This Row],[Category and Sub-Category]])-FIND("/",Table1[[#This Row],[Category and Sub-Category]]))</f>
        <v>indie rock</v>
      </c>
    </row>
    <row r="1926" spans="1:22" ht="57.6" x14ac:dyDescent="0.3">
      <c r="A1926">
        <v>1924</v>
      </c>
      <c r="B1926" s="3" t="s">
        <v>1925</v>
      </c>
      <c r="C1926" s="3" t="s">
        <v>6034</v>
      </c>
      <c r="D1926" s="12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>((Table1[[#This Row],[deadline]]/60)/60/24)+DATE(1970,1,1)</f>
        <v>41654.814583333333</v>
      </c>
      <c r="K1926">
        <v>1387390555</v>
      </c>
      <c r="L1926" s="11">
        <f>((Table1[[#This Row],[launched_at]]/60)/60/24)+DATE(1970,1,1)</f>
        <v>41626.761053240742</v>
      </c>
      <c r="M1926">
        <f>MONTH(Table1[[#This Row],[Date Created Conversion]])</f>
        <v>12</v>
      </c>
      <c r="N1926">
        <f>YEAR(Table1[[#This Row],[Date Created Conversion]])</f>
        <v>2013</v>
      </c>
      <c r="O1926" t="b">
        <v>0</v>
      </c>
      <c r="P1926">
        <v>33</v>
      </c>
      <c r="Q1926" t="b">
        <v>1</v>
      </c>
      <c r="R1926" t="s">
        <v>8279</v>
      </c>
      <c r="S1926" s="6">
        <f>Table1[[#This Row],[pledged]]/Table1[[#This Row],[goal]]</f>
        <v>1.1439999999999999</v>
      </c>
      <c r="T1926" s="8">
        <f>IF(Table1[[#This Row],[pledged]]=0,"no backers",Table1[[#This Row],[pledged]]/Table1[[#This Row],[backers_count]])</f>
        <v>104</v>
      </c>
      <c r="U1926" t="str">
        <f>LEFT(Table1[[#This Row],[Category and Sub-Category]],FIND("/",Table1[[#This Row],[Category and Sub-Category]])-1)</f>
        <v>music</v>
      </c>
      <c r="V1926" t="str">
        <f>RIGHT(Table1[[#This Row],[Category and Sub-Category]],LEN(Table1[[#This Row],[Category and Sub-Category]])-FIND("/",Table1[[#This Row],[Category and Sub-Category]]))</f>
        <v>indie rock</v>
      </c>
    </row>
    <row r="1927" spans="1:22" ht="43.2" x14ac:dyDescent="0.3">
      <c r="A1927">
        <v>1925</v>
      </c>
      <c r="B1927" s="3" t="s">
        <v>1926</v>
      </c>
      <c r="C1927" s="3" t="s">
        <v>6035</v>
      </c>
      <c r="D1927" s="12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>((Table1[[#This Row],[deadline]]/60)/60/24)+DATE(1970,1,1)</f>
        <v>41558</v>
      </c>
      <c r="K1927">
        <v>1379540288</v>
      </c>
      <c r="L1927" s="11">
        <f>((Table1[[#This Row],[launched_at]]/60)/60/24)+DATE(1970,1,1)</f>
        <v>41535.90148148148</v>
      </c>
      <c r="M1927">
        <f>MONTH(Table1[[#This Row],[Date Created Conversion]])</f>
        <v>9</v>
      </c>
      <c r="N1927">
        <f>YEAR(Table1[[#This Row],[Date Created Conversion]])</f>
        <v>2013</v>
      </c>
      <c r="O1927" t="b">
        <v>0</v>
      </c>
      <c r="P1927">
        <v>52</v>
      </c>
      <c r="Q1927" t="b">
        <v>1</v>
      </c>
      <c r="R1927" t="s">
        <v>8279</v>
      </c>
      <c r="S1927" s="6">
        <f>Table1[[#This Row],[pledged]]/Table1[[#This Row],[goal]]</f>
        <v>1.1033333333333333</v>
      </c>
      <c r="T1927" s="8">
        <f>IF(Table1[[#This Row],[pledged]]=0,"no backers",Table1[[#This Row],[pledged]]/Table1[[#This Row],[backers_count]])</f>
        <v>31.826923076923077</v>
      </c>
      <c r="U1927" t="str">
        <f>LEFT(Table1[[#This Row],[Category and Sub-Category]],FIND("/",Table1[[#This Row],[Category and Sub-Category]])-1)</f>
        <v>music</v>
      </c>
      <c r="V1927" t="str">
        <f>RIGHT(Table1[[#This Row],[Category and Sub-Category]],LEN(Table1[[#This Row],[Category and Sub-Category]])-FIND("/",Table1[[#This Row],[Category and Sub-Category]]))</f>
        <v>indie rock</v>
      </c>
    </row>
    <row r="1928" spans="1:22" ht="57.6" x14ac:dyDescent="0.3">
      <c r="A1928">
        <v>1926</v>
      </c>
      <c r="B1928" s="3" t="s">
        <v>1927</v>
      </c>
      <c r="C1928" s="3" t="s">
        <v>6036</v>
      </c>
      <c r="D1928" s="12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>((Table1[[#This Row],[deadline]]/60)/60/24)+DATE(1970,1,1)</f>
        <v>40484.018055555556</v>
      </c>
      <c r="K1928">
        <v>1286319256</v>
      </c>
      <c r="L1928" s="11">
        <f>((Table1[[#This Row],[launched_at]]/60)/60/24)+DATE(1970,1,1)</f>
        <v>40456.954351851848</v>
      </c>
      <c r="M1928">
        <f>MONTH(Table1[[#This Row],[Date Created Conversion]])</f>
        <v>10</v>
      </c>
      <c r="N1928">
        <f>YEAR(Table1[[#This Row],[Date Created Conversion]])</f>
        <v>2010</v>
      </c>
      <c r="O1928" t="b">
        <v>0</v>
      </c>
      <c r="P1928">
        <v>107</v>
      </c>
      <c r="Q1928" t="b">
        <v>1</v>
      </c>
      <c r="R1928" t="s">
        <v>8279</v>
      </c>
      <c r="S1928" s="6">
        <f>Table1[[#This Row],[pledged]]/Table1[[#This Row],[goal]]</f>
        <v>1.9537933333333333</v>
      </c>
      <c r="T1928" s="8">
        <f>IF(Table1[[#This Row],[pledged]]=0,"no backers",Table1[[#This Row],[pledged]]/Table1[[#This Row],[backers_count]])</f>
        <v>27.3896261682243</v>
      </c>
      <c r="U1928" t="str">
        <f>LEFT(Table1[[#This Row],[Category and Sub-Category]],FIND("/",Table1[[#This Row],[Category and Sub-Category]])-1)</f>
        <v>music</v>
      </c>
      <c r="V1928" t="str">
        <f>RIGHT(Table1[[#This Row],[Category and Sub-Category]],LEN(Table1[[#This Row],[Category and Sub-Category]])-FIND("/",Table1[[#This Row],[Category and Sub-Category]]))</f>
        <v>indie rock</v>
      </c>
    </row>
    <row r="1929" spans="1:22" x14ac:dyDescent="0.3">
      <c r="A1929">
        <v>1927</v>
      </c>
      <c r="B1929" s="3" t="s">
        <v>1928</v>
      </c>
      <c r="C1929" s="3" t="s">
        <v>6037</v>
      </c>
      <c r="D1929" s="12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>((Table1[[#This Row],[deadline]]/60)/60/24)+DATE(1970,1,1)</f>
        <v>40976.207638888889</v>
      </c>
      <c r="K1929">
        <v>1329856839</v>
      </c>
      <c r="L1929" s="11">
        <f>((Table1[[#This Row],[launched_at]]/60)/60/24)+DATE(1970,1,1)</f>
        <v>40960.861562500002</v>
      </c>
      <c r="M1929">
        <f>MONTH(Table1[[#This Row],[Date Created Conversion]])</f>
        <v>2</v>
      </c>
      <c r="N1929">
        <f>YEAR(Table1[[#This Row],[Date Created Conversion]])</f>
        <v>2012</v>
      </c>
      <c r="O1929" t="b">
        <v>0</v>
      </c>
      <c r="P1929">
        <v>11</v>
      </c>
      <c r="Q1929" t="b">
        <v>1</v>
      </c>
      <c r="R1929" t="s">
        <v>8279</v>
      </c>
      <c r="S1929" s="6">
        <f>Table1[[#This Row],[pledged]]/Table1[[#This Row],[goal]]</f>
        <v>1.0333333333333334</v>
      </c>
      <c r="T1929" s="8">
        <f>IF(Table1[[#This Row],[pledged]]=0,"no backers",Table1[[#This Row],[pledged]]/Table1[[#This Row],[backers_count]])</f>
        <v>56.363636363636367</v>
      </c>
      <c r="U1929" t="str">
        <f>LEFT(Table1[[#This Row],[Category and Sub-Category]],FIND("/",Table1[[#This Row],[Category and Sub-Category]])-1)</f>
        <v>music</v>
      </c>
      <c r="V1929" t="str">
        <f>RIGHT(Table1[[#This Row],[Category and Sub-Category]],LEN(Table1[[#This Row],[Category and Sub-Category]])-FIND("/",Table1[[#This Row],[Category and Sub-Category]]))</f>
        <v>indie rock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 s="12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>((Table1[[#This Row],[deadline]]/60)/60/24)+DATE(1970,1,1)</f>
        <v>41401.648078703707</v>
      </c>
      <c r="K1930">
        <v>1365348794</v>
      </c>
      <c r="L1930" s="11">
        <f>((Table1[[#This Row],[launched_at]]/60)/60/24)+DATE(1970,1,1)</f>
        <v>41371.648078703707</v>
      </c>
      <c r="M1930">
        <f>MONTH(Table1[[#This Row],[Date Created Conversion]])</f>
        <v>4</v>
      </c>
      <c r="N1930">
        <f>YEAR(Table1[[#This Row],[Date Created Conversion]])</f>
        <v>2013</v>
      </c>
      <c r="O1930" t="b">
        <v>0</v>
      </c>
      <c r="P1930">
        <v>34</v>
      </c>
      <c r="Q1930" t="b">
        <v>1</v>
      </c>
      <c r="R1930" t="s">
        <v>8279</v>
      </c>
      <c r="S1930" s="6">
        <f>Table1[[#This Row],[pledged]]/Table1[[#This Row],[goal]]</f>
        <v>1.031372549019608</v>
      </c>
      <c r="T1930" s="8">
        <f>IF(Table1[[#This Row],[pledged]]=0,"no backers",Table1[[#This Row],[pledged]]/Table1[[#This Row],[backers_count]])</f>
        <v>77.352941176470594</v>
      </c>
      <c r="U1930" t="str">
        <f>LEFT(Table1[[#This Row],[Category and Sub-Category]],FIND("/",Table1[[#This Row],[Category and Sub-Category]])-1)</f>
        <v>music</v>
      </c>
      <c r="V1930" t="str">
        <f>RIGHT(Table1[[#This Row],[Category and Sub-Category]],LEN(Table1[[#This Row],[Category and Sub-Category]])-FIND("/",Table1[[#This Row],[Category and Sub-Category]]))</f>
        <v>indie rock</v>
      </c>
    </row>
    <row r="1931" spans="1:22" ht="43.2" x14ac:dyDescent="0.3">
      <c r="A1931">
        <v>1929</v>
      </c>
      <c r="B1931" s="3" t="s">
        <v>1930</v>
      </c>
      <c r="C1931" s="3" t="s">
        <v>6039</v>
      </c>
      <c r="D1931" s="12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>((Table1[[#This Row],[deadline]]/60)/60/24)+DATE(1970,1,1)</f>
        <v>40729.021597222221</v>
      </c>
      <c r="K1931">
        <v>1306197066</v>
      </c>
      <c r="L1931" s="11">
        <f>((Table1[[#This Row],[launched_at]]/60)/60/24)+DATE(1970,1,1)</f>
        <v>40687.021597222221</v>
      </c>
      <c r="M1931">
        <f>MONTH(Table1[[#This Row],[Date Created Conversion]])</f>
        <v>5</v>
      </c>
      <c r="N1931">
        <f>YEAR(Table1[[#This Row],[Date Created Conversion]])</f>
        <v>2011</v>
      </c>
      <c r="O1931" t="b">
        <v>0</v>
      </c>
      <c r="P1931">
        <v>75</v>
      </c>
      <c r="Q1931" t="b">
        <v>1</v>
      </c>
      <c r="R1931" t="s">
        <v>8279</v>
      </c>
      <c r="S1931" s="6">
        <f>Table1[[#This Row],[pledged]]/Table1[[#This Row],[goal]]</f>
        <v>1.003125</v>
      </c>
      <c r="T1931" s="8">
        <f>IF(Table1[[#This Row],[pledged]]=0,"no backers",Table1[[#This Row],[pledged]]/Table1[[#This Row],[backers_count]])</f>
        <v>42.8</v>
      </c>
      <c r="U1931" t="str">
        <f>LEFT(Table1[[#This Row],[Category and Sub-Category]],FIND("/",Table1[[#This Row],[Category and Sub-Category]])-1)</f>
        <v>music</v>
      </c>
      <c r="V1931" t="str">
        <f>RIGHT(Table1[[#This Row],[Category and Sub-Category]],LEN(Table1[[#This Row],[Category and Sub-Category]])-FIND("/",Table1[[#This Row],[Category and Sub-Category]]))</f>
        <v>indie rock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 s="1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>((Table1[[#This Row],[deadline]]/60)/60/24)+DATE(1970,1,1)</f>
        <v>41462.558819444443</v>
      </c>
      <c r="K1932">
        <v>1368019482</v>
      </c>
      <c r="L1932" s="11">
        <f>((Table1[[#This Row],[launched_at]]/60)/60/24)+DATE(1970,1,1)</f>
        <v>41402.558819444443</v>
      </c>
      <c r="M1932">
        <f>MONTH(Table1[[#This Row],[Date Created Conversion]])</f>
        <v>5</v>
      </c>
      <c r="N1932">
        <f>YEAR(Table1[[#This Row],[Date Created Conversion]])</f>
        <v>2013</v>
      </c>
      <c r="O1932" t="b">
        <v>0</v>
      </c>
      <c r="P1932">
        <v>26</v>
      </c>
      <c r="Q1932" t="b">
        <v>1</v>
      </c>
      <c r="R1932" t="s">
        <v>8279</v>
      </c>
      <c r="S1932" s="6">
        <f>Table1[[#This Row],[pledged]]/Table1[[#This Row],[goal]]</f>
        <v>1.27</v>
      </c>
      <c r="T1932" s="8">
        <f>IF(Table1[[#This Row],[pledged]]=0,"no backers",Table1[[#This Row],[pledged]]/Table1[[#This Row],[backers_count]])</f>
        <v>48.846153846153847</v>
      </c>
      <c r="U1932" t="str">
        <f>LEFT(Table1[[#This Row],[Category and Sub-Category]],FIND("/",Table1[[#This Row],[Category and Sub-Category]])-1)</f>
        <v>music</v>
      </c>
      <c r="V1932" t="str">
        <f>RIGHT(Table1[[#This Row],[Category and Sub-Category]],LEN(Table1[[#This Row],[Category and Sub-Category]])-FIND("/",Table1[[#This Row],[Category and Sub-Category]]))</f>
        <v>indie rock</v>
      </c>
    </row>
    <row r="1933" spans="1:22" ht="43.2" x14ac:dyDescent="0.3">
      <c r="A1933">
        <v>1931</v>
      </c>
      <c r="B1933" s="3" t="s">
        <v>1932</v>
      </c>
      <c r="C1933" s="3" t="s">
        <v>6041</v>
      </c>
      <c r="D1933" s="12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>((Table1[[#This Row],[deadline]]/60)/60/24)+DATE(1970,1,1)</f>
        <v>41051.145833333336</v>
      </c>
      <c r="K1933">
        <v>1336512309</v>
      </c>
      <c r="L1933" s="11">
        <f>((Table1[[#This Row],[launched_at]]/60)/60/24)+DATE(1970,1,1)</f>
        <v>41037.892465277779</v>
      </c>
      <c r="M1933">
        <f>MONTH(Table1[[#This Row],[Date Created Conversion]])</f>
        <v>5</v>
      </c>
      <c r="N1933">
        <f>YEAR(Table1[[#This Row],[Date Created Conversion]])</f>
        <v>2012</v>
      </c>
      <c r="O1933" t="b">
        <v>0</v>
      </c>
      <c r="P1933">
        <v>50</v>
      </c>
      <c r="Q1933" t="b">
        <v>1</v>
      </c>
      <c r="R1933" t="s">
        <v>8279</v>
      </c>
      <c r="S1933" s="6">
        <f>Table1[[#This Row],[pledged]]/Table1[[#This Row],[goal]]</f>
        <v>1.20601</v>
      </c>
      <c r="T1933" s="8">
        <f>IF(Table1[[#This Row],[pledged]]=0,"no backers",Table1[[#This Row],[pledged]]/Table1[[#This Row],[backers_count]])</f>
        <v>48.240400000000001</v>
      </c>
      <c r="U1933" t="str">
        <f>LEFT(Table1[[#This Row],[Category and Sub-Category]],FIND("/",Table1[[#This Row],[Category and Sub-Category]])-1)</f>
        <v>music</v>
      </c>
      <c r="V1933" t="str">
        <f>RIGHT(Table1[[#This Row],[Category and Sub-Category]],LEN(Table1[[#This Row],[Category and Sub-Category]])-FIND("/",Table1[[#This Row],[Category and Sub-Category]]))</f>
        <v>indie rock</v>
      </c>
    </row>
    <row r="1934" spans="1:22" ht="57.6" x14ac:dyDescent="0.3">
      <c r="A1934">
        <v>1932</v>
      </c>
      <c r="B1934" s="3" t="s">
        <v>1933</v>
      </c>
      <c r="C1934" s="3" t="s">
        <v>6042</v>
      </c>
      <c r="D1934" s="12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>((Table1[[#This Row],[deadline]]/60)/60/24)+DATE(1970,1,1)</f>
        <v>40932.809872685182</v>
      </c>
      <c r="K1934">
        <v>1325618773</v>
      </c>
      <c r="L1934" s="11">
        <f>((Table1[[#This Row],[launched_at]]/60)/60/24)+DATE(1970,1,1)</f>
        <v>40911.809872685182</v>
      </c>
      <c r="M1934">
        <f>MONTH(Table1[[#This Row],[Date Created Conversion]])</f>
        <v>1</v>
      </c>
      <c r="N1934">
        <f>YEAR(Table1[[#This Row],[Date Created Conversion]])</f>
        <v>2012</v>
      </c>
      <c r="O1934" t="b">
        <v>0</v>
      </c>
      <c r="P1934">
        <v>80</v>
      </c>
      <c r="Q1934" t="b">
        <v>1</v>
      </c>
      <c r="R1934" t="s">
        <v>8279</v>
      </c>
      <c r="S1934" s="6">
        <f>Table1[[#This Row],[pledged]]/Table1[[#This Row],[goal]]</f>
        <v>1.0699047619047619</v>
      </c>
      <c r="T1934" s="8">
        <f>IF(Table1[[#This Row],[pledged]]=0,"no backers",Table1[[#This Row],[pledged]]/Table1[[#This Row],[backers_count]])</f>
        <v>70.212500000000006</v>
      </c>
      <c r="U1934" t="str">
        <f>LEFT(Table1[[#This Row],[Category and Sub-Category]],FIND("/",Table1[[#This Row],[Category and Sub-Category]])-1)</f>
        <v>music</v>
      </c>
      <c r="V1934" t="str">
        <f>RIGHT(Table1[[#This Row],[Category and Sub-Category]],LEN(Table1[[#This Row],[Category and Sub-Category]])-FIND("/",Table1[[#This Row],[Category and Sub-Category]]))</f>
        <v>indie rock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 s="12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>((Table1[[#This Row],[deadline]]/60)/60/24)+DATE(1970,1,1)</f>
        <v>41909.130868055552</v>
      </c>
      <c r="K1935">
        <v>1409195307</v>
      </c>
      <c r="L1935" s="11">
        <f>((Table1[[#This Row],[launched_at]]/60)/60/24)+DATE(1970,1,1)</f>
        <v>41879.130868055552</v>
      </c>
      <c r="M1935">
        <f>MONTH(Table1[[#This Row],[Date Created Conversion]])</f>
        <v>8</v>
      </c>
      <c r="N1935">
        <f>YEAR(Table1[[#This Row],[Date Created Conversion]])</f>
        <v>2014</v>
      </c>
      <c r="O1935" t="b">
        <v>0</v>
      </c>
      <c r="P1935">
        <v>110</v>
      </c>
      <c r="Q1935" t="b">
        <v>1</v>
      </c>
      <c r="R1935" t="s">
        <v>8279</v>
      </c>
      <c r="S1935" s="6">
        <f>Table1[[#This Row],[pledged]]/Table1[[#This Row],[goal]]</f>
        <v>1.7243333333333333</v>
      </c>
      <c r="T1935" s="8">
        <f>IF(Table1[[#This Row],[pledged]]=0,"no backers",Table1[[#This Row],[pledged]]/Table1[[#This Row],[backers_count]])</f>
        <v>94.054545454545448</v>
      </c>
      <c r="U1935" t="str">
        <f>LEFT(Table1[[#This Row],[Category and Sub-Category]],FIND("/",Table1[[#This Row],[Category and Sub-Category]])-1)</f>
        <v>music</v>
      </c>
      <c r="V1935" t="str">
        <f>RIGHT(Table1[[#This Row],[Category and Sub-Category]],LEN(Table1[[#This Row],[Category and Sub-Category]])-FIND("/",Table1[[#This Row],[Category and Sub-Category]]))</f>
        <v>indie rock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 s="12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>((Table1[[#This Row],[deadline]]/60)/60/24)+DATE(1970,1,1)</f>
        <v>40902.208333333336</v>
      </c>
      <c r="K1936">
        <v>1321649321</v>
      </c>
      <c r="L1936" s="11">
        <f>((Table1[[#This Row],[launched_at]]/60)/60/24)+DATE(1970,1,1)</f>
        <v>40865.867141203707</v>
      </c>
      <c r="M1936">
        <f>MONTH(Table1[[#This Row],[Date Created Conversion]])</f>
        <v>11</v>
      </c>
      <c r="N1936">
        <f>YEAR(Table1[[#This Row],[Date Created Conversion]])</f>
        <v>2011</v>
      </c>
      <c r="O1936" t="b">
        <v>0</v>
      </c>
      <c r="P1936">
        <v>77</v>
      </c>
      <c r="Q1936" t="b">
        <v>1</v>
      </c>
      <c r="R1936" t="s">
        <v>8279</v>
      </c>
      <c r="S1936" s="6">
        <f>Table1[[#This Row],[pledged]]/Table1[[#This Row],[goal]]</f>
        <v>1.2362</v>
      </c>
      <c r="T1936" s="8">
        <f>IF(Table1[[#This Row],[pledged]]=0,"no backers",Table1[[#This Row],[pledged]]/Table1[[#This Row],[backers_count]])</f>
        <v>80.272727272727266</v>
      </c>
      <c r="U1936" t="str">
        <f>LEFT(Table1[[#This Row],[Category and Sub-Category]],FIND("/",Table1[[#This Row],[Category and Sub-Category]])-1)</f>
        <v>music</v>
      </c>
      <c r="V1936" t="str">
        <f>RIGHT(Table1[[#This Row],[Category and Sub-Category]],LEN(Table1[[#This Row],[Category and Sub-Category]])-FIND("/",Table1[[#This Row],[Category and Sub-Category]]))</f>
        <v>indie rock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 s="12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>((Table1[[#This Row],[deadline]]/60)/60/24)+DATE(1970,1,1)</f>
        <v>41811.207638888889</v>
      </c>
      <c r="K1937">
        <v>1400106171</v>
      </c>
      <c r="L1937" s="11">
        <f>((Table1[[#This Row],[launched_at]]/60)/60/24)+DATE(1970,1,1)</f>
        <v>41773.932534722226</v>
      </c>
      <c r="M1937">
        <f>MONTH(Table1[[#This Row],[Date Created Conversion]])</f>
        <v>5</v>
      </c>
      <c r="N1937">
        <f>YEAR(Table1[[#This Row],[Date Created Conversion]])</f>
        <v>2014</v>
      </c>
      <c r="O1937" t="b">
        <v>0</v>
      </c>
      <c r="P1937">
        <v>50</v>
      </c>
      <c r="Q1937" t="b">
        <v>1</v>
      </c>
      <c r="R1937" t="s">
        <v>8279</v>
      </c>
      <c r="S1937" s="6">
        <f>Table1[[#This Row],[pledged]]/Table1[[#This Row],[goal]]</f>
        <v>1.0840000000000001</v>
      </c>
      <c r="T1937" s="8">
        <f>IF(Table1[[#This Row],[pledged]]=0,"no backers",Table1[[#This Row],[pledged]]/Table1[[#This Row],[backers_count]])</f>
        <v>54.2</v>
      </c>
      <c r="U1937" t="str">
        <f>LEFT(Table1[[#This Row],[Category and Sub-Category]],FIND("/",Table1[[#This Row],[Category and Sub-Category]])-1)</f>
        <v>music</v>
      </c>
      <c r="V1937" t="str">
        <f>RIGHT(Table1[[#This Row],[Category and Sub-Category]],LEN(Table1[[#This Row],[Category and Sub-Category]])-FIND("/",Table1[[#This Row],[Category and Sub-Category]]))</f>
        <v>indie rock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 s="12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>((Table1[[#This Row],[deadline]]/60)/60/24)+DATE(1970,1,1)</f>
        <v>40883.249305555553</v>
      </c>
      <c r="K1938">
        <v>1320528070</v>
      </c>
      <c r="L1938" s="11">
        <f>((Table1[[#This Row],[launched_at]]/60)/60/24)+DATE(1970,1,1)</f>
        <v>40852.889699074076</v>
      </c>
      <c r="M1938">
        <f>MONTH(Table1[[#This Row],[Date Created Conversion]])</f>
        <v>11</v>
      </c>
      <c r="N1938">
        <f>YEAR(Table1[[#This Row],[Date Created Conversion]])</f>
        <v>2011</v>
      </c>
      <c r="O1938" t="b">
        <v>0</v>
      </c>
      <c r="P1938">
        <v>145</v>
      </c>
      <c r="Q1938" t="b">
        <v>1</v>
      </c>
      <c r="R1938" t="s">
        <v>8279</v>
      </c>
      <c r="S1938" s="6">
        <f>Table1[[#This Row],[pledged]]/Table1[[#This Row],[goal]]</f>
        <v>1.1652013333333333</v>
      </c>
      <c r="T1938" s="8">
        <f>IF(Table1[[#This Row],[pledged]]=0,"no backers",Table1[[#This Row],[pledged]]/Table1[[#This Row],[backers_count]])</f>
        <v>60.26903448275862</v>
      </c>
      <c r="U1938" t="str">
        <f>LEFT(Table1[[#This Row],[Category and Sub-Category]],FIND("/",Table1[[#This Row],[Category and Sub-Category]])-1)</f>
        <v>music</v>
      </c>
      <c r="V1938" t="str">
        <f>RIGHT(Table1[[#This Row],[Category and Sub-Category]],LEN(Table1[[#This Row],[Category and Sub-Category]])-FIND("/",Table1[[#This Row],[Category and Sub-Category]]))</f>
        <v>indie rock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 s="12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>((Table1[[#This Row],[deadline]]/60)/60/24)+DATE(1970,1,1)</f>
        <v>41075.165972222225</v>
      </c>
      <c r="K1939">
        <v>1338346281</v>
      </c>
      <c r="L1939" s="11">
        <f>((Table1[[#This Row],[launched_at]]/60)/60/24)+DATE(1970,1,1)</f>
        <v>41059.118993055556</v>
      </c>
      <c r="M1939">
        <f>MONTH(Table1[[#This Row],[Date Created Conversion]])</f>
        <v>5</v>
      </c>
      <c r="N1939">
        <f>YEAR(Table1[[#This Row],[Date Created Conversion]])</f>
        <v>2012</v>
      </c>
      <c r="O1939" t="b">
        <v>0</v>
      </c>
      <c r="P1939">
        <v>29</v>
      </c>
      <c r="Q1939" t="b">
        <v>1</v>
      </c>
      <c r="R1939" t="s">
        <v>8279</v>
      </c>
      <c r="S1939" s="6">
        <f>Table1[[#This Row],[pledged]]/Table1[[#This Row],[goal]]</f>
        <v>1.8724499999999999</v>
      </c>
      <c r="T1939" s="8">
        <f>IF(Table1[[#This Row],[pledged]]=0,"no backers",Table1[[#This Row],[pledged]]/Table1[[#This Row],[backers_count]])</f>
        <v>38.740344827586206</v>
      </c>
      <c r="U1939" t="str">
        <f>LEFT(Table1[[#This Row],[Category and Sub-Category]],FIND("/",Table1[[#This Row],[Category and Sub-Category]])-1)</f>
        <v>music</v>
      </c>
      <c r="V1939" t="str">
        <f>RIGHT(Table1[[#This Row],[Category and Sub-Category]],LEN(Table1[[#This Row],[Category and Sub-Category]])-FIND("/",Table1[[#This Row],[Category and Sub-Category]]))</f>
        <v>indie rock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 s="12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>((Table1[[#This Row],[deadline]]/60)/60/24)+DATE(1970,1,1)</f>
        <v>41457.208333333336</v>
      </c>
      <c r="K1940">
        <v>1370067231</v>
      </c>
      <c r="L1940" s="11">
        <f>((Table1[[#This Row],[launched_at]]/60)/60/24)+DATE(1970,1,1)</f>
        <v>41426.259618055556</v>
      </c>
      <c r="M1940">
        <f>MONTH(Table1[[#This Row],[Date Created Conversion]])</f>
        <v>6</v>
      </c>
      <c r="N1940">
        <f>YEAR(Table1[[#This Row],[Date Created Conversion]])</f>
        <v>2013</v>
      </c>
      <c r="O1940" t="b">
        <v>0</v>
      </c>
      <c r="P1940">
        <v>114</v>
      </c>
      <c r="Q1940" t="b">
        <v>1</v>
      </c>
      <c r="R1940" t="s">
        <v>8279</v>
      </c>
      <c r="S1940" s="6">
        <f>Table1[[#This Row],[pledged]]/Table1[[#This Row],[goal]]</f>
        <v>1.1593333333333333</v>
      </c>
      <c r="T1940" s="8">
        <f>IF(Table1[[#This Row],[pledged]]=0,"no backers",Table1[[#This Row],[pledged]]/Table1[[#This Row],[backers_count]])</f>
        <v>152.54385964912279</v>
      </c>
      <c r="U1940" t="str">
        <f>LEFT(Table1[[#This Row],[Category and Sub-Category]],FIND("/",Table1[[#This Row],[Category and Sub-Category]])-1)</f>
        <v>music</v>
      </c>
      <c r="V1940" t="str">
        <f>RIGHT(Table1[[#This Row],[Category and Sub-Category]],LEN(Table1[[#This Row],[Category and Sub-Category]])-FIND("/",Table1[[#This Row],[Category and Sub-Category]]))</f>
        <v>indie rock</v>
      </c>
    </row>
    <row r="1941" spans="1:22" ht="57.6" x14ac:dyDescent="0.3">
      <c r="A1941">
        <v>1939</v>
      </c>
      <c r="B1941" s="3" t="s">
        <v>1940</v>
      </c>
      <c r="C1941" s="3" t="s">
        <v>6049</v>
      </c>
      <c r="D1941" s="12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>((Table1[[#This Row],[deadline]]/60)/60/24)+DATE(1970,1,1)</f>
        <v>41343.943379629629</v>
      </c>
      <c r="K1941">
        <v>1360366708</v>
      </c>
      <c r="L1941" s="11">
        <f>((Table1[[#This Row],[launched_at]]/60)/60/24)+DATE(1970,1,1)</f>
        <v>41313.985046296293</v>
      </c>
      <c r="M1941">
        <f>MONTH(Table1[[#This Row],[Date Created Conversion]])</f>
        <v>2</v>
      </c>
      <c r="N1941">
        <f>YEAR(Table1[[#This Row],[Date Created Conversion]])</f>
        <v>2013</v>
      </c>
      <c r="O1941" t="b">
        <v>0</v>
      </c>
      <c r="P1941">
        <v>96</v>
      </c>
      <c r="Q1941" t="b">
        <v>1</v>
      </c>
      <c r="R1941" t="s">
        <v>8279</v>
      </c>
      <c r="S1941" s="6">
        <f>Table1[[#This Row],[pledged]]/Table1[[#This Row],[goal]]</f>
        <v>1.107</v>
      </c>
      <c r="T1941" s="8">
        <f>IF(Table1[[#This Row],[pledged]]=0,"no backers",Table1[[#This Row],[pledged]]/Table1[[#This Row],[backers_count]])</f>
        <v>115.3125</v>
      </c>
      <c r="U1941" t="str">
        <f>LEFT(Table1[[#This Row],[Category and Sub-Category]],FIND("/",Table1[[#This Row],[Category and Sub-Category]])-1)</f>
        <v>music</v>
      </c>
      <c r="V1941" t="str">
        <f>RIGHT(Table1[[#This Row],[Category and Sub-Category]],LEN(Table1[[#This Row],[Category and Sub-Category]])-FIND("/",Table1[[#This Row],[Category and Sub-Category]]))</f>
        <v>indie rock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 s="1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>((Table1[[#This Row],[deadline]]/60)/60/24)+DATE(1970,1,1)</f>
        <v>40709.165972222225</v>
      </c>
      <c r="K1942">
        <v>1304770233</v>
      </c>
      <c r="L1942" s="11">
        <f>((Table1[[#This Row],[launched_at]]/60)/60/24)+DATE(1970,1,1)</f>
        <v>40670.507326388892</v>
      </c>
      <c r="M1942">
        <f>MONTH(Table1[[#This Row],[Date Created Conversion]])</f>
        <v>5</v>
      </c>
      <c r="N1942">
        <f>YEAR(Table1[[#This Row],[Date Created Conversion]])</f>
        <v>2011</v>
      </c>
      <c r="O1942" t="b">
        <v>0</v>
      </c>
      <c r="P1942">
        <v>31</v>
      </c>
      <c r="Q1942" t="b">
        <v>1</v>
      </c>
      <c r="R1942" t="s">
        <v>8279</v>
      </c>
      <c r="S1942" s="6">
        <f>Table1[[#This Row],[pledged]]/Table1[[#This Row],[goal]]</f>
        <v>1.7092307692307693</v>
      </c>
      <c r="T1942" s="8">
        <f>IF(Table1[[#This Row],[pledged]]=0,"no backers",Table1[[#This Row],[pledged]]/Table1[[#This Row],[backers_count]])</f>
        <v>35.838709677419352</v>
      </c>
      <c r="U1942" t="str">
        <f>LEFT(Table1[[#This Row],[Category and Sub-Category]],FIND("/",Table1[[#This Row],[Category and Sub-Category]])-1)</f>
        <v>music</v>
      </c>
      <c r="V1942" t="str">
        <f>RIGHT(Table1[[#This Row],[Category and Sub-Category]],LEN(Table1[[#This Row],[Category and Sub-Category]])-FIND("/",Table1[[#This Row],[Category and Sub-Category]]))</f>
        <v>indie rock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 s="12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>((Table1[[#This Row],[deadline]]/60)/60/24)+DATE(1970,1,1)</f>
        <v>41774.290868055556</v>
      </c>
      <c r="K1943">
        <v>1397545131</v>
      </c>
      <c r="L1943" s="11">
        <f>((Table1[[#This Row],[launched_at]]/60)/60/24)+DATE(1970,1,1)</f>
        <v>41744.290868055556</v>
      </c>
      <c r="M1943">
        <f>MONTH(Table1[[#This Row],[Date Created Conversion]])</f>
        <v>4</v>
      </c>
      <c r="N1943">
        <f>YEAR(Table1[[#This Row],[Date Created Conversion]])</f>
        <v>2014</v>
      </c>
      <c r="O1943" t="b">
        <v>1</v>
      </c>
      <c r="P1943">
        <v>4883</v>
      </c>
      <c r="Q1943" t="b">
        <v>1</v>
      </c>
      <c r="R1943" t="s">
        <v>8295</v>
      </c>
      <c r="S1943" s="6">
        <f>Table1[[#This Row],[pledged]]/Table1[[#This Row],[goal]]</f>
        <v>1.2611835600000001</v>
      </c>
      <c r="T1943" s="8">
        <f>IF(Table1[[#This Row],[pledged]]=0,"no backers",Table1[[#This Row],[pledged]]/Table1[[#This Row],[backers_count]])</f>
        <v>64.570118779438872</v>
      </c>
      <c r="U1943" t="str">
        <f>LEFT(Table1[[#This Row],[Category and Sub-Category]],FIND("/",Table1[[#This Row],[Category and Sub-Category]])-1)</f>
        <v>technology</v>
      </c>
      <c r="V1943" t="str">
        <f>RIGHT(Table1[[#This Row],[Category and Sub-Category]],LEN(Table1[[#This Row],[Category and Sub-Category]])-FIND("/",Table1[[#This Row],[Category and Sub-Category]]))</f>
        <v>hardware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 s="12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>((Table1[[#This Row],[deadline]]/60)/60/24)+DATE(1970,1,1)</f>
        <v>40728.828009259261</v>
      </c>
      <c r="K1944">
        <v>1302033140</v>
      </c>
      <c r="L1944" s="11">
        <f>((Table1[[#This Row],[launched_at]]/60)/60/24)+DATE(1970,1,1)</f>
        <v>40638.828009259261</v>
      </c>
      <c r="M1944">
        <f>MONTH(Table1[[#This Row],[Date Created Conversion]])</f>
        <v>4</v>
      </c>
      <c r="N1944">
        <f>YEAR(Table1[[#This Row],[Date Created Conversion]])</f>
        <v>2011</v>
      </c>
      <c r="O1944" t="b">
        <v>1</v>
      </c>
      <c r="P1944">
        <v>95</v>
      </c>
      <c r="Q1944" t="b">
        <v>1</v>
      </c>
      <c r="R1944" t="s">
        <v>8295</v>
      </c>
      <c r="S1944" s="6">
        <f>Table1[[#This Row],[pledged]]/Table1[[#This Row],[goal]]</f>
        <v>1.3844033333333334</v>
      </c>
      <c r="T1944" s="8">
        <f>IF(Table1[[#This Row],[pledged]]=0,"no backers",Table1[[#This Row],[pledged]]/Table1[[#This Row],[backers_count]])</f>
        <v>87.436000000000007</v>
      </c>
      <c r="U1944" t="str">
        <f>LEFT(Table1[[#This Row],[Category and Sub-Category]],FIND("/",Table1[[#This Row],[Category and Sub-Category]])-1)</f>
        <v>technology</v>
      </c>
      <c r="V1944" t="str">
        <f>RIGHT(Table1[[#This Row],[Category and Sub-Category]],LEN(Table1[[#This Row],[Category and Sub-Category]])-FIND("/",Table1[[#This Row],[Category and Sub-Category]]))</f>
        <v>hardware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 s="12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>((Table1[[#This Row],[deadline]]/60)/60/24)+DATE(1970,1,1)</f>
        <v>42593.269861111112</v>
      </c>
      <c r="K1945">
        <v>1467008916</v>
      </c>
      <c r="L1945" s="11">
        <f>((Table1[[#This Row],[launched_at]]/60)/60/24)+DATE(1970,1,1)</f>
        <v>42548.269861111112</v>
      </c>
      <c r="M1945">
        <f>MONTH(Table1[[#This Row],[Date Created Conversion]])</f>
        <v>6</v>
      </c>
      <c r="N1945">
        <f>YEAR(Table1[[#This Row],[Date Created Conversion]])</f>
        <v>2016</v>
      </c>
      <c r="O1945" t="b">
        <v>1</v>
      </c>
      <c r="P1945">
        <v>2478</v>
      </c>
      <c r="Q1945" t="b">
        <v>1</v>
      </c>
      <c r="R1945" t="s">
        <v>8295</v>
      </c>
      <c r="S1945" s="6">
        <f>Table1[[#This Row],[pledged]]/Table1[[#This Row],[goal]]</f>
        <v>17.052499999999998</v>
      </c>
      <c r="T1945" s="8">
        <f>IF(Table1[[#This Row],[pledged]]=0,"no backers",Table1[[#This Row],[pledged]]/Table1[[#This Row],[backers_count]])</f>
        <v>68.815577078288939</v>
      </c>
      <c r="U1945" t="str">
        <f>LEFT(Table1[[#This Row],[Category and Sub-Category]],FIND("/",Table1[[#This Row],[Category and Sub-Category]])-1)</f>
        <v>technology</v>
      </c>
      <c r="V1945" t="str">
        <f>RIGHT(Table1[[#This Row],[Category and Sub-Category]],LEN(Table1[[#This Row],[Category and Sub-Category]])-FIND("/",Table1[[#This Row],[Category and Sub-Category]]))</f>
        <v>hardware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 s="12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>((Table1[[#This Row],[deadline]]/60)/60/24)+DATE(1970,1,1)</f>
        <v>41760.584374999999</v>
      </c>
      <c r="K1946">
        <v>1396360890</v>
      </c>
      <c r="L1946" s="11">
        <f>((Table1[[#This Row],[launched_at]]/60)/60/24)+DATE(1970,1,1)</f>
        <v>41730.584374999999</v>
      </c>
      <c r="M1946">
        <f>MONTH(Table1[[#This Row],[Date Created Conversion]])</f>
        <v>4</v>
      </c>
      <c r="N1946">
        <f>YEAR(Table1[[#This Row],[Date Created Conversion]])</f>
        <v>2014</v>
      </c>
      <c r="O1946" t="b">
        <v>1</v>
      </c>
      <c r="P1946">
        <v>1789</v>
      </c>
      <c r="Q1946" t="b">
        <v>1</v>
      </c>
      <c r="R1946" t="s">
        <v>8295</v>
      </c>
      <c r="S1946" s="6">
        <f>Table1[[#This Row],[pledged]]/Table1[[#This Row],[goal]]</f>
        <v>7.8805550000000002</v>
      </c>
      <c r="T1946" s="8">
        <f>IF(Table1[[#This Row],[pledged]]=0,"no backers",Table1[[#This Row],[pledged]]/Table1[[#This Row],[backers_count]])</f>
        <v>176.200223588597</v>
      </c>
      <c r="U1946" t="str">
        <f>LEFT(Table1[[#This Row],[Category and Sub-Category]],FIND("/",Table1[[#This Row],[Category and Sub-Category]])-1)</f>
        <v>technology</v>
      </c>
      <c r="V1946" t="str">
        <f>RIGHT(Table1[[#This Row],[Category and Sub-Category]],LEN(Table1[[#This Row],[Category and Sub-Category]])-FIND("/",Table1[[#This Row],[Category and Sub-Category]]))</f>
        <v>hardware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 s="12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>((Table1[[#This Row],[deadline]]/60)/60/24)+DATE(1970,1,1)</f>
        <v>42197.251828703709</v>
      </c>
      <c r="K1947">
        <v>1433224958</v>
      </c>
      <c r="L1947" s="11">
        <f>((Table1[[#This Row],[launched_at]]/60)/60/24)+DATE(1970,1,1)</f>
        <v>42157.251828703709</v>
      </c>
      <c r="M1947">
        <f>MONTH(Table1[[#This Row],[Date Created Conversion]])</f>
        <v>6</v>
      </c>
      <c r="N1947">
        <f>YEAR(Table1[[#This Row],[Date Created Conversion]])</f>
        <v>2015</v>
      </c>
      <c r="O1947" t="b">
        <v>1</v>
      </c>
      <c r="P1947">
        <v>680</v>
      </c>
      <c r="Q1947" t="b">
        <v>1</v>
      </c>
      <c r="R1947" t="s">
        <v>8295</v>
      </c>
      <c r="S1947" s="6">
        <f>Table1[[#This Row],[pledged]]/Table1[[#This Row],[goal]]</f>
        <v>3.4801799999999998</v>
      </c>
      <c r="T1947" s="8">
        <f>IF(Table1[[#This Row],[pledged]]=0,"no backers",Table1[[#This Row],[pledged]]/Table1[[#This Row],[backers_count]])</f>
        <v>511.79117647058825</v>
      </c>
      <c r="U1947" t="str">
        <f>LEFT(Table1[[#This Row],[Category and Sub-Category]],FIND("/",Table1[[#This Row],[Category and Sub-Category]])-1)</f>
        <v>technology</v>
      </c>
      <c r="V1947" t="str">
        <f>RIGHT(Table1[[#This Row],[Category and Sub-Category]],LEN(Table1[[#This Row],[Category and Sub-Category]])-FIND("/",Table1[[#This Row],[Category and Sub-Category]]))</f>
        <v>hardware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 s="12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>((Table1[[#This Row],[deadline]]/60)/60/24)+DATE(1970,1,1)</f>
        <v>41749.108344907407</v>
      </c>
      <c r="K1948">
        <v>1392780961</v>
      </c>
      <c r="L1948" s="11">
        <f>((Table1[[#This Row],[launched_at]]/60)/60/24)+DATE(1970,1,1)</f>
        <v>41689.150011574071</v>
      </c>
      <c r="M1948">
        <f>MONTH(Table1[[#This Row],[Date Created Conversion]])</f>
        <v>2</v>
      </c>
      <c r="N1948">
        <f>YEAR(Table1[[#This Row],[Date Created Conversion]])</f>
        <v>2014</v>
      </c>
      <c r="O1948" t="b">
        <v>1</v>
      </c>
      <c r="P1948">
        <v>70</v>
      </c>
      <c r="Q1948" t="b">
        <v>1</v>
      </c>
      <c r="R1948" t="s">
        <v>8295</v>
      </c>
      <c r="S1948" s="6">
        <f>Table1[[#This Row],[pledged]]/Table1[[#This Row],[goal]]</f>
        <v>1.4974666666666667</v>
      </c>
      <c r="T1948" s="8">
        <f>IF(Table1[[#This Row],[pledged]]=0,"no backers",Table1[[#This Row],[pledged]]/Table1[[#This Row],[backers_count]])</f>
        <v>160.44285714285715</v>
      </c>
      <c r="U1948" t="str">
        <f>LEFT(Table1[[#This Row],[Category and Sub-Category]],FIND("/",Table1[[#This Row],[Category and Sub-Category]])-1)</f>
        <v>technology</v>
      </c>
      <c r="V1948" t="str">
        <f>RIGHT(Table1[[#This Row],[Category and Sub-Category]],LEN(Table1[[#This Row],[Category and Sub-Category]])-FIND("/",Table1[[#This Row],[Category and Sub-Category]]))</f>
        <v>hardware</v>
      </c>
    </row>
    <row r="1949" spans="1:22" ht="57.6" x14ac:dyDescent="0.3">
      <c r="A1949">
        <v>1947</v>
      </c>
      <c r="B1949" s="3" t="s">
        <v>1948</v>
      </c>
      <c r="C1949" s="3" t="s">
        <v>6057</v>
      </c>
      <c r="D1949" s="12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>((Table1[[#This Row],[deadline]]/60)/60/24)+DATE(1970,1,1)</f>
        <v>40140.249305555553</v>
      </c>
      <c r="K1949">
        <v>1255730520</v>
      </c>
      <c r="L1949" s="11">
        <f>((Table1[[#This Row],[launched_at]]/60)/60/24)+DATE(1970,1,1)</f>
        <v>40102.918055555558</v>
      </c>
      <c r="M1949">
        <f>MONTH(Table1[[#This Row],[Date Created Conversion]])</f>
        <v>10</v>
      </c>
      <c r="N1949">
        <f>YEAR(Table1[[#This Row],[Date Created Conversion]])</f>
        <v>2009</v>
      </c>
      <c r="O1949" t="b">
        <v>1</v>
      </c>
      <c r="P1949">
        <v>23</v>
      </c>
      <c r="Q1949" t="b">
        <v>1</v>
      </c>
      <c r="R1949" t="s">
        <v>8295</v>
      </c>
      <c r="S1949" s="6">
        <f>Table1[[#This Row],[pledged]]/Table1[[#This Row],[goal]]</f>
        <v>1.0063375000000001</v>
      </c>
      <c r="T1949" s="8">
        <f>IF(Table1[[#This Row],[pledged]]=0,"no backers",Table1[[#This Row],[pledged]]/Table1[[#This Row],[backers_count]])</f>
        <v>35.003043478260871</v>
      </c>
      <c r="U1949" t="str">
        <f>LEFT(Table1[[#This Row],[Category and Sub-Category]],FIND("/",Table1[[#This Row],[Category and Sub-Category]])-1)</f>
        <v>technology</v>
      </c>
      <c r="V1949" t="str">
        <f>RIGHT(Table1[[#This Row],[Category and Sub-Category]],LEN(Table1[[#This Row],[Category and Sub-Category]])-FIND("/",Table1[[#This Row],[Category and Sub-Category]]))</f>
        <v>hardware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 s="12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>((Table1[[#This Row],[deadline]]/60)/60/24)+DATE(1970,1,1)</f>
        <v>42527.709722222222</v>
      </c>
      <c r="K1950">
        <v>1460557809</v>
      </c>
      <c r="L1950" s="11">
        <f>((Table1[[#This Row],[launched_at]]/60)/60/24)+DATE(1970,1,1)</f>
        <v>42473.604270833333</v>
      </c>
      <c r="M1950">
        <f>MONTH(Table1[[#This Row],[Date Created Conversion]])</f>
        <v>4</v>
      </c>
      <c r="N1950">
        <f>YEAR(Table1[[#This Row],[Date Created Conversion]])</f>
        <v>2016</v>
      </c>
      <c r="O1950" t="b">
        <v>1</v>
      </c>
      <c r="P1950">
        <v>4245</v>
      </c>
      <c r="Q1950" t="b">
        <v>1</v>
      </c>
      <c r="R1950" t="s">
        <v>8295</v>
      </c>
      <c r="S1950" s="6">
        <f>Table1[[#This Row],[pledged]]/Table1[[#This Row],[goal]]</f>
        <v>8.0021100000000001</v>
      </c>
      <c r="T1950" s="8">
        <f>IF(Table1[[#This Row],[pledged]]=0,"no backers",Table1[[#This Row],[pledged]]/Table1[[#This Row],[backers_count]])</f>
        <v>188.50671378091872</v>
      </c>
      <c r="U1950" t="str">
        <f>LEFT(Table1[[#This Row],[Category and Sub-Category]],FIND("/",Table1[[#This Row],[Category and Sub-Category]])-1)</f>
        <v>technology</v>
      </c>
      <c r="V1950" t="str">
        <f>RIGHT(Table1[[#This Row],[Category and Sub-Category]],LEN(Table1[[#This Row],[Category and Sub-Category]])-FIND("/",Table1[[#This Row],[Category and Sub-Category]]))</f>
        <v>hardware</v>
      </c>
    </row>
    <row r="1951" spans="1:22" ht="43.2" x14ac:dyDescent="0.3">
      <c r="A1951">
        <v>1949</v>
      </c>
      <c r="B1951" s="3" t="s">
        <v>1950</v>
      </c>
      <c r="C1951" s="3" t="s">
        <v>6059</v>
      </c>
      <c r="D1951" s="12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>((Table1[[#This Row],[deadline]]/60)/60/24)+DATE(1970,1,1)</f>
        <v>41830.423043981478</v>
      </c>
      <c r="K1951">
        <v>1402394951</v>
      </c>
      <c r="L1951" s="11">
        <f>((Table1[[#This Row],[launched_at]]/60)/60/24)+DATE(1970,1,1)</f>
        <v>41800.423043981478</v>
      </c>
      <c r="M1951">
        <f>MONTH(Table1[[#This Row],[Date Created Conversion]])</f>
        <v>6</v>
      </c>
      <c r="N1951">
        <f>YEAR(Table1[[#This Row],[Date Created Conversion]])</f>
        <v>2014</v>
      </c>
      <c r="O1951" t="b">
        <v>1</v>
      </c>
      <c r="P1951">
        <v>943</v>
      </c>
      <c r="Q1951" t="b">
        <v>1</v>
      </c>
      <c r="R1951" t="s">
        <v>8295</v>
      </c>
      <c r="S1951" s="6">
        <f>Table1[[#This Row],[pledged]]/Table1[[#This Row],[goal]]</f>
        <v>1.0600260000000001</v>
      </c>
      <c r="T1951" s="8">
        <f>IF(Table1[[#This Row],[pledged]]=0,"no backers",Table1[[#This Row],[pledged]]/Table1[[#This Row],[backers_count]])</f>
        <v>56.204984093319197</v>
      </c>
      <c r="U1951" t="str">
        <f>LEFT(Table1[[#This Row],[Category and Sub-Category]],FIND("/",Table1[[#This Row],[Category and Sub-Category]])-1)</f>
        <v>technology</v>
      </c>
      <c r="V1951" t="str">
        <f>RIGHT(Table1[[#This Row],[Category and Sub-Category]],LEN(Table1[[#This Row],[Category and Sub-Category]])-FIND("/",Table1[[#This Row],[Category and Sub-Category]]))</f>
        <v>hardware</v>
      </c>
    </row>
    <row r="1952" spans="1:22" ht="43.2" x14ac:dyDescent="0.3">
      <c r="A1952">
        <v>1950</v>
      </c>
      <c r="B1952" s="3" t="s">
        <v>1951</v>
      </c>
      <c r="C1952" s="3" t="s">
        <v>6060</v>
      </c>
      <c r="D1952" s="1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>((Table1[[#This Row],[deadline]]/60)/60/24)+DATE(1970,1,1)</f>
        <v>40655.181400462963</v>
      </c>
      <c r="K1952">
        <v>1300767673</v>
      </c>
      <c r="L1952" s="11">
        <f>((Table1[[#This Row],[launched_at]]/60)/60/24)+DATE(1970,1,1)</f>
        <v>40624.181400462963</v>
      </c>
      <c r="M1952">
        <f>MONTH(Table1[[#This Row],[Date Created Conversion]])</f>
        <v>3</v>
      </c>
      <c r="N1952">
        <f>YEAR(Table1[[#This Row],[Date Created Conversion]])</f>
        <v>2011</v>
      </c>
      <c r="O1952" t="b">
        <v>1</v>
      </c>
      <c r="P1952">
        <v>1876</v>
      </c>
      <c r="Q1952" t="b">
        <v>1</v>
      </c>
      <c r="R1952" t="s">
        <v>8295</v>
      </c>
      <c r="S1952" s="6">
        <f>Table1[[#This Row],[pledged]]/Table1[[#This Row],[goal]]</f>
        <v>2.0051866666666669</v>
      </c>
      <c r="T1952" s="8">
        <f>IF(Table1[[#This Row],[pledged]]=0,"no backers",Table1[[#This Row],[pledged]]/Table1[[#This Row],[backers_count]])</f>
        <v>51.3054157782516</v>
      </c>
      <c r="U1952" t="str">
        <f>LEFT(Table1[[#This Row],[Category and Sub-Category]],FIND("/",Table1[[#This Row],[Category and Sub-Category]])-1)</f>
        <v>technology</v>
      </c>
      <c r="V1952" t="str">
        <f>RIGHT(Table1[[#This Row],[Category and Sub-Category]],LEN(Table1[[#This Row],[Category and Sub-Category]])-FIND("/",Table1[[#This Row],[Category and Sub-Category]]))</f>
        <v>hardware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 s="12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>((Table1[[#This Row],[deadline]]/60)/60/24)+DATE(1970,1,1)</f>
        <v>42681.462233796294</v>
      </c>
      <c r="K1953">
        <v>1475921137</v>
      </c>
      <c r="L1953" s="11">
        <f>((Table1[[#This Row],[launched_at]]/60)/60/24)+DATE(1970,1,1)</f>
        <v>42651.420567129629</v>
      </c>
      <c r="M1953">
        <f>MONTH(Table1[[#This Row],[Date Created Conversion]])</f>
        <v>10</v>
      </c>
      <c r="N1953">
        <f>YEAR(Table1[[#This Row],[Date Created Conversion]])</f>
        <v>2016</v>
      </c>
      <c r="O1953" t="b">
        <v>1</v>
      </c>
      <c r="P1953">
        <v>834</v>
      </c>
      <c r="Q1953" t="b">
        <v>1</v>
      </c>
      <c r="R1953" t="s">
        <v>8295</v>
      </c>
      <c r="S1953" s="6">
        <f>Table1[[#This Row],[pledged]]/Table1[[#This Row],[goal]]</f>
        <v>2.1244399999999999</v>
      </c>
      <c r="T1953" s="8">
        <f>IF(Table1[[#This Row],[pledged]]=0,"no backers",Table1[[#This Row],[pledged]]/Table1[[#This Row],[backers_count]])</f>
        <v>127.36450839328538</v>
      </c>
      <c r="U1953" t="str">
        <f>LEFT(Table1[[#This Row],[Category and Sub-Category]],FIND("/",Table1[[#This Row],[Category and Sub-Category]])-1)</f>
        <v>technology</v>
      </c>
      <c r="V1953" t="str">
        <f>RIGHT(Table1[[#This Row],[Category and Sub-Category]],LEN(Table1[[#This Row],[Category and Sub-Category]])-FIND("/",Table1[[#This Row],[Category and Sub-Category]]))</f>
        <v>hardware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 s="12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>((Table1[[#This Row],[deadline]]/60)/60/24)+DATE(1970,1,1)</f>
        <v>41563.60665509259</v>
      </c>
      <c r="K1954">
        <v>1378737215</v>
      </c>
      <c r="L1954" s="11">
        <f>((Table1[[#This Row],[launched_at]]/60)/60/24)+DATE(1970,1,1)</f>
        <v>41526.60665509259</v>
      </c>
      <c r="M1954">
        <f>MONTH(Table1[[#This Row],[Date Created Conversion]])</f>
        <v>9</v>
      </c>
      <c r="N1954">
        <f>YEAR(Table1[[#This Row],[Date Created Conversion]])</f>
        <v>2013</v>
      </c>
      <c r="O1954" t="b">
        <v>1</v>
      </c>
      <c r="P1954">
        <v>682</v>
      </c>
      <c r="Q1954" t="b">
        <v>1</v>
      </c>
      <c r="R1954" t="s">
        <v>8295</v>
      </c>
      <c r="S1954" s="6">
        <f>Table1[[#This Row],[pledged]]/Table1[[#This Row],[goal]]</f>
        <v>1.9847237142857144</v>
      </c>
      <c r="T1954" s="8">
        <f>IF(Table1[[#This Row],[pledged]]=0,"no backers",Table1[[#This Row],[pledged]]/Table1[[#This Row],[backers_count]])</f>
        <v>101.85532258064516</v>
      </c>
      <c r="U1954" t="str">
        <f>LEFT(Table1[[#This Row],[Category and Sub-Category]],FIND("/",Table1[[#This Row],[Category and Sub-Category]])-1)</f>
        <v>technology</v>
      </c>
      <c r="V1954" t="str">
        <f>RIGHT(Table1[[#This Row],[Category and Sub-Category]],LEN(Table1[[#This Row],[Category and Sub-Category]])-FIND("/",Table1[[#This Row],[Category and Sub-Category]]))</f>
        <v>hardware</v>
      </c>
    </row>
    <row r="1955" spans="1:22" ht="43.2" x14ac:dyDescent="0.3">
      <c r="A1955">
        <v>1953</v>
      </c>
      <c r="B1955" s="3" t="s">
        <v>1954</v>
      </c>
      <c r="C1955" s="3" t="s">
        <v>6063</v>
      </c>
      <c r="D1955" s="12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>((Table1[[#This Row],[deadline]]/60)/60/24)+DATE(1970,1,1)</f>
        <v>40970.125</v>
      </c>
      <c r="K1955">
        <v>1328158065</v>
      </c>
      <c r="L1955" s="11">
        <f>((Table1[[#This Row],[launched_at]]/60)/60/24)+DATE(1970,1,1)</f>
        <v>40941.199826388889</v>
      </c>
      <c r="M1955">
        <f>MONTH(Table1[[#This Row],[Date Created Conversion]])</f>
        <v>2</v>
      </c>
      <c r="N1955">
        <f>YEAR(Table1[[#This Row],[Date Created Conversion]])</f>
        <v>2012</v>
      </c>
      <c r="O1955" t="b">
        <v>1</v>
      </c>
      <c r="P1955">
        <v>147</v>
      </c>
      <c r="Q1955" t="b">
        <v>1</v>
      </c>
      <c r="R1955" t="s">
        <v>8295</v>
      </c>
      <c r="S1955" s="6">
        <f>Table1[[#This Row],[pledged]]/Table1[[#This Row],[goal]]</f>
        <v>2.2594666666666665</v>
      </c>
      <c r="T1955" s="8">
        <f>IF(Table1[[#This Row],[pledged]]=0,"no backers",Table1[[#This Row],[pledged]]/Table1[[#This Row],[backers_count]])</f>
        <v>230.55782312925169</v>
      </c>
      <c r="U1955" t="str">
        <f>LEFT(Table1[[#This Row],[Category and Sub-Category]],FIND("/",Table1[[#This Row],[Category and Sub-Category]])-1)</f>
        <v>technology</v>
      </c>
      <c r="V1955" t="str">
        <f>RIGHT(Table1[[#This Row],[Category and Sub-Category]],LEN(Table1[[#This Row],[Category and Sub-Category]])-FIND("/",Table1[[#This Row],[Category and Sub-Category]]))</f>
        <v>hardware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 s="12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>((Table1[[#This Row],[deadline]]/60)/60/24)+DATE(1970,1,1)</f>
        <v>42441.208333333328</v>
      </c>
      <c r="K1956">
        <v>1453730176</v>
      </c>
      <c r="L1956" s="11">
        <f>((Table1[[#This Row],[launched_at]]/60)/60/24)+DATE(1970,1,1)</f>
        <v>42394.580740740741</v>
      </c>
      <c r="M1956">
        <f>MONTH(Table1[[#This Row],[Date Created Conversion]])</f>
        <v>1</v>
      </c>
      <c r="N1956">
        <f>YEAR(Table1[[#This Row],[Date Created Conversion]])</f>
        <v>2016</v>
      </c>
      <c r="O1956" t="b">
        <v>1</v>
      </c>
      <c r="P1956">
        <v>415</v>
      </c>
      <c r="Q1956" t="b">
        <v>1</v>
      </c>
      <c r="R1956" t="s">
        <v>8295</v>
      </c>
      <c r="S1956" s="6">
        <f>Table1[[#This Row],[pledged]]/Table1[[#This Row],[goal]]</f>
        <v>6.9894800000000004</v>
      </c>
      <c r="T1956" s="8">
        <f>IF(Table1[[#This Row],[pledged]]=0,"no backers",Table1[[#This Row],[pledged]]/Table1[[#This Row],[backers_count]])</f>
        <v>842.10602409638557</v>
      </c>
      <c r="U1956" t="str">
        <f>LEFT(Table1[[#This Row],[Category and Sub-Category]],FIND("/",Table1[[#This Row],[Category and Sub-Category]])-1)</f>
        <v>technology</v>
      </c>
      <c r="V1956" t="str">
        <f>RIGHT(Table1[[#This Row],[Category and Sub-Category]],LEN(Table1[[#This Row],[Category and Sub-Category]])-FIND("/",Table1[[#This Row],[Category and Sub-Category]]))</f>
        <v>hardware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 s="12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>((Table1[[#This Row],[deadline]]/60)/60/24)+DATE(1970,1,1)</f>
        <v>41052.791666666664</v>
      </c>
      <c r="K1957">
        <v>1334989881</v>
      </c>
      <c r="L1957" s="11">
        <f>((Table1[[#This Row],[launched_at]]/60)/60/24)+DATE(1970,1,1)</f>
        <v>41020.271770833337</v>
      </c>
      <c r="M1957">
        <f>MONTH(Table1[[#This Row],[Date Created Conversion]])</f>
        <v>4</v>
      </c>
      <c r="N1957">
        <f>YEAR(Table1[[#This Row],[Date Created Conversion]])</f>
        <v>2012</v>
      </c>
      <c r="O1957" t="b">
        <v>1</v>
      </c>
      <c r="P1957">
        <v>290</v>
      </c>
      <c r="Q1957" t="b">
        <v>1</v>
      </c>
      <c r="R1957" t="s">
        <v>8295</v>
      </c>
      <c r="S1957" s="6">
        <f>Table1[[#This Row],[pledged]]/Table1[[#This Row],[goal]]</f>
        <v>3.9859528571428569</v>
      </c>
      <c r="T1957" s="8">
        <f>IF(Table1[[#This Row],[pledged]]=0,"no backers",Table1[[#This Row],[pledged]]/Table1[[#This Row],[backers_count]])</f>
        <v>577.27593103448271</v>
      </c>
      <c r="U1957" t="str">
        <f>LEFT(Table1[[#This Row],[Category and Sub-Category]],FIND("/",Table1[[#This Row],[Category and Sub-Category]])-1)</f>
        <v>technology</v>
      </c>
      <c r="V1957" t="str">
        <f>RIGHT(Table1[[#This Row],[Category and Sub-Category]],LEN(Table1[[#This Row],[Category and Sub-Category]])-FIND("/",Table1[[#This Row],[Category and Sub-Category]]))</f>
        <v>hardware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 s="12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>((Table1[[#This Row],[deadline]]/60)/60/24)+DATE(1970,1,1)</f>
        <v>42112.882002314815</v>
      </c>
      <c r="K1958">
        <v>1425507005</v>
      </c>
      <c r="L1958" s="11">
        <f>((Table1[[#This Row],[launched_at]]/60)/60/24)+DATE(1970,1,1)</f>
        <v>42067.923668981486</v>
      </c>
      <c r="M1958">
        <f>MONTH(Table1[[#This Row],[Date Created Conversion]])</f>
        <v>3</v>
      </c>
      <c r="N1958">
        <f>YEAR(Table1[[#This Row],[Date Created Conversion]])</f>
        <v>2015</v>
      </c>
      <c r="O1958" t="b">
        <v>1</v>
      </c>
      <c r="P1958">
        <v>365</v>
      </c>
      <c r="Q1958" t="b">
        <v>1</v>
      </c>
      <c r="R1958" t="s">
        <v>8295</v>
      </c>
      <c r="S1958" s="6">
        <f>Table1[[#This Row],[pledged]]/Table1[[#This Row],[goal]]</f>
        <v>2.9403333333333332</v>
      </c>
      <c r="T1958" s="8">
        <f>IF(Table1[[#This Row],[pledged]]=0,"no backers",Table1[[#This Row],[pledged]]/Table1[[#This Row],[backers_count]])</f>
        <v>483.34246575342468</v>
      </c>
      <c r="U1958" t="str">
        <f>LEFT(Table1[[#This Row],[Category and Sub-Category]],FIND("/",Table1[[#This Row],[Category and Sub-Category]])-1)</f>
        <v>technology</v>
      </c>
      <c r="V1958" t="str">
        <f>RIGHT(Table1[[#This Row],[Category and Sub-Category]],LEN(Table1[[#This Row],[Category and Sub-Category]])-FIND("/",Table1[[#This Row],[Category and Sub-Category]]))</f>
        <v>hardware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 s="12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>((Table1[[#This Row],[deadline]]/60)/60/24)+DATE(1970,1,1)</f>
        <v>41209.098530092589</v>
      </c>
      <c r="K1959">
        <v>1348712513</v>
      </c>
      <c r="L1959" s="11">
        <f>((Table1[[#This Row],[launched_at]]/60)/60/24)+DATE(1970,1,1)</f>
        <v>41179.098530092589</v>
      </c>
      <c r="M1959">
        <f>MONTH(Table1[[#This Row],[Date Created Conversion]])</f>
        <v>9</v>
      </c>
      <c r="N1959">
        <f>YEAR(Table1[[#This Row],[Date Created Conversion]])</f>
        <v>2012</v>
      </c>
      <c r="O1959" t="b">
        <v>1</v>
      </c>
      <c r="P1959">
        <v>660</v>
      </c>
      <c r="Q1959" t="b">
        <v>1</v>
      </c>
      <c r="R1959" t="s">
        <v>8295</v>
      </c>
      <c r="S1959" s="6">
        <f>Table1[[#This Row],[pledged]]/Table1[[#This Row],[goal]]</f>
        <v>1.6750470000000002</v>
      </c>
      <c r="T1959" s="8">
        <f>IF(Table1[[#This Row],[pledged]]=0,"no backers",Table1[[#This Row],[pledged]]/Table1[[#This Row],[backers_count]])</f>
        <v>76.138500000000008</v>
      </c>
      <c r="U1959" t="str">
        <f>LEFT(Table1[[#This Row],[Category and Sub-Category]],FIND("/",Table1[[#This Row],[Category and Sub-Category]])-1)</f>
        <v>technology</v>
      </c>
      <c r="V1959" t="str">
        <f>RIGHT(Table1[[#This Row],[Category and Sub-Category]],LEN(Table1[[#This Row],[Category and Sub-Category]])-FIND("/",Table1[[#This Row],[Category and Sub-Category]]))</f>
        <v>hardware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 s="12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>((Table1[[#This Row],[deadline]]/60)/60/24)+DATE(1970,1,1)</f>
        <v>41356.94630787037</v>
      </c>
      <c r="K1960">
        <v>1361490161</v>
      </c>
      <c r="L1960" s="11">
        <f>((Table1[[#This Row],[launched_at]]/60)/60/24)+DATE(1970,1,1)</f>
        <v>41326.987974537034</v>
      </c>
      <c r="M1960">
        <f>MONTH(Table1[[#This Row],[Date Created Conversion]])</f>
        <v>2</v>
      </c>
      <c r="N1960">
        <f>YEAR(Table1[[#This Row],[Date Created Conversion]])</f>
        <v>2013</v>
      </c>
      <c r="O1960" t="b">
        <v>1</v>
      </c>
      <c r="P1960">
        <v>1356</v>
      </c>
      <c r="Q1960" t="b">
        <v>1</v>
      </c>
      <c r="R1960" t="s">
        <v>8295</v>
      </c>
      <c r="S1960" s="6">
        <f>Table1[[#This Row],[pledged]]/Table1[[#This Row],[goal]]</f>
        <v>14.355717142857143</v>
      </c>
      <c r="T1960" s="8">
        <f>IF(Table1[[#This Row],[pledged]]=0,"no backers",Table1[[#This Row],[pledged]]/Table1[[#This Row],[backers_count]])</f>
        <v>74.107684365781708</v>
      </c>
      <c r="U1960" t="str">
        <f>LEFT(Table1[[#This Row],[Category and Sub-Category]],FIND("/",Table1[[#This Row],[Category and Sub-Category]])-1)</f>
        <v>technology</v>
      </c>
      <c r="V1960" t="str">
        <f>RIGHT(Table1[[#This Row],[Category and Sub-Category]],LEN(Table1[[#This Row],[Category and Sub-Category]])-FIND("/",Table1[[#This Row],[Category and Sub-Category]]))</f>
        <v>hardware</v>
      </c>
    </row>
    <row r="1961" spans="1:22" ht="57.6" x14ac:dyDescent="0.3">
      <c r="A1961">
        <v>1959</v>
      </c>
      <c r="B1961" s="3" t="s">
        <v>1960</v>
      </c>
      <c r="C1961" s="3" t="s">
        <v>6069</v>
      </c>
      <c r="D1961" s="12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>((Table1[[#This Row],[deadline]]/60)/60/24)+DATE(1970,1,1)</f>
        <v>41913</v>
      </c>
      <c r="K1961">
        <v>1408565860</v>
      </c>
      <c r="L1961" s="11">
        <f>((Table1[[#This Row],[launched_at]]/60)/60/24)+DATE(1970,1,1)</f>
        <v>41871.845601851855</v>
      </c>
      <c r="M1961">
        <f>MONTH(Table1[[#This Row],[Date Created Conversion]])</f>
        <v>8</v>
      </c>
      <c r="N1961">
        <f>YEAR(Table1[[#This Row],[Date Created Conversion]])</f>
        <v>2014</v>
      </c>
      <c r="O1961" t="b">
        <v>1</v>
      </c>
      <c r="P1961">
        <v>424</v>
      </c>
      <c r="Q1961" t="b">
        <v>1</v>
      </c>
      <c r="R1961" t="s">
        <v>8295</v>
      </c>
      <c r="S1961" s="6">
        <f>Table1[[#This Row],[pledged]]/Table1[[#This Row],[goal]]</f>
        <v>1.5673440000000001</v>
      </c>
      <c r="T1961" s="8">
        <f>IF(Table1[[#This Row],[pledged]]=0,"no backers",Table1[[#This Row],[pledged]]/Table1[[#This Row],[backers_count]])</f>
        <v>36.965660377358489</v>
      </c>
      <c r="U1961" t="str">
        <f>LEFT(Table1[[#This Row],[Category and Sub-Category]],FIND("/",Table1[[#This Row],[Category and Sub-Category]])-1)</f>
        <v>technology</v>
      </c>
      <c r="V1961" t="str">
        <f>RIGHT(Table1[[#This Row],[Category and Sub-Category]],LEN(Table1[[#This Row],[Category and Sub-Category]])-FIND("/",Table1[[#This Row],[Category and Sub-Category]]))</f>
        <v>hardware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 s="1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>((Table1[[#This Row],[deadline]]/60)/60/24)+DATE(1970,1,1)</f>
        <v>41994.362743055557</v>
      </c>
      <c r="K1962">
        <v>1416559341</v>
      </c>
      <c r="L1962" s="11">
        <f>((Table1[[#This Row],[launched_at]]/60)/60/24)+DATE(1970,1,1)</f>
        <v>41964.362743055557</v>
      </c>
      <c r="M1962">
        <f>MONTH(Table1[[#This Row],[Date Created Conversion]])</f>
        <v>11</v>
      </c>
      <c r="N1962">
        <f>YEAR(Table1[[#This Row],[Date Created Conversion]])</f>
        <v>2014</v>
      </c>
      <c r="O1962" t="b">
        <v>1</v>
      </c>
      <c r="P1962">
        <v>33</v>
      </c>
      <c r="Q1962" t="b">
        <v>1</v>
      </c>
      <c r="R1962" t="s">
        <v>8295</v>
      </c>
      <c r="S1962" s="6">
        <f>Table1[[#This Row],[pledged]]/Table1[[#This Row],[goal]]</f>
        <v>1.1790285714285715</v>
      </c>
      <c r="T1962" s="8">
        <f>IF(Table1[[#This Row],[pledged]]=0,"no backers",Table1[[#This Row],[pledged]]/Table1[[#This Row],[backers_count]])</f>
        <v>2500.969696969697</v>
      </c>
      <c r="U1962" t="str">
        <f>LEFT(Table1[[#This Row],[Category and Sub-Category]],FIND("/",Table1[[#This Row],[Category and Sub-Category]])-1)</f>
        <v>technology</v>
      </c>
      <c r="V1962" t="str">
        <f>RIGHT(Table1[[#This Row],[Category and Sub-Category]],LEN(Table1[[#This Row],[Category and Sub-Category]])-FIND("/",Table1[[#This Row],[Category and Sub-Category]]))</f>
        <v>hardware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 s="12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>((Table1[[#This Row],[deadline]]/60)/60/24)+DATE(1970,1,1)</f>
        <v>41188.165972222225</v>
      </c>
      <c r="K1963">
        <v>1346042417</v>
      </c>
      <c r="L1963" s="11">
        <f>((Table1[[#This Row],[launched_at]]/60)/60/24)+DATE(1970,1,1)</f>
        <v>41148.194641203707</v>
      </c>
      <c r="M1963">
        <f>MONTH(Table1[[#This Row],[Date Created Conversion]])</f>
        <v>8</v>
      </c>
      <c r="N1963">
        <f>YEAR(Table1[[#This Row],[Date Created Conversion]])</f>
        <v>2012</v>
      </c>
      <c r="O1963" t="b">
        <v>1</v>
      </c>
      <c r="P1963">
        <v>1633</v>
      </c>
      <c r="Q1963" t="b">
        <v>1</v>
      </c>
      <c r="R1963" t="s">
        <v>8295</v>
      </c>
      <c r="S1963" s="6">
        <f>Table1[[#This Row],[pledged]]/Table1[[#This Row],[goal]]</f>
        <v>11.053811999999999</v>
      </c>
      <c r="T1963" s="8">
        <f>IF(Table1[[#This Row],[pledged]]=0,"no backers",Table1[[#This Row],[pledged]]/Table1[[#This Row],[backers_count]])</f>
        <v>67.690214329454989</v>
      </c>
      <c r="U1963" t="str">
        <f>LEFT(Table1[[#This Row],[Category and Sub-Category]],FIND("/",Table1[[#This Row],[Category and Sub-Category]])-1)</f>
        <v>technology</v>
      </c>
      <c r="V1963" t="str">
        <f>RIGHT(Table1[[#This Row],[Category and Sub-Category]],LEN(Table1[[#This Row],[Category and Sub-Category]])-FIND("/",Table1[[#This Row],[Category and Sub-Category]]))</f>
        <v>hardware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 s="12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>((Table1[[#This Row],[deadline]]/60)/60/24)+DATE(1970,1,1)</f>
        <v>41772.780509259261</v>
      </c>
      <c r="K1964">
        <v>1397414636</v>
      </c>
      <c r="L1964" s="11">
        <f>((Table1[[#This Row],[launched_at]]/60)/60/24)+DATE(1970,1,1)</f>
        <v>41742.780509259261</v>
      </c>
      <c r="M1964">
        <f>MONTH(Table1[[#This Row],[Date Created Conversion]])</f>
        <v>4</v>
      </c>
      <c r="N1964">
        <f>YEAR(Table1[[#This Row],[Date Created Conversion]])</f>
        <v>2014</v>
      </c>
      <c r="O1964" t="b">
        <v>1</v>
      </c>
      <c r="P1964">
        <v>306</v>
      </c>
      <c r="Q1964" t="b">
        <v>1</v>
      </c>
      <c r="R1964" t="s">
        <v>8295</v>
      </c>
      <c r="S1964" s="6">
        <f>Table1[[#This Row],[pledged]]/Table1[[#This Row],[goal]]</f>
        <v>1.9292499999999999</v>
      </c>
      <c r="T1964" s="8">
        <f>IF(Table1[[#This Row],[pledged]]=0,"no backers",Table1[[#This Row],[pledged]]/Table1[[#This Row],[backers_count]])</f>
        <v>63.04738562091503</v>
      </c>
      <c r="U1964" t="str">
        <f>LEFT(Table1[[#This Row],[Category and Sub-Category]],FIND("/",Table1[[#This Row],[Category and Sub-Category]])-1)</f>
        <v>technology</v>
      </c>
      <c r="V1964" t="str">
        <f>RIGHT(Table1[[#This Row],[Category and Sub-Category]],LEN(Table1[[#This Row],[Category and Sub-Category]])-FIND("/",Table1[[#This Row],[Category and Sub-Category]]))</f>
        <v>hardware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 s="12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>((Table1[[#This Row],[deadline]]/60)/60/24)+DATE(1970,1,1)</f>
        <v>41898.429791666669</v>
      </c>
      <c r="K1965">
        <v>1407838734</v>
      </c>
      <c r="L1965" s="11">
        <f>((Table1[[#This Row],[launched_at]]/60)/60/24)+DATE(1970,1,1)</f>
        <v>41863.429791666669</v>
      </c>
      <c r="M1965">
        <f>MONTH(Table1[[#This Row],[Date Created Conversion]])</f>
        <v>8</v>
      </c>
      <c r="N1965">
        <f>YEAR(Table1[[#This Row],[Date Created Conversion]])</f>
        <v>2014</v>
      </c>
      <c r="O1965" t="b">
        <v>1</v>
      </c>
      <c r="P1965">
        <v>205</v>
      </c>
      <c r="Q1965" t="b">
        <v>1</v>
      </c>
      <c r="R1965" t="s">
        <v>8295</v>
      </c>
      <c r="S1965" s="6">
        <f>Table1[[#This Row],[pledged]]/Table1[[#This Row],[goal]]</f>
        <v>1.268842105263158</v>
      </c>
      <c r="T1965" s="8">
        <f>IF(Table1[[#This Row],[pledged]]=0,"no backers",Table1[[#This Row],[pledged]]/Table1[[#This Row],[backers_count]])</f>
        <v>117.6</v>
      </c>
      <c r="U1965" t="str">
        <f>LEFT(Table1[[#This Row],[Category and Sub-Category]],FIND("/",Table1[[#This Row],[Category and Sub-Category]])-1)</f>
        <v>technology</v>
      </c>
      <c r="V1965" t="str">
        <f>RIGHT(Table1[[#This Row],[Category and Sub-Category]],LEN(Table1[[#This Row],[Category and Sub-Category]])-FIND("/",Table1[[#This Row],[Category and Sub-Category]]))</f>
        <v>hardware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 s="12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>((Table1[[#This Row],[deadline]]/60)/60/24)+DATE(1970,1,1)</f>
        <v>42482.272824074069</v>
      </c>
      <c r="K1966">
        <v>1458714772</v>
      </c>
      <c r="L1966" s="11">
        <f>((Table1[[#This Row],[launched_at]]/60)/60/24)+DATE(1970,1,1)</f>
        <v>42452.272824074069</v>
      </c>
      <c r="M1966">
        <f>MONTH(Table1[[#This Row],[Date Created Conversion]])</f>
        <v>3</v>
      </c>
      <c r="N1966">
        <f>YEAR(Table1[[#This Row],[Date Created Conversion]])</f>
        <v>2016</v>
      </c>
      <c r="O1966" t="b">
        <v>1</v>
      </c>
      <c r="P1966">
        <v>1281</v>
      </c>
      <c r="Q1966" t="b">
        <v>1</v>
      </c>
      <c r="R1966" t="s">
        <v>8295</v>
      </c>
      <c r="S1966" s="6">
        <f>Table1[[#This Row],[pledged]]/Table1[[#This Row],[goal]]</f>
        <v>2.5957748878923765</v>
      </c>
      <c r="T1966" s="8">
        <f>IF(Table1[[#This Row],[pledged]]=0,"no backers",Table1[[#This Row],[pledged]]/Table1[[#This Row],[backers_count]])</f>
        <v>180.75185011709601</v>
      </c>
      <c r="U1966" t="str">
        <f>LEFT(Table1[[#This Row],[Category and Sub-Category]],FIND("/",Table1[[#This Row],[Category and Sub-Category]])-1)</f>
        <v>technology</v>
      </c>
      <c r="V1966" t="str">
        <f>RIGHT(Table1[[#This Row],[Category and Sub-Category]],LEN(Table1[[#This Row],[Category and Sub-Category]])-FIND("/",Table1[[#This Row],[Category and Sub-Category]]))</f>
        <v>hardware</v>
      </c>
    </row>
    <row r="1967" spans="1:22" ht="43.2" x14ac:dyDescent="0.3">
      <c r="A1967">
        <v>1965</v>
      </c>
      <c r="B1967" s="3" t="s">
        <v>1966</v>
      </c>
      <c r="C1967" s="3" t="s">
        <v>6075</v>
      </c>
      <c r="D1967" s="12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>((Table1[[#This Row],[deadline]]/60)/60/24)+DATE(1970,1,1)</f>
        <v>40920.041666666664</v>
      </c>
      <c r="K1967">
        <v>1324433310</v>
      </c>
      <c r="L1967" s="11">
        <f>((Table1[[#This Row],[launched_at]]/60)/60/24)+DATE(1970,1,1)</f>
        <v>40898.089236111111</v>
      </c>
      <c r="M1967">
        <f>MONTH(Table1[[#This Row],[Date Created Conversion]])</f>
        <v>12</v>
      </c>
      <c r="N1967">
        <f>YEAR(Table1[[#This Row],[Date Created Conversion]])</f>
        <v>2011</v>
      </c>
      <c r="O1967" t="b">
        <v>1</v>
      </c>
      <c r="P1967">
        <v>103</v>
      </c>
      <c r="Q1967" t="b">
        <v>1</v>
      </c>
      <c r="R1967" t="s">
        <v>8295</v>
      </c>
      <c r="S1967" s="6">
        <f>Table1[[#This Row],[pledged]]/Table1[[#This Row],[goal]]</f>
        <v>2.6227999999999998</v>
      </c>
      <c r="T1967" s="8">
        <f>IF(Table1[[#This Row],[pledged]]=0,"no backers",Table1[[#This Row],[pledged]]/Table1[[#This Row],[backers_count]])</f>
        <v>127.32038834951456</v>
      </c>
      <c r="U1967" t="str">
        <f>LEFT(Table1[[#This Row],[Category and Sub-Category]],FIND("/",Table1[[#This Row],[Category and Sub-Category]])-1)</f>
        <v>technology</v>
      </c>
      <c r="V1967" t="str">
        <f>RIGHT(Table1[[#This Row],[Category and Sub-Category]],LEN(Table1[[#This Row],[Category and Sub-Category]])-FIND("/",Table1[[#This Row],[Category and Sub-Category]]))</f>
        <v>hardware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 s="12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>((Table1[[#This Row],[deadline]]/60)/60/24)+DATE(1970,1,1)</f>
        <v>41865.540486111109</v>
      </c>
      <c r="K1968">
        <v>1405429098</v>
      </c>
      <c r="L1968" s="11">
        <f>((Table1[[#This Row],[launched_at]]/60)/60/24)+DATE(1970,1,1)</f>
        <v>41835.540486111109</v>
      </c>
      <c r="M1968">
        <f>MONTH(Table1[[#This Row],[Date Created Conversion]])</f>
        <v>7</v>
      </c>
      <c r="N1968">
        <f>YEAR(Table1[[#This Row],[Date Created Conversion]])</f>
        <v>2014</v>
      </c>
      <c r="O1968" t="b">
        <v>1</v>
      </c>
      <c r="P1968">
        <v>1513</v>
      </c>
      <c r="Q1968" t="b">
        <v>1</v>
      </c>
      <c r="R1968" t="s">
        <v>8295</v>
      </c>
      <c r="S1968" s="6">
        <f>Table1[[#This Row],[pledged]]/Table1[[#This Row],[goal]]</f>
        <v>2.0674309000000002</v>
      </c>
      <c r="T1968" s="8">
        <f>IF(Table1[[#This Row],[pledged]]=0,"no backers",Table1[[#This Row],[pledged]]/Table1[[#This Row],[backers_count]])</f>
        <v>136.6444745538665</v>
      </c>
      <c r="U1968" t="str">
        <f>LEFT(Table1[[#This Row],[Category and Sub-Category]],FIND("/",Table1[[#This Row],[Category and Sub-Category]])-1)</f>
        <v>technology</v>
      </c>
      <c r="V1968" t="str">
        <f>RIGHT(Table1[[#This Row],[Category and Sub-Category]],LEN(Table1[[#This Row],[Category and Sub-Category]])-FIND("/",Table1[[#This Row],[Category and Sub-Category]]))</f>
        <v>hardware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 s="12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>((Table1[[#This Row],[deadline]]/60)/60/24)+DATE(1970,1,1)</f>
        <v>41760.663530092592</v>
      </c>
      <c r="K1969">
        <v>1396367729</v>
      </c>
      <c r="L1969" s="11">
        <f>((Table1[[#This Row],[launched_at]]/60)/60/24)+DATE(1970,1,1)</f>
        <v>41730.663530092592</v>
      </c>
      <c r="M1969">
        <f>MONTH(Table1[[#This Row],[Date Created Conversion]])</f>
        <v>4</v>
      </c>
      <c r="N1969">
        <f>YEAR(Table1[[#This Row],[Date Created Conversion]])</f>
        <v>2014</v>
      </c>
      <c r="O1969" t="b">
        <v>1</v>
      </c>
      <c r="P1969">
        <v>405</v>
      </c>
      <c r="Q1969" t="b">
        <v>1</v>
      </c>
      <c r="R1969" t="s">
        <v>8295</v>
      </c>
      <c r="S1969" s="6">
        <f>Table1[[#This Row],[pledged]]/Table1[[#This Row],[goal]]</f>
        <v>3.7012999999999998</v>
      </c>
      <c r="T1969" s="8">
        <f>IF(Table1[[#This Row],[pledged]]=0,"no backers",Table1[[#This Row],[pledged]]/Table1[[#This Row],[backers_count]])</f>
        <v>182.78024691358024</v>
      </c>
      <c r="U1969" t="str">
        <f>LEFT(Table1[[#This Row],[Category and Sub-Category]],FIND("/",Table1[[#This Row],[Category and Sub-Category]])-1)</f>
        <v>technology</v>
      </c>
      <c r="V1969" t="str">
        <f>RIGHT(Table1[[#This Row],[Category and Sub-Category]],LEN(Table1[[#This Row],[Category and Sub-Category]])-FIND("/",Table1[[#This Row],[Category and Sub-Category]]))</f>
        <v>hardware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 s="12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>((Table1[[#This Row],[deadline]]/60)/60/24)+DATE(1970,1,1)</f>
        <v>42707.628645833334</v>
      </c>
      <c r="K1970">
        <v>1478095515</v>
      </c>
      <c r="L1970" s="11">
        <f>((Table1[[#This Row],[launched_at]]/60)/60/24)+DATE(1970,1,1)</f>
        <v>42676.586979166663</v>
      </c>
      <c r="M1970">
        <f>MONTH(Table1[[#This Row],[Date Created Conversion]])</f>
        <v>11</v>
      </c>
      <c r="N1970">
        <f>YEAR(Table1[[#This Row],[Date Created Conversion]])</f>
        <v>2016</v>
      </c>
      <c r="O1970" t="b">
        <v>1</v>
      </c>
      <c r="P1970">
        <v>510</v>
      </c>
      <c r="Q1970" t="b">
        <v>1</v>
      </c>
      <c r="R1970" t="s">
        <v>8295</v>
      </c>
      <c r="S1970" s="6">
        <f>Table1[[#This Row],[pledged]]/Table1[[#This Row],[goal]]</f>
        <v>2.8496600000000001</v>
      </c>
      <c r="T1970" s="8">
        <f>IF(Table1[[#This Row],[pledged]]=0,"no backers",Table1[[#This Row],[pledged]]/Table1[[#This Row],[backers_count]])</f>
        <v>279.37843137254902</v>
      </c>
      <c r="U1970" t="str">
        <f>LEFT(Table1[[#This Row],[Category and Sub-Category]],FIND("/",Table1[[#This Row],[Category and Sub-Category]])-1)</f>
        <v>technology</v>
      </c>
      <c r="V1970" t="str">
        <f>RIGHT(Table1[[#This Row],[Category and Sub-Category]],LEN(Table1[[#This Row],[Category and Sub-Category]])-FIND("/",Table1[[#This Row],[Category and Sub-Category]]))</f>
        <v>hardware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 s="12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>((Table1[[#This Row],[deadline]]/60)/60/24)+DATE(1970,1,1)</f>
        <v>42587.792453703703</v>
      </c>
      <c r="K1971">
        <v>1467831668</v>
      </c>
      <c r="L1971" s="11">
        <f>((Table1[[#This Row],[launched_at]]/60)/60/24)+DATE(1970,1,1)</f>
        <v>42557.792453703703</v>
      </c>
      <c r="M1971">
        <f>MONTH(Table1[[#This Row],[Date Created Conversion]])</f>
        <v>7</v>
      </c>
      <c r="N1971">
        <f>YEAR(Table1[[#This Row],[Date Created Conversion]])</f>
        <v>2016</v>
      </c>
      <c r="O1971" t="b">
        <v>1</v>
      </c>
      <c r="P1971">
        <v>1887</v>
      </c>
      <c r="Q1971" t="b">
        <v>1</v>
      </c>
      <c r="R1971" t="s">
        <v>8295</v>
      </c>
      <c r="S1971" s="6">
        <f>Table1[[#This Row],[pledged]]/Table1[[#This Row],[goal]]</f>
        <v>5.7907999999999999</v>
      </c>
      <c r="T1971" s="8">
        <f>IF(Table1[[#This Row],[pledged]]=0,"no backers",Table1[[#This Row],[pledged]]/Table1[[#This Row],[backers_count]])</f>
        <v>61.375728669846318</v>
      </c>
      <c r="U1971" t="str">
        <f>LEFT(Table1[[#This Row],[Category and Sub-Category]],FIND("/",Table1[[#This Row],[Category and Sub-Category]])-1)</f>
        <v>technology</v>
      </c>
      <c r="V1971" t="str">
        <f>RIGHT(Table1[[#This Row],[Category and Sub-Category]],LEN(Table1[[#This Row],[Category and Sub-Category]])-FIND("/",Table1[[#This Row],[Category and Sub-Category]]))</f>
        <v>hardware</v>
      </c>
    </row>
    <row r="1972" spans="1:22" ht="43.2" x14ac:dyDescent="0.3">
      <c r="A1972">
        <v>1970</v>
      </c>
      <c r="B1972" s="3" t="s">
        <v>1971</v>
      </c>
      <c r="C1972" s="3" t="s">
        <v>6080</v>
      </c>
      <c r="D1972" s="1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>((Table1[[#This Row],[deadline]]/60)/60/24)+DATE(1970,1,1)</f>
        <v>41384.151631944449</v>
      </c>
      <c r="K1972">
        <v>1361248701</v>
      </c>
      <c r="L1972" s="11">
        <f>((Table1[[#This Row],[launched_at]]/60)/60/24)+DATE(1970,1,1)</f>
        <v>41324.193298611113</v>
      </c>
      <c r="M1972">
        <f>MONTH(Table1[[#This Row],[Date Created Conversion]])</f>
        <v>2</v>
      </c>
      <c r="N1972">
        <f>YEAR(Table1[[#This Row],[Date Created Conversion]])</f>
        <v>2013</v>
      </c>
      <c r="O1972" t="b">
        <v>1</v>
      </c>
      <c r="P1972">
        <v>701</v>
      </c>
      <c r="Q1972" t="b">
        <v>1</v>
      </c>
      <c r="R1972" t="s">
        <v>8295</v>
      </c>
      <c r="S1972" s="6">
        <f>Table1[[#This Row],[pledged]]/Table1[[#This Row],[goal]]</f>
        <v>11.318</v>
      </c>
      <c r="T1972" s="8">
        <f>IF(Table1[[#This Row],[pledged]]=0,"no backers",Table1[[#This Row],[pledged]]/Table1[[#This Row],[backers_count]])</f>
        <v>80.727532097004286</v>
      </c>
      <c r="U1972" t="str">
        <f>LEFT(Table1[[#This Row],[Category and Sub-Category]],FIND("/",Table1[[#This Row],[Category and Sub-Category]])-1)</f>
        <v>technology</v>
      </c>
      <c r="V1972" t="str">
        <f>RIGHT(Table1[[#This Row],[Category and Sub-Category]],LEN(Table1[[#This Row],[Category and Sub-Category]])-FIND("/",Table1[[#This Row],[Category and Sub-Category]]))</f>
        <v>hardware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 s="12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>((Table1[[#This Row],[deadline]]/60)/60/24)+DATE(1970,1,1)</f>
        <v>41593.166666666664</v>
      </c>
      <c r="K1973">
        <v>1381752061</v>
      </c>
      <c r="L1973" s="11">
        <f>((Table1[[#This Row],[launched_at]]/60)/60/24)+DATE(1970,1,1)</f>
        <v>41561.500706018516</v>
      </c>
      <c r="M1973">
        <f>MONTH(Table1[[#This Row],[Date Created Conversion]])</f>
        <v>10</v>
      </c>
      <c r="N1973">
        <f>YEAR(Table1[[#This Row],[Date Created Conversion]])</f>
        <v>2013</v>
      </c>
      <c r="O1973" t="b">
        <v>1</v>
      </c>
      <c r="P1973">
        <v>3863</v>
      </c>
      <c r="Q1973" t="b">
        <v>1</v>
      </c>
      <c r="R1973" t="s">
        <v>8295</v>
      </c>
      <c r="S1973" s="6">
        <f>Table1[[#This Row],[pledged]]/Table1[[#This Row],[goal]]</f>
        <v>2.6302771750000002</v>
      </c>
      <c r="T1973" s="8">
        <f>IF(Table1[[#This Row],[pledged]]=0,"no backers",Table1[[#This Row],[pledged]]/Table1[[#This Row],[backers_count]])</f>
        <v>272.35590732591254</v>
      </c>
      <c r="U1973" t="str">
        <f>LEFT(Table1[[#This Row],[Category and Sub-Category]],FIND("/",Table1[[#This Row],[Category and Sub-Category]])-1)</f>
        <v>technology</v>
      </c>
      <c r="V1973" t="str">
        <f>RIGHT(Table1[[#This Row],[Category and Sub-Category]],LEN(Table1[[#This Row],[Category and Sub-Category]])-FIND("/",Table1[[#This Row],[Category and Sub-Category]]))</f>
        <v>hardware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 s="12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>((Table1[[#This Row],[deadline]]/60)/60/24)+DATE(1970,1,1)</f>
        <v>41231.053749999999</v>
      </c>
      <c r="K1974">
        <v>1350605844</v>
      </c>
      <c r="L1974" s="11">
        <f>((Table1[[#This Row],[launched_at]]/60)/60/24)+DATE(1970,1,1)</f>
        <v>41201.012083333335</v>
      </c>
      <c r="M1974">
        <f>MONTH(Table1[[#This Row],[Date Created Conversion]])</f>
        <v>10</v>
      </c>
      <c r="N1974">
        <f>YEAR(Table1[[#This Row],[Date Created Conversion]])</f>
        <v>2012</v>
      </c>
      <c r="O1974" t="b">
        <v>1</v>
      </c>
      <c r="P1974">
        <v>238</v>
      </c>
      <c r="Q1974" t="b">
        <v>1</v>
      </c>
      <c r="R1974" t="s">
        <v>8295</v>
      </c>
      <c r="S1974" s="6">
        <f>Table1[[#This Row],[pledged]]/Table1[[#This Row],[goal]]</f>
        <v>6.7447999999999997</v>
      </c>
      <c r="T1974" s="8">
        <f>IF(Table1[[#This Row],[pledged]]=0,"no backers",Table1[[#This Row],[pledged]]/Table1[[#This Row],[backers_count]])</f>
        <v>70.848739495798313</v>
      </c>
      <c r="U1974" t="str">
        <f>LEFT(Table1[[#This Row],[Category and Sub-Category]],FIND("/",Table1[[#This Row],[Category and Sub-Category]])-1)</f>
        <v>technology</v>
      </c>
      <c r="V1974" t="str">
        <f>RIGHT(Table1[[#This Row],[Category and Sub-Category]],LEN(Table1[[#This Row],[Category and Sub-Category]])-FIND("/",Table1[[#This Row],[Category and Sub-Category]]))</f>
        <v>hardware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 s="12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>((Table1[[#This Row],[deadline]]/60)/60/24)+DATE(1970,1,1)</f>
        <v>42588.291666666672</v>
      </c>
      <c r="K1975">
        <v>1467134464</v>
      </c>
      <c r="L1975" s="11">
        <f>((Table1[[#This Row],[launched_at]]/60)/60/24)+DATE(1970,1,1)</f>
        <v>42549.722962962958</v>
      </c>
      <c r="M1975">
        <f>MONTH(Table1[[#This Row],[Date Created Conversion]])</f>
        <v>6</v>
      </c>
      <c r="N1975">
        <f>YEAR(Table1[[#This Row],[Date Created Conversion]])</f>
        <v>2016</v>
      </c>
      <c r="O1975" t="b">
        <v>1</v>
      </c>
      <c r="P1975">
        <v>2051</v>
      </c>
      <c r="Q1975" t="b">
        <v>1</v>
      </c>
      <c r="R1975" t="s">
        <v>8295</v>
      </c>
      <c r="S1975" s="6">
        <f>Table1[[#This Row],[pledged]]/Table1[[#This Row],[goal]]</f>
        <v>2.5683081313131315</v>
      </c>
      <c r="T1975" s="8">
        <f>IF(Table1[[#This Row],[pledged]]=0,"no backers",Table1[[#This Row],[pledged]]/Table1[[#This Row],[backers_count]])</f>
        <v>247.94003412969283</v>
      </c>
      <c r="U1975" t="str">
        <f>LEFT(Table1[[#This Row],[Category and Sub-Category]],FIND("/",Table1[[#This Row],[Category and Sub-Category]])-1)</f>
        <v>technology</v>
      </c>
      <c r="V1975" t="str">
        <f>RIGHT(Table1[[#This Row],[Category and Sub-Category]],LEN(Table1[[#This Row],[Category and Sub-Category]])-FIND("/",Table1[[#This Row],[Category and Sub-Category]]))</f>
        <v>hardware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 s="12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>((Table1[[#This Row],[deadline]]/60)/60/24)+DATE(1970,1,1)</f>
        <v>41505.334131944444</v>
      </c>
      <c r="K1976">
        <v>1371715269</v>
      </c>
      <c r="L1976" s="11">
        <f>((Table1[[#This Row],[launched_at]]/60)/60/24)+DATE(1970,1,1)</f>
        <v>41445.334131944444</v>
      </c>
      <c r="M1976">
        <f>MONTH(Table1[[#This Row],[Date Created Conversion]])</f>
        <v>6</v>
      </c>
      <c r="N1976">
        <f>YEAR(Table1[[#This Row],[Date Created Conversion]])</f>
        <v>2013</v>
      </c>
      <c r="O1976" t="b">
        <v>1</v>
      </c>
      <c r="P1976">
        <v>402</v>
      </c>
      <c r="Q1976" t="b">
        <v>1</v>
      </c>
      <c r="R1976" t="s">
        <v>8295</v>
      </c>
      <c r="S1976" s="6">
        <f>Table1[[#This Row],[pledged]]/Table1[[#This Row],[goal]]</f>
        <v>3.7549600000000001</v>
      </c>
      <c r="T1976" s="8">
        <f>IF(Table1[[#This Row],[pledged]]=0,"no backers",Table1[[#This Row],[pledged]]/Table1[[#This Row],[backers_count]])</f>
        <v>186.81393034825871</v>
      </c>
      <c r="U1976" t="str">
        <f>LEFT(Table1[[#This Row],[Category and Sub-Category]],FIND("/",Table1[[#This Row],[Category and Sub-Category]])-1)</f>
        <v>technology</v>
      </c>
      <c r="V1976" t="str">
        <f>RIGHT(Table1[[#This Row],[Category and Sub-Category]],LEN(Table1[[#This Row],[Category and Sub-Category]])-FIND("/",Table1[[#This Row],[Category and Sub-Category]]))</f>
        <v>hardware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 s="12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>((Table1[[#This Row],[deadline]]/60)/60/24)+DATE(1970,1,1)</f>
        <v>41343.755219907405</v>
      </c>
      <c r="K1977">
        <v>1360346851</v>
      </c>
      <c r="L1977" s="11">
        <f>((Table1[[#This Row],[launched_at]]/60)/60/24)+DATE(1970,1,1)</f>
        <v>41313.755219907405</v>
      </c>
      <c r="M1977">
        <f>MONTH(Table1[[#This Row],[Date Created Conversion]])</f>
        <v>2</v>
      </c>
      <c r="N1977">
        <f>YEAR(Table1[[#This Row],[Date Created Conversion]])</f>
        <v>2013</v>
      </c>
      <c r="O1977" t="b">
        <v>1</v>
      </c>
      <c r="P1977">
        <v>253</v>
      </c>
      <c r="Q1977" t="b">
        <v>1</v>
      </c>
      <c r="R1977" t="s">
        <v>8295</v>
      </c>
      <c r="S1977" s="6">
        <f>Table1[[#This Row],[pledged]]/Table1[[#This Row],[goal]]</f>
        <v>2.0870837499999997</v>
      </c>
      <c r="T1977" s="8">
        <f>IF(Table1[[#This Row],[pledged]]=0,"no backers",Table1[[#This Row],[pledged]]/Table1[[#This Row],[backers_count]])</f>
        <v>131.98948616600788</v>
      </c>
      <c r="U1977" t="str">
        <f>LEFT(Table1[[#This Row],[Category and Sub-Category]],FIND("/",Table1[[#This Row],[Category and Sub-Category]])-1)</f>
        <v>technology</v>
      </c>
      <c r="V1977" t="str">
        <f>RIGHT(Table1[[#This Row],[Category and Sub-Category]],LEN(Table1[[#This Row],[Category and Sub-Category]])-FIND("/",Table1[[#This Row],[Category and Sub-Category]]))</f>
        <v>hardware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 s="12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>((Table1[[#This Row],[deadline]]/60)/60/24)+DATE(1970,1,1)</f>
        <v>41468.899594907409</v>
      </c>
      <c r="K1978">
        <v>1371159325</v>
      </c>
      <c r="L1978" s="11">
        <f>((Table1[[#This Row],[launched_at]]/60)/60/24)+DATE(1970,1,1)</f>
        <v>41438.899594907409</v>
      </c>
      <c r="M1978">
        <f>MONTH(Table1[[#This Row],[Date Created Conversion]])</f>
        <v>6</v>
      </c>
      <c r="N1978">
        <f>YEAR(Table1[[#This Row],[Date Created Conversion]])</f>
        <v>2013</v>
      </c>
      <c r="O1978" t="b">
        <v>1</v>
      </c>
      <c r="P1978">
        <v>473</v>
      </c>
      <c r="Q1978" t="b">
        <v>1</v>
      </c>
      <c r="R1978" t="s">
        <v>8295</v>
      </c>
      <c r="S1978" s="6">
        <f>Table1[[#This Row],[pledged]]/Table1[[#This Row],[goal]]</f>
        <v>3.4660000000000002</v>
      </c>
      <c r="T1978" s="8">
        <f>IF(Table1[[#This Row],[pledged]]=0,"no backers",Table1[[#This Row],[pledged]]/Table1[[#This Row],[backers_count]])</f>
        <v>29.310782241014799</v>
      </c>
      <c r="U1978" t="str">
        <f>LEFT(Table1[[#This Row],[Category and Sub-Category]],FIND("/",Table1[[#This Row],[Category and Sub-Category]])-1)</f>
        <v>technology</v>
      </c>
      <c r="V1978" t="str">
        <f>RIGHT(Table1[[#This Row],[Category and Sub-Category]],LEN(Table1[[#This Row],[Category and Sub-Category]])-FIND("/",Table1[[#This Row],[Category and Sub-Category]]))</f>
        <v>hardware</v>
      </c>
    </row>
    <row r="1979" spans="1:22" ht="43.2" x14ac:dyDescent="0.3">
      <c r="A1979">
        <v>1977</v>
      </c>
      <c r="B1979" s="3" t="s">
        <v>1978</v>
      </c>
      <c r="C1979" s="3" t="s">
        <v>6087</v>
      </c>
      <c r="D1979" s="12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>((Table1[[#This Row],[deadline]]/60)/60/24)+DATE(1970,1,1)</f>
        <v>42357.332638888889</v>
      </c>
      <c r="K1979">
        <v>1446527540</v>
      </c>
      <c r="L1979" s="11">
        <f>((Table1[[#This Row],[launched_at]]/60)/60/24)+DATE(1970,1,1)</f>
        <v>42311.216898148152</v>
      </c>
      <c r="M1979">
        <f>MONTH(Table1[[#This Row],[Date Created Conversion]])</f>
        <v>11</v>
      </c>
      <c r="N1979">
        <f>YEAR(Table1[[#This Row],[Date Created Conversion]])</f>
        <v>2015</v>
      </c>
      <c r="O1979" t="b">
        <v>1</v>
      </c>
      <c r="P1979">
        <v>821</v>
      </c>
      <c r="Q1979" t="b">
        <v>1</v>
      </c>
      <c r="R1979" t="s">
        <v>8295</v>
      </c>
      <c r="S1979" s="6">
        <f>Table1[[#This Row],[pledged]]/Table1[[#This Row],[goal]]</f>
        <v>4.0232999999999999</v>
      </c>
      <c r="T1979" s="8">
        <f>IF(Table1[[#This Row],[pledged]]=0,"no backers",Table1[[#This Row],[pledged]]/Table1[[#This Row],[backers_count]])</f>
        <v>245.02436053593178</v>
      </c>
      <c r="U1979" t="str">
        <f>LEFT(Table1[[#This Row],[Category and Sub-Category]],FIND("/",Table1[[#This Row],[Category and Sub-Category]])-1)</f>
        <v>technology</v>
      </c>
      <c r="V1979" t="str">
        <f>RIGHT(Table1[[#This Row],[Category and Sub-Category]],LEN(Table1[[#This Row],[Category and Sub-Category]])-FIND("/",Table1[[#This Row],[Category and Sub-Category]]))</f>
        <v>hardware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 s="12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>((Table1[[#This Row],[deadline]]/60)/60/24)+DATE(1970,1,1)</f>
        <v>41072.291666666664</v>
      </c>
      <c r="K1980">
        <v>1336627492</v>
      </c>
      <c r="L1980" s="11">
        <f>((Table1[[#This Row],[launched_at]]/60)/60/24)+DATE(1970,1,1)</f>
        <v>41039.225601851853</v>
      </c>
      <c r="M1980">
        <f>MONTH(Table1[[#This Row],[Date Created Conversion]])</f>
        <v>5</v>
      </c>
      <c r="N1980">
        <f>YEAR(Table1[[#This Row],[Date Created Conversion]])</f>
        <v>2012</v>
      </c>
      <c r="O1980" t="b">
        <v>1</v>
      </c>
      <c r="P1980">
        <v>388</v>
      </c>
      <c r="Q1980" t="b">
        <v>1</v>
      </c>
      <c r="R1980" t="s">
        <v>8295</v>
      </c>
      <c r="S1980" s="6">
        <f>Table1[[#This Row],[pledged]]/Table1[[#This Row],[goal]]</f>
        <v>10.2684514</v>
      </c>
      <c r="T1980" s="8">
        <f>IF(Table1[[#This Row],[pledged]]=0,"no backers",Table1[[#This Row],[pledged]]/Table1[[#This Row],[backers_count]])</f>
        <v>1323.2540463917526</v>
      </c>
      <c r="U1980" t="str">
        <f>LEFT(Table1[[#This Row],[Category and Sub-Category]],FIND("/",Table1[[#This Row],[Category and Sub-Category]])-1)</f>
        <v>technology</v>
      </c>
      <c r="V1980" t="str">
        <f>RIGHT(Table1[[#This Row],[Category and Sub-Category]],LEN(Table1[[#This Row],[Category and Sub-Category]])-FIND("/",Table1[[#This Row],[Category and Sub-Category]]))</f>
        <v>hardware</v>
      </c>
    </row>
    <row r="1981" spans="1:22" ht="43.2" x14ac:dyDescent="0.3">
      <c r="A1981">
        <v>1979</v>
      </c>
      <c r="B1981" s="3" t="s">
        <v>1980</v>
      </c>
      <c r="C1981" s="3" t="s">
        <v>6089</v>
      </c>
      <c r="D1981" s="12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>((Table1[[#This Row],[deadline]]/60)/60/24)+DATE(1970,1,1)</f>
        <v>42327.207638888889</v>
      </c>
      <c r="K1981">
        <v>1444734146</v>
      </c>
      <c r="L1981" s="11">
        <f>((Table1[[#This Row],[launched_at]]/60)/60/24)+DATE(1970,1,1)</f>
        <v>42290.460023148145</v>
      </c>
      <c r="M1981">
        <f>MONTH(Table1[[#This Row],[Date Created Conversion]])</f>
        <v>10</v>
      </c>
      <c r="N1981">
        <f>YEAR(Table1[[#This Row],[Date Created Conversion]])</f>
        <v>2015</v>
      </c>
      <c r="O1981" t="b">
        <v>1</v>
      </c>
      <c r="P1981">
        <v>813</v>
      </c>
      <c r="Q1981" t="b">
        <v>1</v>
      </c>
      <c r="R1981" t="s">
        <v>8295</v>
      </c>
      <c r="S1981" s="6">
        <f>Table1[[#This Row],[pledged]]/Table1[[#This Row],[goal]]</f>
        <v>1.14901155</v>
      </c>
      <c r="T1981" s="8">
        <f>IF(Table1[[#This Row],[pledged]]=0,"no backers",Table1[[#This Row],[pledged]]/Table1[[#This Row],[backers_count]])</f>
        <v>282.65966789667897</v>
      </c>
      <c r="U1981" t="str">
        <f>LEFT(Table1[[#This Row],[Category and Sub-Category]],FIND("/",Table1[[#This Row],[Category and Sub-Category]])-1)</f>
        <v>technology</v>
      </c>
      <c r="V1981" t="str">
        <f>RIGHT(Table1[[#This Row],[Category and Sub-Category]],LEN(Table1[[#This Row],[Category and Sub-Category]])-FIND("/",Table1[[#This Row],[Category and Sub-Category]]))</f>
        <v>hardware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 s="1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>((Table1[[#This Row],[deadline]]/60)/60/24)+DATE(1970,1,1)</f>
        <v>42463.500717592593</v>
      </c>
      <c r="K1982">
        <v>1456232462</v>
      </c>
      <c r="L1982" s="11">
        <f>((Table1[[#This Row],[launched_at]]/60)/60/24)+DATE(1970,1,1)</f>
        <v>42423.542384259257</v>
      </c>
      <c r="M1982">
        <f>MONTH(Table1[[#This Row],[Date Created Conversion]])</f>
        <v>2</v>
      </c>
      <c r="N1982">
        <f>YEAR(Table1[[#This Row],[Date Created Conversion]])</f>
        <v>2016</v>
      </c>
      <c r="O1982" t="b">
        <v>1</v>
      </c>
      <c r="P1982">
        <v>1945</v>
      </c>
      <c r="Q1982" t="b">
        <v>1</v>
      </c>
      <c r="R1982" t="s">
        <v>8295</v>
      </c>
      <c r="S1982" s="6">
        <f>Table1[[#This Row],[pledged]]/Table1[[#This Row],[goal]]</f>
        <v>3.5482402000000004</v>
      </c>
      <c r="T1982" s="8">
        <f>IF(Table1[[#This Row],[pledged]]=0,"no backers",Table1[[#This Row],[pledged]]/Table1[[#This Row],[backers_count]])</f>
        <v>91.214401028277635</v>
      </c>
      <c r="U1982" t="str">
        <f>LEFT(Table1[[#This Row],[Category and Sub-Category]],FIND("/",Table1[[#This Row],[Category and Sub-Category]])-1)</f>
        <v>technology</v>
      </c>
      <c r="V1982" t="str">
        <f>RIGHT(Table1[[#This Row],[Category and Sub-Category]],LEN(Table1[[#This Row],[Category and Sub-Category]])-FIND("/",Table1[[#This Row],[Category and Sub-Category]]))</f>
        <v>hardware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 s="12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>((Table1[[#This Row],[deadline]]/60)/60/24)+DATE(1970,1,1)</f>
        <v>41829.725289351853</v>
      </c>
      <c r="K1983">
        <v>1402334665</v>
      </c>
      <c r="L1983" s="11">
        <f>((Table1[[#This Row],[launched_at]]/60)/60/24)+DATE(1970,1,1)</f>
        <v>41799.725289351853</v>
      </c>
      <c r="M1983">
        <f>MONTH(Table1[[#This Row],[Date Created Conversion]])</f>
        <v>6</v>
      </c>
      <c r="N1983">
        <f>YEAR(Table1[[#This Row],[Date Created Conversion]])</f>
        <v>2014</v>
      </c>
      <c r="O1983" t="b">
        <v>0</v>
      </c>
      <c r="P1983">
        <v>12</v>
      </c>
      <c r="Q1983" t="b">
        <v>0</v>
      </c>
      <c r="R1983" t="s">
        <v>8296</v>
      </c>
      <c r="S1983" s="6">
        <f>Table1[[#This Row],[pledged]]/Table1[[#This Row],[goal]]</f>
        <v>5.0799999999999998E-2</v>
      </c>
      <c r="T1983" s="8">
        <f>IF(Table1[[#This Row],[pledged]]=0,"no backers",Table1[[#This Row],[pledged]]/Table1[[#This Row],[backers_count]])</f>
        <v>31.75</v>
      </c>
      <c r="U1983" t="str">
        <f>LEFT(Table1[[#This Row],[Category and Sub-Category]],FIND("/",Table1[[#This Row],[Category and Sub-Category]])-1)</f>
        <v>photography</v>
      </c>
      <c r="V1983" t="str">
        <f>RIGHT(Table1[[#This Row],[Category and Sub-Category]],LEN(Table1[[#This Row],[Category and Sub-Category]])-FIND("/",Table1[[#This Row],[Category and Sub-Category]]))</f>
        <v>people</v>
      </c>
    </row>
    <row r="1984" spans="1:22" ht="43.2" x14ac:dyDescent="0.3">
      <c r="A1984">
        <v>1982</v>
      </c>
      <c r="B1984" s="3" t="s">
        <v>1983</v>
      </c>
      <c r="C1984" s="3" t="s">
        <v>6092</v>
      </c>
      <c r="D1984" s="12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>((Table1[[#This Row],[deadline]]/60)/60/24)+DATE(1970,1,1)</f>
        <v>42708.628321759257</v>
      </c>
      <c r="K1984">
        <v>1478268287</v>
      </c>
      <c r="L1984" s="11">
        <f>((Table1[[#This Row],[launched_at]]/60)/60/24)+DATE(1970,1,1)</f>
        <v>42678.586655092593</v>
      </c>
      <c r="M1984">
        <f>MONTH(Table1[[#This Row],[Date Created Conversion]])</f>
        <v>11</v>
      </c>
      <c r="N1984">
        <f>YEAR(Table1[[#This Row],[Date Created Conversion]])</f>
        <v>2016</v>
      </c>
      <c r="O1984" t="b">
        <v>0</v>
      </c>
      <c r="P1984">
        <v>0</v>
      </c>
      <c r="Q1984" t="b">
        <v>0</v>
      </c>
      <c r="R1984" t="s">
        <v>8296</v>
      </c>
      <c r="S1984" s="6">
        <f>Table1[[#This Row],[pledged]]/Table1[[#This Row],[goal]]</f>
        <v>0</v>
      </c>
      <c r="T1984" s="8" t="str">
        <f>IF(Table1[[#This Row],[pledged]]=0,"no backers",Table1[[#This Row],[pledged]]/Table1[[#This Row],[backers_count]])</f>
        <v>no backers</v>
      </c>
      <c r="U1984" t="str">
        <f>LEFT(Table1[[#This Row],[Category and Sub-Category]],FIND("/",Table1[[#This Row],[Category and Sub-Category]])-1)</f>
        <v>photography</v>
      </c>
      <c r="V1984" t="str">
        <f>RIGHT(Table1[[#This Row],[Category and Sub-Category]],LEN(Table1[[#This Row],[Category and Sub-Category]])-FIND("/",Table1[[#This Row],[Category and Sub-Category]]))</f>
        <v>people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 s="12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>((Table1[[#This Row],[deadline]]/60)/60/24)+DATE(1970,1,1)</f>
        <v>42615.291666666672</v>
      </c>
      <c r="K1985">
        <v>1470874618</v>
      </c>
      <c r="L1985" s="11">
        <f>((Table1[[#This Row],[launched_at]]/60)/60/24)+DATE(1970,1,1)</f>
        <v>42593.011782407411</v>
      </c>
      <c r="M1985">
        <f>MONTH(Table1[[#This Row],[Date Created Conversion]])</f>
        <v>8</v>
      </c>
      <c r="N1985">
        <f>YEAR(Table1[[#This Row],[Date Created Conversion]])</f>
        <v>2016</v>
      </c>
      <c r="O1985" t="b">
        <v>0</v>
      </c>
      <c r="P1985">
        <v>16</v>
      </c>
      <c r="Q1985" t="b">
        <v>0</v>
      </c>
      <c r="R1985" t="s">
        <v>8296</v>
      </c>
      <c r="S1985" s="6">
        <f>Table1[[#This Row],[pledged]]/Table1[[#This Row],[goal]]</f>
        <v>4.2999999999999997E-2</v>
      </c>
      <c r="T1985" s="8">
        <f>IF(Table1[[#This Row],[pledged]]=0,"no backers",Table1[[#This Row],[pledged]]/Table1[[#This Row],[backers_count]])</f>
        <v>88.6875</v>
      </c>
      <c r="U1985" t="str">
        <f>LEFT(Table1[[#This Row],[Category and Sub-Category]],FIND("/",Table1[[#This Row],[Category and Sub-Category]])-1)</f>
        <v>photography</v>
      </c>
      <c r="V1985" t="str">
        <f>RIGHT(Table1[[#This Row],[Category and Sub-Category]],LEN(Table1[[#This Row],[Category and Sub-Category]])-FIND("/",Table1[[#This Row],[Category and Sub-Category]]))</f>
        <v>people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 s="12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>((Table1[[#This Row],[deadline]]/60)/60/24)+DATE(1970,1,1)</f>
        <v>41973.831956018519</v>
      </c>
      <c r="K1986">
        <v>1412189881</v>
      </c>
      <c r="L1986" s="11">
        <f>((Table1[[#This Row],[launched_at]]/60)/60/24)+DATE(1970,1,1)</f>
        <v>41913.790289351848</v>
      </c>
      <c r="M1986">
        <f>MONTH(Table1[[#This Row],[Date Created Conversion]])</f>
        <v>10</v>
      </c>
      <c r="N1986">
        <f>YEAR(Table1[[#This Row],[Date Created Conversion]])</f>
        <v>2014</v>
      </c>
      <c r="O1986" t="b">
        <v>0</v>
      </c>
      <c r="P1986">
        <v>7</v>
      </c>
      <c r="Q1986" t="b">
        <v>0</v>
      </c>
      <c r="R1986" t="s">
        <v>8296</v>
      </c>
      <c r="S1986" s="6">
        <f>Table1[[#This Row],[pledged]]/Table1[[#This Row],[goal]]</f>
        <v>0.21146666666666666</v>
      </c>
      <c r="T1986" s="8">
        <f>IF(Table1[[#This Row],[pledged]]=0,"no backers",Table1[[#This Row],[pledged]]/Table1[[#This Row],[backers_count]])</f>
        <v>453.14285714285717</v>
      </c>
      <c r="U1986" t="str">
        <f>LEFT(Table1[[#This Row],[Category and Sub-Category]],FIND("/",Table1[[#This Row],[Category and Sub-Category]])-1)</f>
        <v>photography</v>
      </c>
      <c r="V1986" t="str">
        <f>RIGHT(Table1[[#This Row],[Category and Sub-Category]],LEN(Table1[[#This Row],[Category and Sub-Category]])-FIND("/",Table1[[#This Row],[Category and Sub-Category]]))</f>
        <v>people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 s="12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>((Table1[[#This Row],[deadline]]/60)/60/24)+DATE(1970,1,1)</f>
        <v>42584.958333333328</v>
      </c>
      <c r="K1987">
        <v>1467650771</v>
      </c>
      <c r="L1987" s="11">
        <f>((Table1[[#This Row],[launched_at]]/60)/60/24)+DATE(1970,1,1)</f>
        <v>42555.698738425926</v>
      </c>
      <c r="M1987">
        <f>MONTH(Table1[[#This Row],[Date Created Conversion]])</f>
        <v>7</v>
      </c>
      <c r="N1987">
        <f>YEAR(Table1[[#This Row],[Date Created Conversion]])</f>
        <v>2016</v>
      </c>
      <c r="O1987" t="b">
        <v>0</v>
      </c>
      <c r="P1987">
        <v>4</v>
      </c>
      <c r="Q1987" t="b">
        <v>0</v>
      </c>
      <c r="R1987" t="s">
        <v>8296</v>
      </c>
      <c r="S1987" s="6">
        <f>Table1[[#This Row],[pledged]]/Table1[[#This Row],[goal]]</f>
        <v>3.1875000000000001E-2</v>
      </c>
      <c r="T1987" s="8">
        <f>IF(Table1[[#This Row],[pledged]]=0,"no backers",Table1[[#This Row],[pledged]]/Table1[[#This Row],[backers_count]])</f>
        <v>12.75</v>
      </c>
      <c r="U1987" t="str">
        <f>LEFT(Table1[[#This Row],[Category and Sub-Category]],FIND("/",Table1[[#This Row],[Category and Sub-Category]])-1)</f>
        <v>photography</v>
      </c>
      <c r="V1987" t="str">
        <f>RIGHT(Table1[[#This Row],[Category and Sub-Category]],LEN(Table1[[#This Row],[Category and Sub-Category]])-FIND("/",Table1[[#This Row],[Category and Sub-Category]]))</f>
        <v>people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 s="12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>((Table1[[#This Row],[deadline]]/60)/60/24)+DATE(1970,1,1)</f>
        <v>42443.392164351855</v>
      </c>
      <c r="K1988">
        <v>1455359083</v>
      </c>
      <c r="L1988" s="11">
        <f>((Table1[[#This Row],[launched_at]]/60)/60/24)+DATE(1970,1,1)</f>
        <v>42413.433831018512</v>
      </c>
      <c r="M1988">
        <f>MONTH(Table1[[#This Row],[Date Created Conversion]])</f>
        <v>2</v>
      </c>
      <c r="N1988">
        <f>YEAR(Table1[[#This Row],[Date Created Conversion]])</f>
        <v>2016</v>
      </c>
      <c r="O1988" t="b">
        <v>0</v>
      </c>
      <c r="P1988">
        <v>1</v>
      </c>
      <c r="Q1988" t="b">
        <v>0</v>
      </c>
      <c r="R1988" t="s">
        <v>8296</v>
      </c>
      <c r="S1988" s="6">
        <f>Table1[[#This Row],[pledged]]/Table1[[#This Row],[goal]]</f>
        <v>5.0000000000000001E-4</v>
      </c>
      <c r="T1988" s="8">
        <f>IF(Table1[[#This Row],[pledged]]=0,"no backers",Table1[[#This Row],[pledged]]/Table1[[#This Row],[backers_count]])</f>
        <v>1</v>
      </c>
      <c r="U1988" t="str">
        <f>LEFT(Table1[[#This Row],[Category and Sub-Category]],FIND("/",Table1[[#This Row],[Category and Sub-Category]])-1)</f>
        <v>photography</v>
      </c>
      <c r="V1988" t="str">
        <f>RIGHT(Table1[[#This Row],[Category and Sub-Category]],LEN(Table1[[#This Row],[Category and Sub-Category]])-FIND("/",Table1[[#This Row],[Category and Sub-Category]]))</f>
        <v>people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 s="12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>((Table1[[#This Row],[deadline]]/60)/60/24)+DATE(1970,1,1)</f>
        <v>42064.639768518522</v>
      </c>
      <c r="K1989">
        <v>1422631276</v>
      </c>
      <c r="L1989" s="11">
        <f>((Table1[[#This Row],[launched_at]]/60)/60/24)+DATE(1970,1,1)</f>
        <v>42034.639768518522</v>
      </c>
      <c r="M1989">
        <f>MONTH(Table1[[#This Row],[Date Created Conversion]])</f>
        <v>1</v>
      </c>
      <c r="N1989">
        <f>YEAR(Table1[[#This Row],[Date Created Conversion]])</f>
        <v>2015</v>
      </c>
      <c r="O1989" t="b">
        <v>0</v>
      </c>
      <c r="P1989">
        <v>28</v>
      </c>
      <c r="Q1989" t="b">
        <v>0</v>
      </c>
      <c r="R1989" t="s">
        <v>8296</v>
      </c>
      <c r="S1989" s="6">
        <f>Table1[[#This Row],[pledged]]/Table1[[#This Row],[goal]]</f>
        <v>0.42472727272727273</v>
      </c>
      <c r="T1989" s="8">
        <f>IF(Table1[[#This Row],[pledged]]=0,"no backers",Table1[[#This Row],[pledged]]/Table1[[#This Row],[backers_count]])</f>
        <v>83.428571428571431</v>
      </c>
      <c r="U1989" t="str">
        <f>LEFT(Table1[[#This Row],[Category and Sub-Category]],FIND("/",Table1[[#This Row],[Category and Sub-Category]])-1)</f>
        <v>photography</v>
      </c>
      <c r="V1989" t="str">
        <f>RIGHT(Table1[[#This Row],[Category and Sub-Category]],LEN(Table1[[#This Row],[Category and Sub-Category]])-FIND("/",Table1[[#This Row],[Category and Sub-Category]]))</f>
        <v>people</v>
      </c>
    </row>
    <row r="1990" spans="1:22" x14ac:dyDescent="0.3">
      <c r="A1990">
        <v>1988</v>
      </c>
      <c r="B1990" s="3" t="s">
        <v>1989</v>
      </c>
      <c r="C1990" s="3" t="s">
        <v>6098</v>
      </c>
      <c r="D1990" s="12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>((Table1[[#This Row],[deadline]]/60)/60/24)+DATE(1970,1,1)</f>
        <v>42236.763217592597</v>
      </c>
      <c r="K1990">
        <v>1437502742</v>
      </c>
      <c r="L1990" s="11">
        <f>((Table1[[#This Row],[launched_at]]/60)/60/24)+DATE(1970,1,1)</f>
        <v>42206.763217592597</v>
      </c>
      <c r="M1990">
        <f>MONTH(Table1[[#This Row],[Date Created Conversion]])</f>
        <v>7</v>
      </c>
      <c r="N1990">
        <f>YEAR(Table1[[#This Row],[Date Created Conversion]])</f>
        <v>2015</v>
      </c>
      <c r="O1990" t="b">
        <v>0</v>
      </c>
      <c r="P1990">
        <v>1</v>
      </c>
      <c r="Q1990" t="b">
        <v>0</v>
      </c>
      <c r="R1990" t="s">
        <v>8296</v>
      </c>
      <c r="S1990" s="6">
        <f>Table1[[#This Row],[pledged]]/Table1[[#This Row],[goal]]</f>
        <v>4.1666666666666666E-3</v>
      </c>
      <c r="T1990" s="8">
        <f>IF(Table1[[#This Row],[pledged]]=0,"no backers",Table1[[#This Row],[pledged]]/Table1[[#This Row],[backers_count]])</f>
        <v>25</v>
      </c>
      <c r="U1990" t="str">
        <f>LEFT(Table1[[#This Row],[Category and Sub-Category]],FIND("/",Table1[[#This Row],[Category and Sub-Category]])-1)</f>
        <v>photography</v>
      </c>
      <c r="V1990" t="str">
        <f>RIGHT(Table1[[#This Row],[Category and Sub-Category]],LEN(Table1[[#This Row],[Category and Sub-Category]])-FIND("/",Table1[[#This Row],[Category and Sub-Category]]))</f>
        <v>people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 s="12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>((Table1[[#This Row],[deadline]]/60)/60/24)+DATE(1970,1,1)</f>
        <v>42715.680648148147</v>
      </c>
      <c r="K1991">
        <v>1478881208</v>
      </c>
      <c r="L1991" s="11">
        <f>((Table1[[#This Row],[launched_at]]/60)/60/24)+DATE(1970,1,1)</f>
        <v>42685.680648148147</v>
      </c>
      <c r="M1991">
        <f>MONTH(Table1[[#This Row],[Date Created Conversion]])</f>
        <v>11</v>
      </c>
      <c r="N1991">
        <f>YEAR(Table1[[#This Row],[Date Created Conversion]])</f>
        <v>2016</v>
      </c>
      <c r="O1991" t="b">
        <v>0</v>
      </c>
      <c r="P1991">
        <v>1</v>
      </c>
      <c r="Q1991" t="b">
        <v>0</v>
      </c>
      <c r="R1991" t="s">
        <v>8296</v>
      </c>
      <c r="S1991" s="6">
        <f>Table1[[#This Row],[pledged]]/Table1[[#This Row],[goal]]</f>
        <v>0.01</v>
      </c>
      <c r="T1991" s="8">
        <f>IF(Table1[[#This Row],[pledged]]=0,"no backers",Table1[[#This Row],[pledged]]/Table1[[#This Row],[backers_count]])</f>
        <v>50</v>
      </c>
      <c r="U1991" t="str">
        <f>LEFT(Table1[[#This Row],[Category and Sub-Category]],FIND("/",Table1[[#This Row],[Category and Sub-Category]])-1)</f>
        <v>photography</v>
      </c>
      <c r="V1991" t="str">
        <f>RIGHT(Table1[[#This Row],[Category and Sub-Category]],LEN(Table1[[#This Row],[Category and Sub-Category]])-FIND("/",Table1[[#This Row],[Category and Sub-Category]]))</f>
        <v>people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 s="1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>((Table1[[#This Row],[deadline]]/60)/60/24)+DATE(1970,1,1)</f>
        <v>42413.195972222224</v>
      </c>
      <c r="K1992">
        <v>1454042532</v>
      </c>
      <c r="L1992" s="11">
        <f>((Table1[[#This Row],[launched_at]]/60)/60/24)+DATE(1970,1,1)</f>
        <v>42398.195972222224</v>
      </c>
      <c r="M1992">
        <f>MONTH(Table1[[#This Row],[Date Created Conversion]])</f>
        <v>1</v>
      </c>
      <c r="N1992">
        <f>YEAR(Table1[[#This Row],[Date Created Conversion]])</f>
        <v>2016</v>
      </c>
      <c r="O1992" t="b">
        <v>0</v>
      </c>
      <c r="P1992">
        <v>5</v>
      </c>
      <c r="Q1992" t="b">
        <v>0</v>
      </c>
      <c r="R1992" t="s">
        <v>8296</v>
      </c>
      <c r="S1992" s="6">
        <f>Table1[[#This Row],[pledged]]/Table1[[#This Row],[goal]]</f>
        <v>0.16966666666666666</v>
      </c>
      <c r="T1992" s="8">
        <f>IF(Table1[[#This Row],[pledged]]=0,"no backers",Table1[[#This Row],[pledged]]/Table1[[#This Row],[backers_count]])</f>
        <v>101.8</v>
      </c>
      <c r="U1992" t="str">
        <f>LEFT(Table1[[#This Row],[Category and Sub-Category]],FIND("/",Table1[[#This Row],[Category and Sub-Category]])-1)</f>
        <v>photography</v>
      </c>
      <c r="V1992" t="str">
        <f>RIGHT(Table1[[#This Row],[Category and Sub-Category]],LEN(Table1[[#This Row],[Category and Sub-Category]])-FIND("/",Table1[[#This Row],[Category and Sub-Category]]))</f>
        <v>people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 s="12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>((Table1[[#This Row],[deadline]]/60)/60/24)+DATE(1970,1,1)</f>
        <v>42188.89335648148</v>
      </c>
      <c r="K1993">
        <v>1434144386</v>
      </c>
      <c r="L1993" s="11">
        <f>((Table1[[#This Row],[launched_at]]/60)/60/24)+DATE(1970,1,1)</f>
        <v>42167.89335648148</v>
      </c>
      <c r="M1993">
        <f>MONTH(Table1[[#This Row],[Date Created Conversion]])</f>
        <v>6</v>
      </c>
      <c r="N1993">
        <f>YEAR(Table1[[#This Row],[Date Created Conversion]])</f>
        <v>2015</v>
      </c>
      <c r="O1993" t="b">
        <v>0</v>
      </c>
      <c r="P1993">
        <v>3</v>
      </c>
      <c r="Q1993" t="b">
        <v>0</v>
      </c>
      <c r="R1993" t="s">
        <v>8296</v>
      </c>
      <c r="S1993" s="6">
        <f>Table1[[#This Row],[pledged]]/Table1[[#This Row],[goal]]</f>
        <v>7.0000000000000007E-2</v>
      </c>
      <c r="T1993" s="8">
        <f>IF(Table1[[#This Row],[pledged]]=0,"no backers",Table1[[#This Row],[pledged]]/Table1[[#This Row],[backers_count]])</f>
        <v>46.666666666666664</v>
      </c>
      <c r="U1993" t="str">
        <f>LEFT(Table1[[#This Row],[Category and Sub-Category]],FIND("/",Table1[[#This Row],[Category and Sub-Category]])-1)</f>
        <v>photography</v>
      </c>
      <c r="V1993" t="str">
        <f>RIGHT(Table1[[#This Row],[Category and Sub-Category]],LEN(Table1[[#This Row],[Category and Sub-Category]])-FIND("/",Table1[[#This Row],[Category and Sub-Category]]))</f>
        <v>people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 s="12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>((Table1[[#This Row],[deadline]]/60)/60/24)+DATE(1970,1,1)</f>
        <v>42053.143414351856</v>
      </c>
      <c r="K1994">
        <v>1421637991</v>
      </c>
      <c r="L1994" s="11">
        <f>((Table1[[#This Row],[launched_at]]/60)/60/24)+DATE(1970,1,1)</f>
        <v>42023.143414351856</v>
      </c>
      <c r="M1994">
        <f>MONTH(Table1[[#This Row],[Date Created Conversion]])</f>
        <v>1</v>
      </c>
      <c r="N1994">
        <f>YEAR(Table1[[#This Row],[Date Created Conversion]])</f>
        <v>2015</v>
      </c>
      <c r="O1994" t="b">
        <v>0</v>
      </c>
      <c r="P1994">
        <v>2</v>
      </c>
      <c r="Q1994" t="b">
        <v>0</v>
      </c>
      <c r="R1994" t="s">
        <v>8296</v>
      </c>
      <c r="S1994" s="6">
        <f>Table1[[#This Row],[pledged]]/Table1[[#This Row],[goal]]</f>
        <v>1.3333333333333333E-3</v>
      </c>
      <c r="T1994" s="8">
        <f>IF(Table1[[#This Row],[pledged]]=0,"no backers",Table1[[#This Row],[pledged]]/Table1[[#This Row],[backers_count]])</f>
        <v>1</v>
      </c>
      <c r="U1994" t="str">
        <f>LEFT(Table1[[#This Row],[Category and Sub-Category]],FIND("/",Table1[[#This Row],[Category and Sub-Category]])-1)</f>
        <v>photography</v>
      </c>
      <c r="V1994" t="str">
        <f>RIGHT(Table1[[#This Row],[Category and Sub-Category]],LEN(Table1[[#This Row],[Category and Sub-Category]])-FIND("/",Table1[[#This Row],[Category and Sub-Category]]))</f>
        <v>people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 s="12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>((Table1[[#This Row],[deadline]]/60)/60/24)+DATE(1970,1,1)</f>
        <v>42359.58839120371</v>
      </c>
      <c r="K1995">
        <v>1448114837</v>
      </c>
      <c r="L1995" s="11">
        <f>((Table1[[#This Row],[launched_at]]/60)/60/24)+DATE(1970,1,1)</f>
        <v>42329.58839120371</v>
      </c>
      <c r="M1995">
        <f>MONTH(Table1[[#This Row],[Date Created Conversion]])</f>
        <v>11</v>
      </c>
      <c r="N1995">
        <f>YEAR(Table1[[#This Row],[Date Created Conversion]])</f>
        <v>2015</v>
      </c>
      <c r="O1995" t="b">
        <v>0</v>
      </c>
      <c r="P1995">
        <v>0</v>
      </c>
      <c r="Q1995" t="b">
        <v>0</v>
      </c>
      <c r="R1995" t="s">
        <v>8296</v>
      </c>
      <c r="S1995" s="6">
        <f>Table1[[#This Row],[pledged]]/Table1[[#This Row],[goal]]</f>
        <v>0</v>
      </c>
      <c r="T1995" s="8" t="str">
        <f>IF(Table1[[#This Row],[pledged]]=0,"no backers",Table1[[#This Row],[pledged]]/Table1[[#This Row],[backers_count]])</f>
        <v>no backers</v>
      </c>
      <c r="U1995" t="str">
        <f>LEFT(Table1[[#This Row],[Category and Sub-Category]],FIND("/",Table1[[#This Row],[Category and Sub-Category]])-1)</f>
        <v>photography</v>
      </c>
      <c r="V1995" t="str">
        <f>RIGHT(Table1[[#This Row],[Category and Sub-Category]],LEN(Table1[[#This Row],[Category and Sub-Category]])-FIND("/",Table1[[#This Row],[Category and Sub-Category]]))</f>
        <v>people</v>
      </c>
    </row>
    <row r="1996" spans="1:22" ht="57.6" x14ac:dyDescent="0.3">
      <c r="A1996">
        <v>1994</v>
      </c>
      <c r="B1996" s="3" t="s">
        <v>1995</v>
      </c>
      <c r="C1996" s="3" t="s">
        <v>6104</v>
      </c>
      <c r="D1996" s="12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>((Table1[[#This Row],[deadline]]/60)/60/24)+DATE(1970,1,1)</f>
        <v>42711.047939814816</v>
      </c>
      <c r="K1996">
        <v>1475885342</v>
      </c>
      <c r="L1996" s="11">
        <f>((Table1[[#This Row],[launched_at]]/60)/60/24)+DATE(1970,1,1)</f>
        <v>42651.006273148145</v>
      </c>
      <c r="M1996">
        <f>MONTH(Table1[[#This Row],[Date Created Conversion]])</f>
        <v>10</v>
      </c>
      <c r="N1996">
        <f>YEAR(Table1[[#This Row],[Date Created Conversion]])</f>
        <v>2016</v>
      </c>
      <c r="O1996" t="b">
        <v>0</v>
      </c>
      <c r="P1996">
        <v>0</v>
      </c>
      <c r="Q1996" t="b">
        <v>0</v>
      </c>
      <c r="R1996" t="s">
        <v>8296</v>
      </c>
      <c r="S1996" s="6">
        <f>Table1[[#This Row],[pledged]]/Table1[[#This Row],[goal]]</f>
        <v>0</v>
      </c>
      <c r="T1996" s="8" t="str">
        <f>IF(Table1[[#This Row],[pledged]]=0,"no backers",Table1[[#This Row],[pledged]]/Table1[[#This Row],[backers_count]])</f>
        <v>no backers</v>
      </c>
      <c r="U1996" t="str">
        <f>LEFT(Table1[[#This Row],[Category and Sub-Category]],FIND("/",Table1[[#This Row],[Category and Sub-Category]])-1)</f>
        <v>photography</v>
      </c>
      <c r="V1996" t="str">
        <f>RIGHT(Table1[[#This Row],[Category and Sub-Category]],LEN(Table1[[#This Row],[Category and Sub-Category]])-FIND("/",Table1[[#This Row],[Category and Sub-Category]]))</f>
        <v>people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 s="12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>((Table1[[#This Row],[deadline]]/60)/60/24)+DATE(1970,1,1)</f>
        <v>42201.902037037042</v>
      </c>
      <c r="K1997">
        <v>1435354736</v>
      </c>
      <c r="L1997" s="11">
        <f>((Table1[[#This Row],[launched_at]]/60)/60/24)+DATE(1970,1,1)</f>
        <v>42181.902037037042</v>
      </c>
      <c r="M1997">
        <f>MONTH(Table1[[#This Row],[Date Created Conversion]])</f>
        <v>6</v>
      </c>
      <c r="N1997">
        <f>YEAR(Table1[[#This Row],[Date Created Conversion]])</f>
        <v>2015</v>
      </c>
      <c r="O1997" t="b">
        <v>0</v>
      </c>
      <c r="P1997">
        <v>3</v>
      </c>
      <c r="Q1997" t="b">
        <v>0</v>
      </c>
      <c r="R1997" t="s">
        <v>8296</v>
      </c>
      <c r="S1997" s="6">
        <f>Table1[[#This Row],[pledged]]/Table1[[#This Row],[goal]]</f>
        <v>7.8E-2</v>
      </c>
      <c r="T1997" s="8">
        <f>IF(Table1[[#This Row],[pledged]]=0,"no backers",Table1[[#This Row],[pledged]]/Table1[[#This Row],[backers_count]])</f>
        <v>26</v>
      </c>
      <c r="U1997" t="str">
        <f>LEFT(Table1[[#This Row],[Category and Sub-Category]],FIND("/",Table1[[#This Row],[Category and Sub-Category]])-1)</f>
        <v>photography</v>
      </c>
      <c r="V1997" t="str">
        <f>RIGHT(Table1[[#This Row],[Category and Sub-Category]],LEN(Table1[[#This Row],[Category and Sub-Category]])-FIND("/",Table1[[#This Row],[Category and Sub-Category]]))</f>
        <v>people</v>
      </c>
    </row>
    <row r="1998" spans="1:22" ht="57.6" x14ac:dyDescent="0.3">
      <c r="A1998">
        <v>1996</v>
      </c>
      <c r="B1998" s="3" t="s">
        <v>1997</v>
      </c>
      <c r="C1998" s="3" t="s">
        <v>6106</v>
      </c>
      <c r="D1998" s="12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>((Table1[[#This Row],[deadline]]/60)/60/24)+DATE(1970,1,1)</f>
        <v>41830.819571759261</v>
      </c>
      <c r="K1998">
        <v>1402429211</v>
      </c>
      <c r="L1998" s="11">
        <f>((Table1[[#This Row],[launched_at]]/60)/60/24)+DATE(1970,1,1)</f>
        <v>41800.819571759261</v>
      </c>
      <c r="M1998">
        <f>MONTH(Table1[[#This Row],[Date Created Conversion]])</f>
        <v>6</v>
      </c>
      <c r="N1998">
        <f>YEAR(Table1[[#This Row],[Date Created Conversion]])</f>
        <v>2014</v>
      </c>
      <c r="O1998" t="b">
        <v>0</v>
      </c>
      <c r="P1998">
        <v>0</v>
      </c>
      <c r="Q1998" t="b">
        <v>0</v>
      </c>
      <c r="R1998" t="s">
        <v>8296</v>
      </c>
      <c r="S1998" s="6">
        <f>Table1[[#This Row],[pledged]]/Table1[[#This Row],[goal]]</f>
        <v>0</v>
      </c>
      <c r="T1998" s="8" t="str">
        <f>IF(Table1[[#This Row],[pledged]]=0,"no backers",Table1[[#This Row],[pledged]]/Table1[[#This Row],[backers_count]])</f>
        <v>no backers</v>
      </c>
      <c r="U1998" t="str">
        <f>LEFT(Table1[[#This Row],[Category and Sub-Category]],FIND("/",Table1[[#This Row],[Category and Sub-Category]])-1)</f>
        <v>photography</v>
      </c>
      <c r="V1998" t="str">
        <f>RIGHT(Table1[[#This Row],[Category and Sub-Category]],LEN(Table1[[#This Row],[Category and Sub-Category]])-FIND("/",Table1[[#This Row],[Category and Sub-Category]]))</f>
        <v>people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 s="12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>((Table1[[#This Row],[deadline]]/60)/60/24)+DATE(1970,1,1)</f>
        <v>41877.930694444447</v>
      </c>
      <c r="K1999">
        <v>1406499612</v>
      </c>
      <c r="L1999" s="11">
        <f>((Table1[[#This Row],[launched_at]]/60)/60/24)+DATE(1970,1,1)</f>
        <v>41847.930694444447</v>
      </c>
      <c r="M1999">
        <f>MONTH(Table1[[#This Row],[Date Created Conversion]])</f>
        <v>7</v>
      </c>
      <c r="N1999">
        <f>YEAR(Table1[[#This Row],[Date Created Conversion]])</f>
        <v>2014</v>
      </c>
      <c r="O1999" t="b">
        <v>0</v>
      </c>
      <c r="P1999">
        <v>0</v>
      </c>
      <c r="Q1999" t="b">
        <v>0</v>
      </c>
      <c r="R1999" t="s">
        <v>8296</v>
      </c>
      <c r="S1999" s="6">
        <f>Table1[[#This Row],[pledged]]/Table1[[#This Row],[goal]]</f>
        <v>0</v>
      </c>
      <c r="T1999" s="8" t="str">
        <f>IF(Table1[[#This Row],[pledged]]=0,"no backers",Table1[[#This Row],[pledged]]/Table1[[#This Row],[backers_count]])</f>
        <v>no backers</v>
      </c>
      <c r="U1999" t="str">
        <f>LEFT(Table1[[#This Row],[Category and Sub-Category]],FIND("/",Table1[[#This Row],[Category and Sub-Category]])-1)</f>
        <v>photography</v>
      </c>
      <c r="V1999" t="str">
        <f>RIGHT(Table1[[#This Row],[Category and Sub-Category]],LEN(Table1[[#This Row],[Category and Sub-Category]])-FIND("/",Table1[[#This Row],[Category and Sub-Category]]))</f>
        <v>people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 s="12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>((Table1[[#This Row],[deadline]]/60)/60/24)+DATE(1970,1,1)</f>
        <v>41852.118495370371</v>
      </c>
      <c r="K2000">
        <v>1402973438</v>
      </c>
      <c r="L2000" s="11">
        <f>((Table1[[#This Row],[launched_at]]/60)/60/24)+DATE(1970,1,1)</f>
        <v>41807.118495370371</v>
      </c>
      <c r="M2000">
        <f>MONTH(Table1[[#This Row],[Date Created Conversion]])</f>
        <v>6</v>
      </c>
      <c r="N2000">
        <f>YEAR(Table1[[#This Row],[Date Created Conversion]])</f>
        <v>2014</v>
      </c>
      <c r="O2000" t="b">
        <v>0</v>
      </c>
      <c r="P2000">
        <v>3</v>
      </c>
      <c r="Q2000" t="b">
        <v>0</v>
      </c>
      <c r="R2000" t="s">
        <v>8296</v>
      </c>
      <c r="S2000" s="6">
        <f>Table1[[#This Row],[pledged]]/Table1[[#This Row],[goal]]</f>
        <v>0.26200000000000001</v>
      </c>
      <c r="T2000" s="8">
        <f>IF(Table1[[#This Row],[pledged]]=0,"no backers",Table1[[#This Row],[pledged]]/Table1[[#This Row],[backers_count]])</f>
        <v>218.33333333333334</v>
      </c>
      <c r="U2000" t="str">
        <f>LEFT(Table1[[#This Row],[Category and Sub-Category]],FIND("/",Table1[[#This Row],[Category and Sub-Category]])-1)</f>
        <v>photography</v>
      </c>
      <c r="V2000" t="str">
        <f>RIGHT(Table1[[#This Row],[Category and Sub-Category]],LEN(Table1[[#This Row],[Category and Sub-Category]])-FIND("/",Table1[[#This Row],[Category and Sub-Category]]))</f>
        <v>people</v>
      </c>
    </row>
    <row r="2001" spans="1:22" ht="43.2" x14ac:dyDescent="0.3">
      <c r="A2001">
        <v>1999</v>
      </c>
      <c r="B2001" s="3" t="s">
        <v>2000</v>
      </c>
      <c r="C2001" s="3" t="s">
        <v>6109</v>
      </c>
      <c r="D2001" s="12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>((Table1[[#This Row],[deadline]]/60)/60/24)+DATE(1970,1,1)</f>
        <v>41956.524398148147</v>
      </c>
      <c r="K2001">
        <v>1413286508</v>
      </c>
      <c r="L2001" s="11">
        <f>((Table1[[#This Row],[launched_at]]/60)/60/24)+DATE(1970,1,1)</f>
        <v>41926.482731481483</v>
      </c>
      <c r="M2001">
        <f>MONTH(Table1[[#This Row],[Date Created Conversion]])</f>
        <v>10</v>
      </c>
      <c r="N2001">
        <f>YEAR(Table1[[#This Row],[Date Created Conversion]])</f>
        <v>2014</v>
      </c>
      <c r="O2001" t="b">
        <v>0</v>
      </c>
      <c r="P2001">
        <v>7</v>
      </c>
      <c r="Q2001" t="b">
        <v>0</v>
      </c>
      <c r="R2001" t="s">
        <v>8296</v>
      </c>
      <c r="S2001" s="6">
        <f>Table1[[#This Row],[pledged]]/Table1[[#This Row],[goal]]</f>
        <v>7.6129032258064515E-3</v>
      </c>
      <c r="T2001" s="8">
        <f>IF(Table1[[#This Row],[pledged]]=0,"no backers",Table1[[#This Row],[pledged]]/Table1[[#This Row],[backers_count]])</f>
        <v>33.714285714285715</v>
      </c>
      <c r="U2001" t="str">
        <f>LEFT(Table1[[#This Row],[Category and Sub-Category]],FIND("/",Table1[[#This Row],[Category and Sub-Category]])-1)</f>
        <v>photography</v>
      </c>
      <c r="V2001" t="str">
        <f>RIGHT(Table1[[#This Row],[Category and Sub-Category]],LEN(Table1[[#This Row],[Category and Sub-Category]])-FIND("/",Table1[[#This Row],[Category and Sub-Category]]))</f>
        <v>people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 s="1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>((Table1[[#This Row],[deadline]]/60)/60/24)+DATE(1970,1,1)</f>
        <v>42375.951539351852</v>
      </c>
      <c r="K2002">
        <v>1449528613</v>
      </c>
      <c r="L2002" s="11">
        <f>((Table1[[#This Row],[launched_at]]/60)/60/24)+DATE(1970,1,1)</f>
        <v>42345.951539351852</v>
      </c>
      <c r="M2002">
        <f>MONTH(Table1[[#This Row],[Date Created Conversion]])</f>
        <v>12</v>
      </c>
      <c r="N2002">
        <f>YEAR(Table1[[#This Row],[Date Created Conversion]])</f>
        <v>2015</v>
      </c>
      <c r="O2002" t="b">
        <v>0</v>
      </c>
      <c r="P2002">
        <v>25</v>
      </c>
      <c r="Q2002" t="b">
        <v>0</v>
      </c>
      <c r="R2002" t="s">
        <v>8296</v>
      </c>
      <c r="S2002" s="6">
        <f>Table1[[#This Row],[pledged]]/Table1[[#This Row],[goal]]</f>
        <v>0.125</v>
      </c>
      <c r="T2002" s="8">
        <f>IF(Table1[[#This Row],[pledged]]=0,"no backers",Table1[[#This Row],[pledged]]/Table1[[#This Row],[backers_count]])</f>
        <v>25</v>
      </c>
      <c r="U2002" t="str">
        <f>LEFT(Table1[[#This Row],[Category and Sub-Category]],FIND("/",Table1[[#This Row],[Category and Sub-Category]])-1)</f>
        <v>photography</v>
      </c>
      <c r="V2002" t="str">
        <f>RIGHT(Table1[[#This Row],[Category and Sub-Category]],LEN(Table1[[#This Row],[Category and Sub-Category]])-FIND("/",Table1[[#This Row],[Category and Sub-Category]]))</f>
        <v>people</v>
      </c>
    </row>
    <row r="2003" spans="1:22" ht="43.2" x14ac:dyDescent="0.3">
      <c r="A2003">
        <v>2001</v>
      </c>
      <c r="B2003" s="3" t="s">
        <v>2002</v>
      </c>
      <c r="C2003" s="3" t="s">
        <v>6111</v>
      </c>
      <c r="D2003" s="12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>((Table1[[#This Row],[deadline]]/60)/60/24)+DATE(1970,1,1)</f>
        <v>42167.833333333328</v>
      </c>
      <c r="K2003">
        <v>1431406916</v>
      </c>
      <c r="L2003" s="11">
        <f>((Table1[[#This Row],[launched_at]]/60)/60/24)+DATE(1970,1,1)</f>
        <v>42136.209675925929</v>
      </c>
      <c r="M2003">
        <f>MONTH(Table1[[#This Row],[Date Created Conversion]])</f>
        <v>5</v>
      </c>
      <c r="N2003">
        <f>YEAR(Table1[[#This Row],[Date Created Conversion]])</f>
        <v>2015</v>
      </c>
      <c r="O2003" t="b">
        <v>1</v>
      </c>
      <c r="P2003">
        <v>1637</v>
      </c>
      <c r="Q2003" t="b">
        <v>1</v>
      </c>
      <c r="R2003" t="s">
        <v>8295</v>
      </c>
      <c r="S2003" s="6">
        <f>Table1[[#This Row],[pledged]]/Table1[[#This Row],[goal]]</f>
        <v>3.8212909090909091</v>
      </c>
      <c r="T2003" s="8">
        <f>IF(Table1[[#This Row],[pledged]]=0,"no backers",Table1[[#This Row],[pledged]]/Table1[[#This Row],[backers_count]])</f>
        <v>128.38790470372632</v>
      </c>
      <c r="U2003" t="str">
        <f>LEFT(Table1[[#This Row],[Category and Sub-Category]],FIND("/",Table1[[#This Row],[Category and Sub-Category]])-1)</f>
        <v>technology</v>
      </c>
      <c r="V2003" t="str">
        <f>RIGHT(Table1[[#This Row],[Category and Sub-Category]],LEN(Table1[[#This Row],[Category and Sub-Category]])-FIND("/",Table1[[#This Row],[Category and Sub-Category]]))</f>
        <v>hardware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 s="12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>((Table1[[#This Row],[deadline]]/60)/60/24)+DATE(1970,1,1)</f>
        <v>42758.71230324074</v>
      </c>
      <c r="K2004">
        <v>1482599143</v>
      </c>
      <c r="L2004" s="11">
        <f>((Table1[[#This Row],[launched_at]]/60)/60/24)+DATE(1970,1,1)</f>
        <v>42728.71230324074</v>
      </c>
      <c r="M2004">
        <f>MONTH(Table1[[#This Row],[Date Created Conversion]])</f>
        <v>12</v>
      </c>
      <c r="N2004">
        <f>YEAR(Table1[[#This Row],[Date Created Conversion]])</f>
        <v>2016</v>
      </c>
      <c r="O2004" t="b">
        <v>1</v>
      </c>
      <c r="P2004">
        <v>1375</v>
      </c>
      <c r="Q2004" t="b">
        <v>1</v>
      </c>
      <c r="R2004" t="s">
        <v>8295</v>
      </c>
      <c r="S2004" s="6">
        <f>Table1[[#This Row],[pledged]]/Table1[[#This Row],[goal]]</f>
        <v>2.1679422000000002</v>
      </c>
      <c r="T2004" s="8">
        <f>IF(Table1[[#This Row],[pledged]]=0,"no backers",Table1[[#This Row],[pledged]]/Table1[[#This Row],[backers_count]])</f>
        <v>78.834261818181815</v>
      </c>
      <c r="U2004" t="str">
        <f>LEFT(Table1[[#This Row],[Category and Sub-Category]],FIND("/",Table1[[#This Row],[Category and Sub-Category]])-1)</f>
        <v>technology</v>
      </c>
      <c r="V2004" t="str">
        <f>RIGHT(Table1[[#This Row],[Category and Sub-Category]],LEN(Table1[[#This Row],[Category and Sub-Category]])-FIND("/",Table1[[#This Row],[Category and Sub-Category]]))</f>
        <v>hardware</v>
      </c>
    </row>
    <row r="2005" spans="1:22" ht="57.6" x14ac:dyDescent="0.3">
      <c r="A2005">
        <v>2003</v>
      </c>
      <c r="B2005" s="3" t="s">
        <v>2004</v>
      </c>
      <c r="C2005" s="3" t="s">
        <v>6113</v>
      </c>
      <c r="D2005" s="12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>((Table1[[#This Row],[deadline]]/60)/60/24)+DATE(1970,1,1)</f>
        <v>40361.958333333336</v>
      </c>
      <c r="K2005">
        <v>1276830052</v>
      </c>
      <c r="L2005" s="11">
        <f>((Table1[[#This Row],[launched_at]]/60)/60/24)+DATE(1970,1,1)</f>
        <v>40347.125601851854</v>
      </c>
      <c r="M2005">
        <f>MONTH(Table1[[#This Row],[Date Created Conversion]])</f>
        <v>6</v>
      </c>
      <c r="N2005">
        <f>YEAR(Table1[[#This Row],[Date Created Conversion]])</f>
        <v>2010</v>
      </c>
      <c r="O2005" t="b">
        <v>1</v>
      </c>
      <c r="P2005">
        <v>17</v>
      </c>
      <c r="Q2005" t="b">
        <v>1</v>
      </c>
      <c r="R2005" t="s">
        <v>8295</v>
      </c>
      <c r="S2005" s="6">
        <f>Table1[[#This Row],[pledged]]/Table1[[#This Row],[goal]]</f>
        <v>3.12</v>
      </c>
      <c r="T2005" s="8">
        <f>IF(Table1[[#This Row],[pledged]]=0,"no backers",Table1[[#This Row],[pledged]]/Table1[[#This Row],[backers_count]])</f>
        <v>91.764705882352942</v>
      </c>
      <c r="U2005" t="str">
        <f>LEFT(Table1[[#This Row],[Category and Sub-Category]],FIND("/",Table1[[#This Row],[Category and Sub-Category]])-1)</f>
        <v>technology</v>
      </c>
      <c r="V2005" t="str">
        <f>RIGHT(Table1[[#This Row],[Category and Sub-Category]],LEN(Table1[[#This Row],[Category and Sub-Category]])-FIND("/",Table1[[#This Row],[Category and Sub-Category]]))</f>
        <v>hardware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 s="12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>((Table1[[#This Row],[deadline]]/60)/60/24)+DATE(1970,1,1)</f>
        <v>41830.604895833334</v>
      </c>
      <c r="K2006">
        <v>1402410663</v>
      </c>
      <c r="L2006" s="11">
        <f>((Table1[[#This Row],[launched_at]]/60)/60/24)+DATE(1970,1,1)</f>
        <v>41800.604895833334</v>
      </c>
      <c r="M2006">
        <f>MONTH(Table1[[#This Row],[Date Created Conversion]])</f>
        <v>6</v>
      </c>
      <c r="N2006">
        <f>YEAR(Table1[[#This Row],[Date Created Conversion]])</f>
        <v>2014</v>
      </c>
      <c r="O2006" t="b">
        <v>1</v>
      </c>
      <c r="P2006">
        <v>354</v>
      </c>
      <c r="Q2006" t="b">
        <v>1</v>
      </c>
      <c r="R2006" t="s">
        <v>8295</v>
      </c>
      <c r="S2006" s="6">
        <f>Table1[[#This Row],[pledged]]/Table1[[#This Row],[goal]]</f>
        <v>2.3442048</v>
      </c>
      <c r="T2006" s="8">
        <f>IF(Table1[[#This Row],[pledged]]=0,"no backers",Table1[[#This Row],[pledged]]/Table1[[#This Row],[backers_count]])</f>
        <v>331.10237288135596</v>
      </c>
      <c r="U2006" t="str">
        <f>LEFT(Table1[[#This Row],[Category and Sub-Category]],FIND("/",Table1[[#This Row],[Category and Sub-Category]])-1)</f>
        <v>technology</v>
      </c>
      <c r="V2006" t="str">
        <f>RIGHT(Table1[[#This Row],[Category and Sub-Category]],LEN(Table1[[#This Row],[Category and Sub-Category]])-FIND("/",Table1[[#This Row],[Category and Sub-Category]]))</f>
        <v>hardware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 s="12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>((Table1[[#This Row],[deadline]]/60)/60/24)+DATE(1970,1,1)</f>
        <v>41563.165972222225</v>
      </c>
      <c r="K2007">
        <v>1379532618</v>
      </c>
      <c r="L2007" s="11">
        <f>((Table1[[#This Row],[launched_at]]/60)/60/24)+DATE(1970,1,1)</f>
        <v>41535.812708333331</v>
      </c>
      <c r="M2007">
        <f>MONTH(Table1[[#This Row],[Date Created Conversion]])</f>
        <v>9</v>
      </c>
      <c r="N2007">
        <f>YEAR(Table1[[#This Row],[Date Created Conversion]])</f>
        <v>2013</v>
      </c>
      <c r="O2007" t="b">
        <v>1</v>
      </c>
      <c r="P2007">
        <v>191</v>
      </c>
      <c r="Q2007" t="b">
        <v>1</v>
      </c>
      <c r="R2007" t="s">
        <v>8295</v>
      </c>
      <c r="S2007" s="6">
        <f>Table1[[#This Row],[pledged]]/Table1[[#This Row],[goal]]</f>
        <v>1.236801</v>
      </c>
      <c r="T2007" s="8">
        <f>IF(Table1[[#This Row],[pledged]]=0,"no backers",Table1[[#This Row],[pledged]]/Table1[[#This Row],[backers_count]])</f>
        <v>194.26193717277485</v>
      </c>
      <c r="U2007" t="str">
        <f>LEFT(Table1[[#This Row],[Category and Sub-Category]],FIND("/",Table1[[#This Row],[Category and Sub-Category]])-1)</f>
        <v>technology</v>
      </c>
      <c r="V2007" t="str">
        <f>RIGHT(Table1[[#This Row],[Category and Sub-Category]],LEN(Table1[[#This Row],[Category and Sub-Category]])-FIND("/",Table1[[#This Row],[Category and Sub-Category]]))</f>
        <v>hardware</v>
      </c>
    </row>
    <row r="2008" spans="1:22" ht="57.6" x14ac:dyDescent="0.3">
      <c r="A2008">
        <v>2006</v>
      </c>
      <c r="B2008" s="3" t="s">
        <v>2007</v>
      </c>
      <c r="C2008" s="3" t="s">
        <v>6116</v>
      </c>
      <c r="D2008" s="12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>((Table1[[#This Row],[deadline]]/60)/60/24)+DATE(1970,1,1)</f>
        <v>41976.542187500003</v>
      </c>
      <c r="K2008">
        <v>1414584045</v>
      </c>
      <c r="L2008" s="11">
        <f>((Table1[[#This Row],[launched_at]]/60)/60/24)+DATE(1970,1,1)</f>
        <v>41941.500520833331</v>
      </c>
      <c r="M2008">
        <f>MONTH(Table1[[#This Row],[Date Created Conversion]])</f>
        <v>10</v>
      </c>
      <c r="N2008">
        <f>YEAR(Table1[[#This Row],[Date Created Conversion]])</f>
        <v>2014</v>
      </c>
      <c r="O2008" t="b">
        <v>1</v>
      </c>
      <c r="P2008">
        <v>303</v>
      </c>
      <c r="Q2008" t="b">
        <v>1</v>
      </c>
      <c r="R2008" t="s">
        <v>8295</v>
      </c>
      <c r="S2008" s="6">
        <f>Table1[[#This Row],[pledged]]/Table1[[#This Row],[goal]]</f>
        <v>2.4784000000000002</v>
      </c>
      <c r="T2008" s="8">
        <f>IF(Table1[[#This Row],[pledged]]=0,"no backers",Table1[[#This Row],[pledged]]/Table1[[#This Row],[backers_count]])</f>
        <v>408.97689768976898</v>
      </c>
      <c r="U2008" t="str">
        <f>LEFT(Table1[[#This Row],[Category and Sub-Category]],FIND("/",Table1[[#This Row],[Category and Sub-Category]])-1)</f>
        <v>technology</v>
      </c>
      <c r="V2008" t="str">
        <f>RIGHT(Table1[[#This Row],[Category and Sub-Category]],LEN(Table1[[#This Row],[Category and Sub-Category]])-FIND("/",Table1[[#This Row],[Category and Sub-Category]]))</f>
        <v>hardware</v>
      </c>
    </row>
    <row r="2009" spans="1:22" ht="57.6" x14ac:dyDescent="0.3">
      <c r="A2009">
        <v>2007</v>
      </c>
      <c r="B2009" s="3" t="s">
        <v>2008</v>
      </c>
      <c r="C2009" s="3" t="s">
        <v>6117</v>
      </c>
      <c r="D2009" s="12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>((Table1[[#This Row],[deadline]]/60)/60/24)+DATE(1970,1,1)</f>
        <v>40414.166666666664</v>
      </c>
      <c r="K2009">
        <v>1276891586</v>
      </c>
      <c r="L2009" s="11">
        <f>((Table1[[#This Row],[launched_at]]/60)/60/24)+DATE(1970,1,1)</f>
        <v>40347.837800925925</v>
      </c>
      <c r="M2009">
        <f>MONTH(Table1[[#This Row],[Date Created Conversion]])</f>
        <v>6</v>
      </c>
      <c r="N2009">
        <f>YEAR(Table1[[#This Row],[Date Created Conversion]])</f>
        <v>2010</v>
      </c>
      <c r="O2009" t="b">
        <v>1</v>
      </c>
      <c r="P2009">
        <v>137</v>
      </c>
      <c r="Q2009" t="b">
        <v>1</v>
      </c>
      <c r="R2009" t="s">
        <v>8295</v>
      </c>
      <c r="S2009" s="6">
        <f>Table1[[#This Row],[pledged]]/Table1[[#This Row],[goal]]</f>
        <v>1.157092</v>
      </c>
      <c r="T2009" s="8">
        <f>IF(Table1[[#This Row],[pledged]]=0,"no backers",Table1[[#This Row],[pledged]]/Table1[[#This Row],[backers_count]])</f>
        <v>84.459270072992695</v>
      </c>
      <c r="U2009" t="str">
        <f>LEFT(Table1[[#This Row],[Category and Sub-Category]],FIND("/",Table1[[#This Row],[Category and Sub-Category]])-1)</f>
        <v>technology</v>
      </c>
      <c r="V2009" t="str">
        <f>RIGHT(Table1[[#This Row],[Category and Sub-Category]],LEN(Table1[[#This Row],[Category and Sub-Category]])-FIND("/",Table1[[#This Row],[Category and Sub-Category]]))</f>
        <v>hardware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 s="12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>((Table1[[#This Row],[deadline]]/60)/60/24)+DATE(1970,1,1)</f>
        <v>40805.604421296295</v>
      </c>
      <c r="K2010">
        <v>1312641022</v>
      </c>
      <c r="L2010" s="11">
        <f>((Table1[[#This Row],[launched_at]]/60)/60/24)+DATE(1970,1,1)</f>
        <v>40761.604421296295</v>
      </c>
      <c r="M2010">
        <f>MONTH(Table1[[#This Row],[Date Created Conversion]])</f>
        <v>8</v>
      </c>
      <c r="N2010">
        <f>YEAR(Table1[[#This Row],[Date Created Conversion]])</f>
        <v>2011</v>
      </c>
      <c r="O2010" t="b">
        <v>1</v>
      </c>
      <c r="P2010">
        <v>41</v>
      </c>
      <c r="Q2010" t="b">
        <v>1</v>
      </c>
      <c r="R2010" t="s">
        <v>8295</v>
      </c>
      <c r="S2010" s="6">
        <f>Table1[[#This Row],[pledged]]/Table1[[#This Row],[goal]]</f>
        <v>1.1707484768810599</v>
      </c>
      <c r="T2010" s="8">
        <f>IF(Table1[[#This Row],[pledged]]=0,"no backers",Table1[[#This Row],[pledged]]/Table1[[#This Row],[backers_count]])</f>
        <v>44.853658536585364</v>
      </c>
      <c r="U2010" t="str">
        <f>LEFT(Table1[[#This Row],[Category and Sub-Category]],FIND("/",Table1[[#This Row],[Category and Sub-Category]])-1)</f>
        <v>technology</v>
      </c>
      <c r="V2010" t="str">
        <f>RIGHT(Table1[[#This Row],[Category and Sub-Category]],LEN(Table1[[#This Row],[Category and Sub-Category]])-FIND("/",Table1[[#This Row],[Category and Sub-Category]]))</f>
        <v>hardware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 s="12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>((Table1[[#This Row],[deadline]]/60)/60/24)+DATE(1970,1,1)</f>
        <v>42697.365081018521</v>
      </c>
      <c r="K2011">
        <v>1476776743</v>
      </c>
      <c r="L2011" s="11">
        <f>((Table1[[#This Row],[launched_at]]/60)/60/24)+DATE(1970,1,1)</f>
        <v>42661.323414351849</v>
      </c>
      <c r="M2011">
        <f>MONTH(Table1[[#This Row],[Date Created Conversion]])</f>
        <v>10</v>
      </c>
      <c r="N2011">
        <f>YEAR(Table1[[#This Row],[Date Created Conversion]])</f>
        <v>2016</v>
      </c>
      <c r="O2011" t="b">
        <v>1</v>
      </c>
      <c r="P2011">
        <v>398</v>
      </c>
      <c r="Q2011" t="b">
        <v>1</v>
      </c>
      <c r="R2011" t="s">
        <v>8295</v>
      </c>
      <c r="S2011" s="6">
        <f>Table1[[#This Row],[pledged]]/Table1[[#This Row],[goal]]</f>
        <v>3.05158</v>
      </c>
      <c r="T2011" s="8">
        <f>IF(Table1[[#This Row],[pledged]]=0,"no backers",Table1[[#This Row],[pledged]]/Table1[[#This Row],[backers_count]])</f>
        <v>383.3643216080402</v>
      </c>
      <c r="U2011" t="str">
        <f>LEFT(Table1[[#This Row],[Category and Sub-Category]],FIND("/",Table1[[#This Row],[Category and Sub-Category]])-1)</f>
        <v>technology</v>
      </c>
      <c r="V2011" t="str">
        <f>RIGHT(Table1[[#This Row],[Category and Sub-Category]],LEN(Table1[[#This Row],[Category and Sub-Category]])-FIND("/",Table1[[#This Row],[Category and Sub-Category]]))</f>
        <v>hardware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 s="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>((Table1[[#This Row],[deadline]]/60)/60/24)+DATE(1970,1,1)</f>
        <v>42600.996423611112</v>
      </c>
      <c r="K2012">
        <v>1468972491</v>
      </c>
      <c r="L2012" s="11">
        <f>((Table1[[#This Row],[launched_at]]/60)/60/24)+DATE(1970,1,1)</f>
        <v>42570.996423611112</v>
      </c>
      <c r="M2012">
        <f>MONTH(Table1[[#This Row],[Date Created Conversion]])</f>
        <v>7</v>
      </c>
      <c r="N2012">
        <f>YEAR(Table1[[#This Row],[Date Created Conversion]])</f>
        <v>2016</v>
      </c>
      <c r="O2012" t="b">
        <v>1</v>
      </c>
      <c r="P2012">
        <v>1737</v>
      </c>
      <c r="Q2012" t="b">
        <v>1</v>
      </c>
      <c r="R2012" t="s">
        <v>8295</v>
      </c>
      <c r="S2012" s="6">
        <f>Table1[[#This Row],[pledged]]/Table1[[#This Row],[goal]]</f>
        <v>3.2005299999999997</v>
      </c>
      <c r="T2012" s="8">
        <f>IF(Table1[[#This Row],[pledged]]=0,"no backers",Table1[[#This Row],[pledged]]/Table1[[#This Row],[backers_count]])</f>
        <v>55.276856649395505</v>
      </c>
      <c r="U2012" t="str">
        <f>LEFT(Table1[[#This Row],[Category and Sub-Category]],FIND("/",Table1[[#This Row],[Category and Sub-Category]])-1)</f>
        <v>technology</v>
      </c>
      <c r="V2012" t="str">
        <f>RIGHT(Table1[[#This Row],[Category and Sub-Category]],LEN(Table1[[#This Row],[Category and Sub-Category]])-FIND("/",Table1[[#This Row],[Category and Sub-Category]]))</f>
        <v>hardware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 s="12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>((Table1[[#This Row],[deadline]]/60)/60/24)+DATE(1970,1,1)</f>
        <v>42380.958333333328</v>
      </c>
      <c r="K2013">
        <v>1449650173</v>
      </c>
      <c r="L2013" s="11">
        <f>((Table1[[#This Row],[launched_at]]/60)/60/24)+DATE(1970,1,1)</f>
        <v>42347.358483796299</v>
      </c>
      <c r="M2013">
        <f>MONTH(Table1[[#This Row],[Date Created Conversion]])</f>
        <v>12</v>
      </c>
      <c r="N2013">
        <f>YEAR(Table1[[#This Row],[Date Created Conversion]])</f>
        <v>2015</v>
      </c>
      <c r="O2013" t="b">
        <v>1</v>
      </c>
      <c r="P2013">
        <v>971</v>
      </c>
      <c r="Q2013" t="b">
        <v>1</v>
      </c>
      <c r="R2013" t="s">
        <v>8295</v>
      </c>
      <c r="S2013" s="6">
        <f>Table1[[#This Row],[pledged]]/Table1[[#This Row],[goal]]</f>
        <v>8.1956399999999991</v>
      </c>
      <c r="T2013" s="8">
        <f>IF(Table1[[#This Row],[pledged]]=0,"no backers",Table1[[#This Row],[pledged]]/Table1[[#This Row],[backers_count]])</f>
        <v>422.02059732234807</v>
      </c>
      <c r="U2013" t="str">
        <f>LEFT(Table1[[#This Row],[Category and Sub-Category]],FIND("/",Table1[[#This Row],[Category and Sub-Category]])-1)</f>
        <v>technology</v>
      </c>
      <c r="V2013" t="str">
        <f>RIGHT(Table1[[#This Row],[Category and Sub-Category]],LEN(Table1[[#This Row],[Category and Sub-Category]])-FIND("/",Table1[[#This Row],[Category and Sub-Category]]))</f>
        <v>hardware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 s="12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>((Table1[[#This Row],[deadline]]/60)/60/24)+DATE(1970,1,1)</f>
        <v>42040.822233796294</v>
      </c>
      <c r="K2014">
        <v>1420573441</v>
      </c>
      <c r="L2014" s="11">
        <f>((Table1[[#This Row],[launched_at]]/60)/60/24)+DATE(1970,1,1)</f>
        <v>42010.822233796294</v>
      </c>
      <c r="M2014">
        <f>MONTH(Table1[[#This Row],[Date Created Conversion]])</f>
        <v>1</v>
      </c>
      <c r="N2014">
        <f>YEAR(Table1[[#This Row],[Date Created Conversion]])</f>
        <v>2015</v>
      </c>
      <c r="O2014" t="b">
        <v>1</v>
      </c>
      <c r="P2014">
        <v>183</v>
      </c>
      <c r="Q2014" t="b">
        <v>1</v>
      </c>
      <c r="R2014" t="s">
        <v>8295</v>
      </c>
      <c r="S2014" s="6">
        <f>Table1[[#This Row],[pledged]]/Table1[[#This Row],[goal]]</f>
        <v>2.3490000000000002</v>
      </c>
      <c r="T2014" s="8">
        <f>IF(Table1[[#This Row],[pledged]]=0,"no backers",Table1[[#This Row],[pledged]]/Table1[[#This Row],[backers_count]])</f>
        <v>64.180327868852459</v>
      </c>
      <c r="U2014" t="str">
        <f>LEFT(Table1[[#This Row],[Category and Sub-Category]],FIND("/",Table1[[#This Row],[Category and Sub-Category]])-1)</f>
        <v>technology</v>
      </c>
      <c r="V2014" t="str">
        <f>RIGHT(Table1[[#This Row],[Category and Sub-Category]],LEN(Table1[[#This Row],[Category and Sub-Category]])-FIND("/",Table1[[#This Row],[Category and Sub-Category]]))</f>
        <v>hardware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 s="12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>((Table1[[#This Row],[deadline]]/60)/60/24)+DATE(1970,1,1)</f>
        <v>42559.960810185185</v>
      </c>
      <c r="K2015">
        <v>1462835014</v>
      </c>
      <c r="L2015" s="11">
        <f>((Table1[[#This Row],[launched_at]]/60)/60/24)+DATE(1970,1,1)</f>
        <v>42499.960810185185</v>
      </c>
      <c r="M2015">
        <f>MONTH(Table1[[#This Row],[Date Created Conversion]])</f>
        <v>5</v>
      </c>
      <c r="N2015">
        <f>YEAR(Table1[[#This Row],[Date Created Conversion]])</f>
        <v>2016</v>
      </c>
      <c r="O2015" t="b">
        <v>1</v>
      </c>
      <c r="P2015">
        <v>4562</v>
      </c>
      <c r="Q2015" t="b">
        <v>1</v>
      </c>
      <c r="R2015" t="s">
        <v>8295</v>
      </c>
      <c r="S2015" s="6">
        <f>Table1[[#This Row],[pledged]]/Table1[[#This Row],[goal]]</f>
        <v>4.9491375</v>
      </c>
      <c r="T2015" s="8">
        <f>IF(Table1[[#This Row],[pledged]]=0,"no backers",Table1[[#This Row],[pledged]]/Table1[[#This Row],[backers_count]])</f>
        <v>173.57781674704077</v>
      </c>
      <c r="U2015" t="str">
        <f>LEFT(Table1[[#This Row],[Category and Sub-Category]],FIND("/",Table1[[#This Row],[Category and Sub-Category]])-1)</f>
        <v>technology</v>
      </c>
      <c r="V2015" t="str">
        <f>RIGHT(Table1[[#This Row],[Category and Sub-Category]],LEN(Table1[[#This Row],[Category and Sub-Category]])-FIND("/",Table1[[#This Row],[Category and Sub-Category]]))</f>
        <v>hardware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 s="12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>((Table1[[#This Row],[deadline]]/60)/60/24)+DATE(1970,1,1)</f>
        <v>41358.172905092593</v>
      </c>
      <c r="K2016">
        <v>1361250539</v>
      </c>
      <c r="L2016" s="11">
        <f>((Table1[[#This Row],[launched_at]]/60)/60/24)+DATE(1970,1,1)</f>
        <v>41324.214571759258</v>
      </c>
      <c r="M2016">
        <f>MONTH(Table1[[#This Row],[Date Created Conversion]])</f>
        <v>2</v>
      </c>
      <c r="N2016">
        <f>YEAR(Table1[[#This Row],[Date Created Conversion]])</f>
        <v>2013</v>
      </c>
      <c r="O2016" t="b">
        <v>1</v>
      </c>
      <c r="P2016">
        <v>26457</v>
      </c>
      <c r="Q2016" t="b">
        <v>1</v>
      </c>
      <c r="R2016" t="s">
        <v>8295</v>
      </c>
      <c r="S2016" s="6">
        <f>Table1[[#This Row],[pledged]]/Table1[[#This Row],[goal]]</f>
        <v>78.137822333333332</v>
      </c>
      <c r="T2016" s="8">
        <f>IF(Table1[[#This Row],[pledged]]=0,"no backers",Table1[[#This Row],[pledged]]/Table1[[#This Row],[backers_count]])</f>
        <v>88.601680840609291</v>
      </c>
      <c r="U2016" t="str">
        <f>LEFT(Table1[[#This Row],[Category and Sub-Category]],FIND("/",Table1[[#This Row],[Category and Sub-Category]])-1)</f>
        <v>technology</v>
      </c>
      <c r="V2016" t="str">
        <f>RIGHT(Table1[[#This Row],[Category and Sub-Category]],LEN(Table1[[#This Row],[Category and Sub-Category]])-FIND("/",Table1[[#This Row],[Category and Sub-Category]]))</f>
        <v>hardware</v>
      </c>
    </row>
    <row r="2017" spans="1:22" ht="43.2" x14ac:dyDescent="0.3">
      <c r="A2017">
        <v>2015</v>
      </c>
      <c r="B2017" s="3" t="s">
        <v>2016</v>
      </c>
      <c r="C2017" s="3" t="s">
        <v>6125</v>
      </c>
      <c r="D2017" s="12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>((Table1[[#This Row],[deadline]]/60)/60/24)+DATE(1970,1,1)</f>
        <v>40795.876886574071</v>
      </c>
      <c r="K2017">
        <v>1313010163</v>
      </c>
      <c r="L2017" s="11">
        <f>((Table1[[#This Row],[launched_at]]/60)/60/24)+DATE(1970,1,1)</f>
        <v>40765.876886574071</v>
      </c>
      <c r="M2017">
        <f>MONTH(Table1[[#This Row],[Date Created Conversion]])</f>
        <v>8</v>
      </c>
      <c r="N2017">
        <f>YEAR(Table1[[#This Row],[Date Created Conversion]])</f>
        <v>2011</v>
      </c>
      <c r="O2017" t="b">
        <v>1</v>
      </c>
      <c r="P2017">
        <v>162</v>
      </c>
      <c r="Q2017" t="b">
        <v>1</v>
      </c>
      <c r="R2017" t="s">
        <v>8295</v>
      </c>
      <c r="S2017" s="6">
        <f>Table1[[#This Row],[pledged]]/Table1[[#This Row],[goal]]</f>
        <v>1.1300013888888889</v>
      </c>
      <c r="T2017" s="8">
        <f>IF(Table1[[#This Row],[pledged]]=0,"no backers",Table1[[#This Row],[pledged]]/Table1[[#This Row],[backers_count]])</f>
        <v>50.222283950617282</v>
      </c>
      <c r="U2017" t="str">
        <f>LEFT(Table1[[#This Row],[Category and Sub-Category]],FIND("/",Table1[[#This Row],[Category and Sub-Category]])-1)</f>
        <v>technology</v>
      </c>
      <c r="V2017" t="str">
        <f>RIGHT(Table1[[#This Row],[Category and Sub-Category]],LEN(Table1[[#This Row],[Category and Sub-Category]])-FIND("/",Table1[[#This Row],[Category and Sub-Category]]))</f>
        <v>hardware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 s="12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>((Table1[[#This Row],[deadline]]/60)/60/24)+DATE(1970,1,1)</f>
        <v>41342.88077546296</v>
      </c>
      <c r="K2018">
        <v>1360271299</v>
      </c>
      <c r="L2018" s="11">
        <f>((Table1[[#This Row],[launched_at]]/60)/60/24)+DATE(1970,1,1)</f>
        <v>41312.88077546296</v>
      </c>
      <c r="M2018">
        <f>MONTH(Table1[[#This Row],[Date Created Conversion]])</f>
        <v>2</v>
      </c>
      <c r="N2018">
        <f>YEAR(Table1[[#This Row],[Date Created Conversion]])</f>
        <v>2013</v>
      </c>
      <c r="O2018" t="b">
        <v>1</v>
      </c>
      <c r="P2018">
        <v>479</v>
      </c>
      <c r="Q2018" t="b">
        <v>1</v>
      </c>
      <c r="R2018" t="s">
        <v>8295</v>
      </c>
      <c r="S2018" s="6">
        <f>Table1[[#This Row],[pledged]]/Table1[[#This Row],[goal]]</f>
        <v>9.2154220000000002</v>
      </c>
      <c r="T2018" s="8">
        <f>IF(Table1[[#This Row],[pledged]]=0,"no backers",Table1[[#This Row],[pledged]]/Table1[[#This Row],[backers_count]])</f>
        <v>192.38876826722338</v>
      </c>
      <c r="U2018" t="str">
        <f>LEFT(Table1[[#This Row],[Category and Sub-Category]],FIND("/",Table1[[#This Row],[Category and Sub-Category]])-1)</f>
        <v>technology</v>
      </c>
      <c r="V2018" t="str">
        <f>RIGHT(Table1[[#This Row],[Category and Sub-Category]],LEN(Table1[[#This Row],[Category and Sub-Category]])-FIND("/",Table1[[#This Row],[Category and Sub-Category]]))</f>
        <v>hardware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 s="12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>((Table1[[#This Row],[deadline]]/60)/60/24)+DATE(1970,1,1)</f>
        <v>40992.166666666664</v>
      </c>
      <c r="K2019">
        <v>1329873755</v>
      </c>
      <c r="L2019" s="11">
        <f>((Table1[[#This Row],[launched_at]]/60)/60/24)+DATE(1970,1,1)</f>
        <v>40961.057349537034</v>
      </c>
      <c r="M2019">
        <f>MONTH(Table1[[#This Row],[Date Created Conversion]])</f>
        <v>2</v>
      </c>
      <c r="N2019">
        <f>YEAR(Table1[[#This Row],[Date Created Conversion]])</f>
        <v>2012</v>
      </c>
      <c r="O2019" t="b">
        <v>1</v>
      </c>
      <c r="P2019">
        <v>426</v>
      </c>
      <c r="Q2019" t="b">
        <v>1</v>
      </c>
      <c r="R2019" t="s">
        <v>8295</v>
      </c>
      <c r="S2019" s="6">
        <f>Table1[[#This Row],[pledged]]/Table1[[#This Row],[goal]]</f>
        <v>1.2510239999999999</v>
      </c>
      <c r="T2019" s="8">
        <f>IF(Table1[[#This Row],[pledged]]=0,"no backers",Table1[[#This Row],[pledged]]/Table1[[#This Row],[backers_count]])</f>
        <v>73.416901408450698</v>
      </c>
      <c r="U2019" t="str">
        <f>LEFT(Table1[[#This Row],[Category and Sub-Category]],FIND("/",Table1[[#This Row],[Category and Sub-Category]])-1)</f>
        <v>technology</v>
      </c>
      <c r="V2019" t="str">
        <f>RIGHT(Table1[[#This Row],[Category and Sub-Category]],LEN(Table1[[#This Row],[Category and Sub-Category]])-FIND("/",Table1[[#This Row],[Category and Sub-Category]]))</f>
        <v>hardware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 s="12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>((Table1[[#This Row],[deadline]]/60)/60/24)+DATE(1970,1,1)</f>
        <v>42229.365844907406</v>
      </c>
      <c r="K2020">
        <v>1436863609</v>
      </c>
      <c r="L2020" s="11">
        <f>((Table1[[#This Row],[launched_at]]/60)/60/24)+DATE(1970,1,1)</f>
        <v>42199.365844907406</v>
      </c>
      <c r="M2020">
        <f>MONTH(Table1[[#This Row],[Date Created Conversion]])</f>
        <v>7</v>
      </c>
      <c r="N2020">
        <f>YEAR(Table1[[#This Row],[Date Created Conversion]])</f>
        <v>2015</v>
      </c>
      <c r="O2020" t="b">
        <v>1</v>
      </c>
      <c r="P2020">
        <v>450</v>
      </c>
      <c r="Q2020" t="b">
        <v>1</v>
      </c>
      <c r="R2020" t="s">
        <v>8295</v>
      </c>
      <c r="S2020" s="6">
        <f>Table1[[#This Row],[pledged]]/Table1[[#This Row],[goal]]</f>
        <v>1.0224343076923077</v>
      </c>
      <c r="T2020" s="8">
        <f>IF(Table1[[#This Row],[pledged]]=0,"no backers",Table1[[#This Row],[pledged]]/Table1[[#This Row],[backers_count]])</f>
        <v>147.68495555555555</v>
      </c>
      <c r="U2020" t="str">
        <f>LEFT(Table1[[#This Row],[Category and Sub-Category]],FIND("/",Table1[[#This Row],[Category and Sub-Category]])-1)</f>
        <v>technology</v>
      </c>
      <c r="V2020" t="str">
        <f>RIGHT(Table1[[#This Row],[Category and Sub-Category]],LEN(Table1[[#This Row],[Category and Sub-Category]])-FIND("/",Table1[[#This Row],[Category and Sub-Category]]))</f>
        <v>hardware</v>
      </c>
    </row>
    <row r="2021" spans="1:22" ht="57.6" x14ac:dyDescent="0.3">
      <c r="A2021">
        <v>2019</v>
      </c>
      <c r="B2021" s="3" t="s">
        <v>2020</v>
      </c>
      <c r="C2021" s="3" t="s">
        <v>6129</v>
      </c>
      <c r="D2021" s="12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>((Table1[[#This Row],[deadline]]/60)/60/24)+DATE(1970,1,1)</f>
        <v>42635.70857638889</v>
      </c>
      <c r="K2021">
        <v>1471971621</v>
      </c>
      <c r="L2021" s="11">
        <f>((Table1[[#This Row],[launched_at]]/60)/60/24)+DATE(1970,1,1)</f>
        <v>42605.70857638889</v>
      </c>
      <c r="M2021">
        <f>MONTH(Table1[[#This Row],[Date Created Conversion]])</f>
        <v>8</v>
      </c>
      <c r="N2021">
        <f>YEAR(Table1[[#This Row],[Date Created Conversion]])</f>
        <v>2016</v>
      </c>
      <c r="O2021" t="b">
        <v>1</v>
      </c>
      <c r="P2021">
        <v>1780</v>
      </c>
      <c r="Q2021" t="b">
        <v>1</v>
      </c>
      <c r="R2021" t="s">
        <v>8295</v>
      </c>
      <c r="S2021" s="6">
        <f>Table1[[#This Row],[pledged]]/Table1[[#This Row],[goal]]</f>
        <v>4.8490975000000001</v>
      </c>
      <c r="T2021" s="8">
        <f>IF(Table1[[#This Row],[pledged]]=0,"no backers",Table1[[#This Row],[pledged]]/Table1[[#This Row],[backers_count]])</f>
        <v>108.96848314606741</v>
      </c>
      <c r="U2021" t="str">
        <f>LEFT(Table1[[#This Row],[Category and Sub-Category]],FIND("/",Table1[[#This Row],[Category and Sub-Category]])-1)</f>
        <v>technology</v>
      </c>
      <c r="V2021" t="str">
        <f>RIGHT(Table1[[#This Row],[Category and Sub-Category]],LEN(Table1[[#This Row],[Category and Sub-Category]])-FIND("/",Table1[[#This Row],[Category and Sub-Category]]))</f>
        <v>hardware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 s="1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>((Table1[[#This Row],[deadline]]/60)/60/24)+DATE(1970,1,1)</f>
        <v>41773.961111111108</v>
      </c>
      <c r="K2022">
        <v>1396923624</v>
      </c>
      <c r="L2022" s="11">
        <f>((Table1[[#This Row],[launched_at]]/60)/60/24)+DATE(1970,1,1)</f>
        <v>41737.097499999996</v>
      </c>
      <c r="M2022">
        <f>MONTH(Table1[[#This Row],[Date Created Conversion]])</f>
        <v>4</v>
      </c>
      <c r="N2022">
        <f>YEAR(Table1[[#This Row],[Date Created Conversion]])</f>
        <v>2014</v>
      </c>
      <c r="O2022" t="b">
        <v>1</v>
      </c>
      <c r="P2022">
        <v>122</v>
      </c>
      <c r="Q2022" t="b">
        <v>1</v>
      </c>
      <c r="R2022" t="s">
        <v>8295</v>
      </c>
      <c r="S2022" s="6">
        <f>Table1[[#This Row],[pledged]]/Table1[[#This Row],[goal]]</f>
        <v>1.9233333333333333</v>
      </c>
      <c r="T2022" s="8">
        <f>IF(Table1[[#This Row],[pledged]]=0,"no backers",Table1[[#This Row],[pledged]]/Table1[[#This Row],[backers_count]])</f>
        <v>23.647540983606557</v>
      </c>
      <c r="U2022" t="str">
        <f>LEFT(Table1[[#This Row],[Category and Sub-Category]],FIND("/",Table1[[#This Row],[Category and Sub-Category]])-1)</f>
        <v>technology</v>
      </c>
      <c r="V2022" t="str">
        <f>RIGHT(Table1[[#This Row],[Category and Sub-Category]],LEN(Table1[[#This Row],[Category and Sub-Category]])-FIND("/",Table1[[#This Row],[Category and Sub-Category]]))</f>
        <v>hardware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 s="12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>((Table1[[#This Row],[deadline]]/60)/60/24)+DATE(1970,1,1)</f>
        <v>41906.070567129631</v>
      </c>
      <c r="K2023">
        <v>1407634897</v>
      </c>
      <c r="L2023" s="11">
        <f>((Table1[[#This Row],[launched_at]]/60)/60/24)+DATE(1970,1,1)</f>
        <v>41861.070567129631</v>
      </c>
      <c r="M2023">
        <f>MONTH(Table1[[#This Row],[Date Created Conversion]])</f>
        <v>8</v>
      </c>
      <c r="N2023">
        <f>YEAR(Table1[[#This Row],[Date Created Conversion]])</f>
        <v>2014</v>
      </c>
      <c r="O2023" t="b">
        <v>1</v>
      </c>
      <c r="P2023">
        <v>95</v>
      </c>
      <c r="Q2023" t="b">
        <v>1</v>
      </c>
      <c r="R2023" t="s">
        <v>8295</v>
      </c>
      <c r="S2023" s="6">
        <f>Table1[[#This Row],[pledged]]/Table1[[#This Row],[goal]]</f>
        <v>2.8109999999999999</v>
      </c>
      <c r="T2023" s="8">
        <f>IF(Table1[[#This Row],[pledged]]=0,"no backers",Table1[[#This Row],[pledged]]/Table1[[#This Row],[backers_count]])</f>
        <v>147.94736842105263</v>
      </c>
      <c r="U2023" t="str">
        <f>LEFT(Table1[[#This Row],[Category and Sub-Category]],FIND("/",Table1[[#This Row],[Category and Sub-Category]])-1)</f>
        <v>technology</v>
      </c>
      <c r="V2023" t="str">
        <f>RIGHT(Table1[[#This Row],[Category and Sub-Category]],LEN(Table1[[#This Row],[Category and Sub-Category]])-FIND("/",Table1[[#This Row],[Category and Sub-Category]]))</f>
        <v>hardware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 s="12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>((Table1[[#This Row],[deadline]]/60)/60/24)+DATE(1970,1,1)</f>
        <v>42532.569120370375</v>
      </c>
      <c r="K2024">
        <v>1463060372</v>
      </c>
      <c r="L2024" s="11">
        <f>((Table1[[#This Row],[launched_at]]/60)/60/24)+DATE(1970,1,1)</f>
        <v>42502.569120370375</v>
      </c>
      <c r="M2024">
        <f>MONTH(Table1[[#This Row],[Date Created Conversion]])</f>
        <v>5</v>
      </c>
      <c r="N2024">
        <f>YEAR(Table1[[#This Row],[Date Created Conversion]])</f>
        <v>2016</v>
      </c>
      <c r="O2024" t="b">
        <v>1</v>
      </c>
      <c r="P2024">
        <v>325</v>
      </c>
      <c r="Q2024" t="b">
        <v>1</v>
      </c>
      <c r="R2024" t="s">
        <v>8295</v>
      </c>
      <c r="S2024" s="6">
        <f>Table1[[#This Row],[pledged]]/Table1[[#This Row],[goal]]</f>
        <v>1.2513700000000001</v>
      </c>
      <c r="T2024" s="8">
        <f>IF(Table1[[#This Row],[pledged]]=0,"no backers",Table1[[#This Row],[pledged]]/Table1[[#This Row],[backers_count]])</f>
        <v>385.03692307692307</v>
      </c>
      <c r="U2024" t="str">
        <f>LEFT(Table1[[#This Row],[Category and Sub-Category]],FIND("/",Table1[[#This Row],[Category and Sub-Category]])-1)</f>
        <v>technology</v>
      </c>
      <c r="V2024" t="str">
        <f>RIGHT(Table1[[#This Row],[Category and Sub-Category]],LEN(Table1[[#This Row],[Category and Sub-Category]])-FIND("/",Table1[[#This Row],[Category and Sub-Category]]))</f>
        <v>hardware</v>
      </c>
    </row>
    <row r="2025" spans="1:22" ht="57.6" x14ac:dyDescent="0.3">
      <c r="A2025">
        <v>2023</v>
      </c>
      <c r="B2025" s="3" t="s">
        <v>2024</v>
      </c>
      <c r="C2025" s="3" t="s">
        <v>6133</v>
      </c>
      <c r="D2025" s="12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>((Table1[[#This Row],[deadline]]/60)/60/24)+DATE(1970,1,1)</f>
        <v>42166.420752314814</v>
      </c>
      <c r="K2025">
        <v>1431425153</v>
      </c>
      <c r="L2025" s="11">
        <f>((Table1[[#This Row],[launched_at]]/60)/60/24)+DATE(1970,1,1)</f>
        <v>42136.420752314814</v>
      </c>
      <c r="M2025">
        <f>MONTH(Table1[[#This Row],[Date Created Conversion]])</f>
        <v>5</v>
      </c>
      <c r="N2025">
        <f>YEAR(Table1[[#This Row],[Date Created Conversion]])</f>
        <v>2015</v>
      </c>
      <c r="O2025" t="b">
        <v>1</v>
      </c>
      <c r="P2025">
        <v>353</v>
      </c>
      <c r="Q2025" t="b">
        <v>1</v>
      </c>
      <c r="R2025" t="s">
        <v>8295</v>
      </c>
      <c r="S2025" s="6">
        <f>Table1[[#This Row],[pledged]]/Table1[[#This Row],[goal]]</f>
        <v>1.61459</v>
      </c>
      <c r="T2025" s="8">
        <f>IF(Table1[[#This Row],[pledged]]=0,"no backers",Table1[[#This Row],[pledged]]/Table1[[#This Row],[backers_count]])</f>
        <v>457.39093484419266</v>
      </c>
      <c r="U2025" t="str">
        <f>LEFT(Table1[[#This Row],[Category and Sub-Category]],FIND("/",Table1[[#This Row],[Category and Sub-Category]])-1)</f>
        <v>technology</v>
      </c>
      <c r="V2025" t="str">
        <f>RIGHT(Table1[[#This Row],[Category and Sub-Category]],LEN(Table1[[#This Row],[Category and Sub-Category]])-FIND("/",Table1[[#This Row],[Category and Sub-Category]]))</f>
        <v>hardware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 s="12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>((Table1[[#This Row],[deadline]]/60)/60/24)+DATE(1970,1,1)</f>
        <v>41134.125</v>
      </c>
      <c r="K2026">
        <v>1341875544</v>
      </c>
      <c r="L2026" s="11">
        <f>((Table1[[#This Row],[launched_at]]/60)/60/24)+DATE(1970,1,1)</f>
        <v>41099.966944444444</v>
      </c>
      <c r="M2026">
        <f>MONTH(Table1[[#This Row],[Date Created Conversion]])</f>
        <v>7</v>
      </c>
      <c r="N2026">
        <f>YEAR(Table1[[#This Row],[Date Created Conversion]])</f>
        <v>2012</v>
      </c>
      <c r="O2026" t="b">
        <v>1</v>
      </c>
      <c r="P2026">
        <v>105</v>
      </c>
      <c r="Q2026" t="b">
        <v>1</v>
      </c>
      <c r="R2026" t="s">
        <v>8295</v>
      </c>
      <c r="S2026" s="6">
        <f>Table1[[#This Row],[pledged]]/Table1[[#This Row],[goal]]</f>
        <v>5.8535000000000004</v>
      </c>
      <c r="T2026" s="8">
        <f>IF(Table1[[#This Row],[pledged]]=0,"no backers",Table1[[#This Row],[pledged]]/Table1[[#This Row],[backers_count]])</f>
        <v>222.99047619047619</v>
      </c>
      <c r="U2026" t="str">
        <f>LEFT(Table1[[#This Row],[Category and Sub-Category]],FIND("/",Table1[[#This Row],[Category and Sub-Category]])-1)</f>
        <v>technology</v>
      </c>
      <c r="V2026" t="str">
        <f>RIGHT(Table1[[#This Row],[Category and Sub-Category]],LEN(Table1[[#This Row],[Category and Sub-Category]])-FIND("/",Table1[[#This Row],[Category and Sub-Category]]))</f>
        <v>hardware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 s="12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>((Table1[[#This Row],[deadline]]/60)/60/24)+DATE(1970,1,1)</f>
        <v>42166.184560185182</v>
      </c>
      <c r="K2027">
        <v>1431404746</v>
      </c>
      <c r="L2027" s="11">
        <f>((Table1[[#This Row],[launched_at]]/60)/60/24)+DATE(1970,1,1)</f>
        <v>42136.184560185182</v>
      </c>
      <c r="M2027">
        <f>MONTH(Table1[[#This Row],[Date Created Conversion]])</f>
        <v>5</v>
      </c>
      <c r="N2027">
        <f>YEAR(Table1[[#This Row],[Date Created Conversion]])</f>
        <v>2015</v>
      </c>
      <c r="O2027" t="b">
        <v>1</v>
      </c>
      <c r="P2027">
        <v>729</v>
      </c>
      <c r="Q2027" t="b">
        <v>1</v>
      </c>
      <c r="R2027" t="s">
        <v>8295</v>
      </c>
      <c r="S2027" s="6">
        <f>Table1[[#This Row],[pledged]]/Table1[[#This Row],[goal]]</f>
        <v>2.0114999999999998</v>
      </c>
      <c r="T2027" s="8">
        <f>IF(Table1[[#This Row],[pledged]]=0,"no backers",Table1[[#This Row],[pledged]]/Table1[[#This Row],[backers_count]])</f>
        <v>220.74074074074073</v>
      </c>
      <c r="U2027" t="str">
        <f>LEFT(Table1[[#This Row],[Category and Sub-Category]],FIND("/",Table1[[#This Row],[Category and Sub-Category]])-1)</f>
        <v>technology</v>
      </c>
      <c r="V2027" t="str">
        <f>RIGHT(Table1[[#This Row],[Category and Sub-Category]],LEN(Table1[[#This Row],[Category and Sub-Category]])-FIND("/",Table1[[#This Row],[Category and Sub-Category]]))</f>
        <v>hardware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 s="12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>((Table1[[#This Row],[deadline]]/60)/60/24)+DATE(1970,1,1)</f>
        <v>41750.165972222225</v>
      </c>
      <c r="K2028">
        <v>1394127585</v>
      </c>
      <c r="L2028" s="11">
        <f>((Table1[[#This Row],[launched_at]]/60)/60/24)+DATE(1970,1,1)</f>
        <v>41704.735937500001</v>
      </c>
      <c r="M2028">
        <f>MONTH(Table1[[#This Row],[Date Created Conversion]])</f>
        <v>3</v>
      </c>
      <c r="N2028">
        <f>YEAR(Table1[[#This Row],[Date Created Conversion]])</f>
        <v>2014</v>
      </c>
      <c r="O2028" t="b">
        <v>1</v>
      </c>
      <c r="P2028">
        <v>454</v>
      </c>
      <c r="Q2028" t="b">
        <v>1</v>
      </c>
      <c r="R2028" t="s">
        <v>8295</v>
      </c>
      <c r="S2028" s="6">
        <f>Table1[[#This Row],[pledged]]/Table1[[#This Row],[goal]]</f>
        <v>1.3348307999999998</v>
      </c>
      <c r="T2028" s="8">
        <f>IF(Table1[[#This Row],[pledged]]=0,"no backers",Table1[[#This Row],[pledged]]/Table1[[#This Row],[backers_count]])</f>
        <v>73.503898678414089</v>
      </c>
      <c r="U2028" t="str">
        <f>LEFT(Table1[[#This Row],[Category and Sub-Category]],FIND("/",Table1[[#This Row],[Category and Sub-Category]])-1)</f>
        <v>technology</v>
      </c>
      <c r="V2028" t="str">
        <f>RIGHT(Table1[[#This Row],[Category and Sub-Category]],LEN(Table1[[#This Row],[Category and Sub-Category]])-FIND("/",Table1[[#This Row],[Category and Sub-Category]]))</f>
        <v>hardware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 s="12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>((Table1[[#This Row],[deadline]]/60)/60/24)+DATE(1970,1,1)</f>
        <v>42093.772210648152</v>
      </c>
      <c r="K2029">
        <v>1423855919</v>
      </c>
      <c r="L2029" s="11">
        <f>((Table1[[#This Row],[launched_at]]/60)/60/24)+DATE(1970,1,1)</f>
        <v>42048.813877314817</v>
      </c>
      <c r="M2029">
        <f>MONTH(Table1[[#This Row],[Date Created Conversion]])</f>
        <v>2</v>
      </c>
      <c r="N2029">
        <f>YEAR(Table1[[#This Row],[Date Created Conversion]])</f>
        <v>2015</v>
      </c>
      <c r="O2029" t="b">
        <v>1</v>
      </c>
      <c r="P2029">
        <v>539</v>
      </c>
      <c r="Q2029" t="b">
        <v>1</v>
      </c>
      <c r="R2029" t="s">
        <v>8295</v>
      </c>
      <c r="S2029" s="6">
        <f>Table1[[#This Row],[pledged]]/Table1[[#This Row],[goal]]</f>
        <v>1.2024900000000001</v>
      </c>
      <c r="T2029" s="8">
        <f>IF(Table1[[#This Row],[pledged]]=0,"no backers",Table1[[#This Row],[pledged]]/Table1[[#This Row],[backers_count]])</f>
        <v>223.09647495361781</v>
      </c>
      <c r="U2029" t="str">
        <f>LEFT(Table1[[#This Row],[Category and Sub-Category]],FIND("/",Table1[[#This Row],[Category and Sub-Category]])-1)</f>
        <v>technology</v>
      </c>
      <c r="V2029" t="str">
        <f>RIGHT(Table1[[#This Row],[Category and Sub-Category]],LEN(Table1[[#This Row],[Category and Sub-Category]])-FIND("/",Table1[[#This Row],[Category and Sub-Category]]))</f>
        <v>hardware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 s="12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>((Table1[[#This Row],[deadline]]/60)/60/24)+DATE(1970,1,1)</f>
        <v>40252.913194444445</v>
      </c>
      <c r="K2030">
        <v>1265493806</v>
      </c>
      <c r="L2030" s="11">
        <f>((Table1[[#This Row],[launched_at]]/60)/60/24)+DATE(1970,1,1)</f>
        <v>40215.919050925928</v>
      </c>
      <c r="M2030">
        <f>MONTH(Table1[[#This Row],[Date Created Conversion]])</f>
        <v>2</v>
      </c>
      <c r="N2030">
        <f>YEAR(Table1[[#This Row],[Date Created Conversion]])</f>
        <v>2010</v>
      </c>
      <c r="O2030" t="b">
        <v>1</v>
      </c>
      <c r="P2030">
        <v>79</v>
      </c>
      <c r="Q2030" t="b">
        <v>1</v>
      </c>
      <c r="R2030" t="s">
        <v>8295</v>
      </c>
      <c r="S2030" s="6">
        <f>Table1[[#This Row],[pledged]]/Table1[[#This Row],[goal]]</f>
        <v>1.2616666666666667</v>
      </c>
      <c r="T2030" s="8">
        <f>IF(Table1[[#This Row],[pledged]]=0,"no backers",Table1[[#This Row],[pledged]]/Table1[[#This Row],[backers_count]])</f>
        <v>47.911392405063289</v>
      </c>
      <c r="U2030" t="str">
        <f>LEFT(Table1[[#This Row],[Category and Sub-Category]],FIND("/",Table1[[#This Row],[Category and Sub-Category]])-1)</f>
        <v>technology</v>
      </c>
      <c r="V2030" t="str">
        <f>RIGHT(Table1[[#This Row],[Category and Sub-Category]],LEN(Table1[[#This Row],[Category and Sub-Category]])-FIND("/",Table1[[#This Row],[Category and Sub-Category]]))</f>
        <v>hardware</v>
      </c>
    </row>
    <row r="2031" spans="1:22" ht="43.2" x14ac:dyDescent="0.3">
      <c r="A2031">
        <v>2029</v>
      </c>
      <c r="B2031" s="3" t="s">
        <v>2030</v>
      </c>
      <c r="C2031" s="3" t="s">
        <v>6139</v>
      </c>
      <c r="D2031" s="12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>((Table1[[#This Row],[deadline]]/60)/60/24)+DATE(1970,1,1)</f>
        <v>41878.021770833337</v>
      </c>
      <c r="K2031">
        <v>1406507481</v>
      </c>
      <c r="L2031" s="11">
        <f>((Table1[[#This Row],[launched_at]]/60)/60/24)+DATE(1970,1,1)</f>
        <v>41848.021770833337</v>
      </c>
      <c r="M2031">
        <f>MONTH(Table1[[#This Row],[Date Created Conversion]])</f>
        <v>7</v>
      </c>
      <c r="N2031">
        <f>YEAR(Table1[[#This Row],[Date Created Conversion]])</f>
        <v>2014</v>
      </c>
      <c r="O2031" t="b">
        <v>1</v>
      </c>
      <c r="P2031">
        <v>94</v>
      </c>
      <c r="Q2031" t="b">
        <v>1</v>
      </c>
      <c r="R2031" t="s">
        <v>8295</v>
      </c>
      <c r="S2031" s="6">
        <f>Table1[[#This Row],[pledged]]/Table1[[#This Row],[goal]]</f>
        <v>3.6120000000000001</v>
      </c>
      <c r="T2031" s="8">
        <f>IF(Table1[[#This Row],[pledged]]=0,"no backers",Table1[[#This Row],[pledged]]/Table1[[#This Row],[backers_count]])</f>
        <v>96.063829787234042</v>
      </c>
      <c r="U2031" t="str">
        <f>LEFT(Table1[[#This Row],[Category and Sub-Category]],FIND("/",Table1[[#This Row],[Category and Sub-Category]])-1)</f>
        <v>technology</v>
      </c>
      <c r="V2031" t="str">
        <f>RIGHT(Table1[[#This Row],[Category and Sub-Category]],LEN(Table1[[#This Row],[Category and Sub-Category]])-FIND("/",Table1[[#This Row],[Category and Sub-Category]]))</f>
        <v>hardware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 s="1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>((Table1[[#This Row],[deadline]]/60)/60/24)+DATE(1970,1,1)</f>
        <v>41242.996481481481</v>
      </c>
      <c r="K2032">
        <v>1351641296</v>
      </c>
      <c r="L2032" s="11">
        <f>((Table1[[#This Row],[launched_at]]/60)/60/24)+DATE(1970,1,1)</f>
        <v>41212.996481481481</v>
      </c>
      <c r="M2032">
        <f>MONTH(Table1[[#This Row],[Date Created Conversion]])</f>
        <v>10</v>
      </c>
      <c r="N2032">
        <f>YEAR(Table1[[#This Row],[Date Created Conversion]])</f>
        <v>2012</v>
      </c>
      <c r="O2032" t="b">
        <v>1</v>
      </c>
      <c r="P2032">
        <v>625</v>
      </c>
      <c r="Q2032" t="b">
        <v>1</v>
      </c>
      <c r="R2032" t="s">
        <v>8295</v>
      </c>
      <c r="S2032" s="6">
        <f>Table1[[#This Row],[pledged]]/Table1[[#This Row],[goal]]</f>
        <v>2.26239013671875</v>
      </c>
      <c r="T2032" s="8">
        <f>IF(Table1[[#This Row],[pledged]]=0,"no backers",Table1[[#This Row],[pledged]]/Table1[[#This Row],[backers_count]])</f>
        <v>118.6144</v>
      </c>
      <c r="U2032" t="str">
        <f>LEFT(Table1[[#This Row],[Category and Sub-Category]],FIND("/",Table1[[#This Row],[Category and Sub-Category]])-1)</f>
        <v>technology</v>
      </c>
      <c r="V2032" t="str">
        <f>RIGHT(Table1[[#This Row],[Category and Sub-Category]],LEN(Table1[[#This Row],[Category and Sub-Category]])-FIND("/",Table1[[#This Row],[Category and Sub-Category]]))</f>
        <v>hardware</v>
      </c>
    </row>
    <row r="2033" spans="1:22" ht="43.2" x14ac:dyDescent="0.3">
      <c r="A2033">
        <v>2031</v>
      </c>
      <c r="B2033" s="3" t="s">
        <v>2032</v>
      </c>
      <c r="C2033" s="3" t="s">
        <v>6141</v>
      </c>
      <c r="D2033" s="12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>((Table1[[#This Row],[deadline]]/60)/60/24)+DATE(1970,1,1)</f>
        <v>42013.041666666672</v>
      </c>
      <c r="K2033">
        <v>1417506853</v>
      </c>
      <c r="L2033" s="11">
        <f>((Table1[[#This Row],[launched_at]]/60)/60/24)+DATE(1970,1,1)</f>
        <v>41975.329317129625</v>
      </c>
      <c r="M2033">
        <f>MONTH(Table1[[#This Row],[Date Created Conversion]])</f>
        <v>12</v>
      </c>
      <c r="N2033">
        <f>YEAR(Table1[[#This Row],[Date Created Conversion]])</f>
        <v>2014</v>
      </c>
      <c r="O2033" t="b">
        <v>1</v>
      </c>
      <c r="P2033">
        <v>508</v>
      </c>
      <c r="Q2033" t="b">
        <v>1</v>
      </c>
      <c r="R2033" t="s">
        <v>8295</v>
      </c>
      <c r="S2033" s="6">
        <f>Table1[[#This Row],[pledged]]/Table1[[#This Row],[goal]]</f>
        <v>1.2035</v>
      </c>
      <c r="T2033" s="8">
        <f>IF(Table1[[#This Row],[pledged]]=0,"no backers",Table1[[#This Row],[pledged]]/Table1[[#This Row],[backers_count]])</f>
        <v>118.45472440944881</v>
      </c>
      <c r="U2033" t="str">
        <f>LEFT(Table1[[#This Row],[Category and Sub-Category]],FIND("/",Table1[[#This Row],[Category and Sub-Category]])-1)</f>
        <v>technology</v>
      </c>
      <c r="V2033" t="str">
        <f>RIGHT(Table1[[#This Row],[Category and Sub-Category]],LEN(Table1[[#This Row],[Category and Sub-Category]])-FIND("/",Table1[[#This Row],[Category and Sub-Category]]))</f>
        <v>hardware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 s="12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>((Table1[[#This Row],[deadline]]/60)/60/24)+DATE(1970,1,1)</f>
        <v>42719.208333333328</v>
      </c>
      <c r="K2034">
        <v>1479216874</v>
      </c>
      <c r="L2034" s="11">
        <f>((Table1[[#This Row],[launched_at]]/60)/60/24)+DATE(1970,1,1)</f>
        <v>42689.565671296295</v>
      </c>
      <c r="M2034">
        <f>MONTH(Table1[[#This Row],[Date Created Conversion]])</f>
        <v>11</v>
      </c>
      <c r="N2034">
        <f>YEAR(Table1[[#This Row],[Date Created Conversion]])</f>
        <v>2016</v>
      </c>
      <c r="O2034" t="b">
        <v>1</v>
      </c>
      <c r="P2034">
        <v>531</v>
      </c>
      <c r="Q2034" t="b">
        <v>1</v>
      </c>
      <c r="R2034" t="s">
        <v>8295</v>
      </c>
      <c r="S2034" s="6">
        <f>Table1[[#This Row],[pledged]]/Table1[[#This Row],[goal]]</f>
        <v>3.0418799999999999</v>
      </c>
      <c r="T2034" s="8">
        <f>IF(Table1[[#This Row],[pledged]]=0,"no backers",Table1[[#This Row],[pledged]]/Table1[[#This Row],[backers_count]])</f>
        <v>143.21468926553672</v>
      </c>
      <c r="U2034" t="str">
        <f>LEFT(Table1[[#This Row],[Category and Sub-Category]],FIND("/",Table1[[#This Row],[Category and Sub-Category]])-1)</f>
        <v>technology</v>
      </c>
      <c r="V2034" t="str">
        <f>RIGHT(Table1[[#This Row],[Category and Sub-Category]],LEN(Table1[[#This Row],[Category and Sub-Category]])-FIND("/",Table1[[#This Row],[Category and Sub-Category]]))</f>
        <v>hardware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 s="12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>((Table1[[#This Row],[deadline]]/60)/60/24)+DATE(1970,1,1)</f>
        <v>41755.082384259258</v>
      </c>
      <c r="K2035">
        <v>1395885518</v>
      </c>
      <c r="L2035" s="11">
        <f>((Table1[[#This Row],[launched_at]]/60)/60/24)+DATE(1970,1,1)</f>
        <v>41725.082384259258</v>
      </c>
      <c r="M2035">
        <f>MONTH(Table1[[#This Row],[Date Created Conversion]])</f>
        <v>3</v>
      </c>
      <c r="N2035">
        <f>YEAR(Table1[[#This Row],[Date Created Conversion]])</f>
        <v>2014</v>
      </c>
      <c r="O2035" t="b">
        <v>1</v>
      </c>
      <c r="P2035">
        <v>158</v>
      </c>
      <c r="Q2035" t="b">
        <v>1</v>
      </c>
      <c r="R2035" t="s">
        <v>8295</v>
      </c>
      <c r="S2035" s="6">
        <f>Table1[[#This Row],[pledged]]/Table1[[#This Row],[goal]]</f>
        <v>1.7867599999999999</v>
      </c>
      <c r="T2035" s="8">
        <f>IF(Table1[[#This Row],[pledged]]=0,"no backers",Table1[[#This Row],[pledged]]/Table1[[#This Row],[backers_count]])</f>
        <v>282.71518987341773</v>
      </c>
      <c r="U2035" t="str">
        <f>LEFT(Table1[[#This Row],[Category and Sub-Category]],FIND("/",Table1[[#This Row],[Category and Sub-Category]])-1)</f>
        <v>technology</v>
      </c>
      <c r="V2035" t="str">
        <f>RIGHT(Table1[[#This Row],[Category and Sub-Category]],LEN(Table1[[#This Row],[Category and Sub-Category]])-FIND("/",Table1[[#This Row],[Category and Sub-Category]]))</f>
        <v>hardware</v>
      </c>
    </row>
    <row r="2036" spans="1:22" ht="57.6" x14ac:dyDescent="0.3">
      <c r="A2036">
        <v>2034</v>
      </c>
      <c r="B2036" s="3" t="s">
        <v>2035</v>
      </c>
      <c r="C2036" s="3" t="s">
        <v>6144</v>
      </c>
      <c r="D2036" s="12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>((Table1[[#This Row],[deadline]]/60)/60/24)+DATE(1970,1,1)</f>
        <v>42131.290277777778</v>
      </c>
      <c r="K2036">
        <v>1426216033</v>
      </c>
      <c r="L2036" s="11">
        <f>((Table1[[#This Row],[launched_at]]/60)/60/24)+DATE(1970,1,1)</f>
        <v>42076.130011574074</v>
      </c>
      <c r="M2036">
        <f>MONTH(Table1[[#This Row],[Date Created Conversion]])</f>
        <v>3</v>
      </c>
      <c r="N2036">
        <f>YEAR(Table1[[#This Row],[Date Created Conversion]])</f>
        <v>2015</v>
      </c>
      <c r="O2036" t="b">
        <v>1</v>
      </c>
      <c r="P2036">
        <v>508</v>
      </c>
      <c r="Q2036" t="b">
        <v>1</v>
      </c>
      <c r="R2036" t="s">
        <v>8295</v>
      </c>
      <c r="S2036" s="6">
        <f>Table1[[#This Row],[pledged]]/Table1[[#This Row],[goal]]</f>
        <v>3.868199871794872</v>
      </c>
      <c r="T2036" s="8">
        <f>IF(Table1[[#This Row],[pledged]]=0,"no backers",Table1[[#This Row],[pledged]]/Table1[[#This Row],[backers_count]])</f>
        <v>593.93620078740162</v>
      </c>
      <c r="U2036" t="str">
        <f>LEFT(Table1[[#This Row],[Category and Sub-Category]],FIND("/",Table1[[#This Row],[Category and Sub-Category]])-1)</f>
        <v>technology</v>
      </c>
      <c r="V2036" t="str">
        <f>RIGHT(Table1[[#This Row],[Category and Sub-Category]],LEN(Table1[[#This Row],[Category and Sub-Category]])-FIND("/",Table1[[#This Row],[Category and Sub-Category]]))</f>
        <v>hardware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 s="12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>((Table1[[#This Row],[deadline]]/60)/60/24)+DATE(1970,1,1)</f>
        <v>42357.041666666672</v>
      </c>
      <c r="K2037">
        <v>1446562807</v>
      </c>
      <c r="L2037" s="11">
        <f>((Table1[[#This Row],[launched_at]]/60)/60/24)+DATE(1970,1,1)</f>
        <v>42311.625081018516</v>
      </c>
      <c r="M2037">
        <f>MONTH(Table1[[#This Row],[Date Created Conversion]])</f>
        <v>11</v>
      </c>
      <c r="N2037">
        <f>YEAR(Table1[[#This Row],[Date Created Conversion]])</f>
        <v>2015</v>
      </c>
      <c r="O2037" t="b">
        <v>1</v>
      </c>
      <c r="P2037">
        <v>644</v>
      </c>
      <c r="Q2037" t="b">
        <v>1</v>
      </c>
      <c r="R2037" t="s">
        <v>8295</v>
      </c>
      <c r="S2037" s="6">
        <f>Table1[[#This Row],[pledged]]/Table1[[#This Row],[goal]]</f>
        <v>2.1103642500000004</v>
      </c>
      <c r="T2037" s="8">
        <f>IF(Table1[[#This Row],[pledged]]=0,"no backers",Table1[[#This Row],[pledged]]/Table1[[#This Row],[backers_count]])</f>
        <v>262.15704968944101</v>
      </c>
      <c r="U2037" t="str">
        <f>LEFT(Table1[[#This Row],[Category and Sub-Category]],FIND("/",Table1[[#This Row],[Category and Sub-Category]])-1)</f>
        <v>technology</v>
      </c>
      <c r="V2037" t="str">
        <f>RIGHT(Table1[[#This Row],[Category and Sub-Category]],LEN(Table1[[#This Row],[Category and Sub-Category]])-FIND("/",Table1[[#This Row],[Category and Sub-Category]]))</f>
        <v>hardware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 s="12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>((Table1[[#This Row],[deadline]]/60)/60/24)+DATE(1970,1,1)</f>
        <v>41768.864803240744</v>
      </c>
      <c r="K2038">
        <v>1397076319</v>
      </c>
      <c r="L2038" s="11">
        <f>((Table1[[#This Row],[launched_at]]/60)/60/24)+DATE(1970,1,1)</f>
        <v>41738.864803240744</v>
      </c>
      <c r="M2038">
        <f>MONTH(Table1[[#This Row],[Date Created Conversion]])</f>
        <v>4</v>
      </c>
      <c r="N2038">
        <f>YEAR(Table1[[#This Row],[Date Created Conversion]])</f>
        <v>2014</v>
      </c>
      <c r="O2038" t="b">
        <v>1</v>
      </c>
      <c r="P2038">
        <v>848</v>
      </c>
      <c r="Q2038" t="b">
        <v>1</v>
      </c>
      <c r="R2038" t="s">
        <v>8295</v>
      </c>
      <c r="S2038" s="6">
        <f>Table1[[#This Row],[pledged]]/Table1[[#This Row],[goal]]</f>
        <v>1.3166833333333334</v>
      </c>
      <c r="T2038" s="8">
        <f>IF(Table1[[#This Row],[pledged]]=0,"no backers",Table1[[#This Row],[pledged]]/Table1[[#This Row],[backers_count]])</f>
        <v>46.580778301886795</v>
      </c>
      <c r="U2038" t="str">
        <f>LEFT(Table1[[#This Row],[Category and Sub-Category]],FIND("/",Table1[[#This Row],[Category and Sub-Category]])-1)</f>
        <v>technology</v>
      </c>
      <c r="V2038" t="str">
        <f>RIGHT(Table1[[#This Row],[Category and Sub-Category]],LEN(Table1[[#This Row],[Category and Sub-Category]])-FIND("/",Table1[[#This Row],[Category and Sub-Category]]))</f>
        <v>hardware</v>
      </c>
    </row>
    <row r="2039" spans="1:22" ht="43.2" x14ac:dyDescent="0.3">
      <c r="A2039">
        <v>2037</v>
      </c>
      <c r="B2039" s="3" t="s">
        <v>2038</v>
      </c>
      <c r="C2039" s="3" t="s">
        <v>6147</v>
      </c>
      <c r="D2039" s="12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>((Table1[[#This Row],[deadline]]/60)/60/24)+DATE(1970,1,1)</f>
        <v>41638.251770833333</v>
      </c>
      <c r="K2039">
        <v>1383195753</v>
      </c>
      <c r="L2039" s="11">
        <f>((Table1[[#This Row],[launched_at]]/60)/60/24)+DATE(1970,1,1)</f>
        <v>41578.210104166668</v>
      </c>
      <c r="M2039">
        <f>MONTH(Table1[[#This Row],[Date Created Conversion]])</f>
        <v>10</v>
      </c>
      <c r="N2039">
        <f>YEAR(Table1[[#This Row],[Date Created Conversion]])</f>
        <v>2013</v>
      </c>
      <c r="O2039" t="b">
        <v>1</v>
      </c>
      <c r="P2039">
        <v>429</v>
      </c>
      <c r="Q2039" t="b">
        <v>1</v>
      </c>
      <c r="R2039" t="s">
        <v>8295</v>
      </c>
      <c r="S2039" s="6">
        <f>Table1[[#This Row],[pledged]]/Table1[[#This Row],[goal]]</f>
        <v>3.0047639999999998</v>
      </c>
      <c r="T2039" s="8">
        <f>IF(Table1[[#This Row],[pledged]]=0,"no backers",Table1[[#This Row],[pledged]]/Table1[[#This Row],[backers_count]])</f>
        <v>70.041118881118877</v>
      </c>
      <c r="U2039" t="str">
        <f>LEFT(Table1[[#This Row],[Category and Sub-Category]],FIND("/",Table1[[#This Row],[Category and Sub-Category]])-1)</f>
        <v>technology</v>
      </c>
      <c r="V2039" t="str">
        <f>RIGHT(Table1[[#This Row],[Category and Sub-Category]],LEN(Table1[[#This Row],[Category and Sub-Category]])-FIND("/",Table1[[#This Row],[Category and Sub-Category]]))</f>
        <v>hardware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 s="12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>((Table1[[#This Row],[deadline]]/60)/60/24)+DATE(1970,1,1)</f>
        <v>41456.75</v>
      </c>
      <c r="K2040">
        <v>1369895421</v>
      </c>
      <c r="L2040" s="11">
        <f>((Table1[[#This Row],[launched_at]]/60)/60/24)+DATE(1970,1,1)</f>
        <v>41424.27107638889</v>
      </c>
      <c r="M2040">
        <f>MONTH(Table1[[#This Row],[Date Created Conversion]])</f>
        <v>5</v>
      </c>
      <c r="N2040">
        <f>YEAR(Table1[[#This Row],[Date Created Conversion]])</f>
        <v>2013</v>
      </c>
      <c r="O2040" t="b">
        <v>1</v>
      </c>
      <c r="P2040">
        <v>204</v>
      </c>
      <c r="Q2040" t="b">
        <v>1</v>
      </c>
      <c r="R2040" t="s">
        <v>8295</v>
      </c>
      <c r="S2040" s="6">
        <f>Table1[[#This Row],[pledged]]/Table1[[#This Row],[goal]]</f>
        <v>4.2051249999999998</v>
      </c>
      <c r="T2040" s="8">
        <f>IF(Table1[[#This Row],[pledged]]=0,"no backers",Table1[[#This Row],[pledged]]/Table1[[#This Row],[backers_count]])</f>
        <v>164.90686274509804</v>
      </c>
      <c r="U2040" t="str">
        <f>LEFT(Table1[[#This Row],[Category and Sub-Category]],FIND("/",Table1[[#This Row],[Category and Sub-Category]])-1)</f>
        <v>technology</v>
      </c>
      <c r="V2040" t="str">
        <f>RIGHT(Table1[[#This Row],[Category and Sub-Category]],LEN(Table1[[#This Row],[Category and Sub-Category]])-FIND("/",Table1[[#This Row],[Category and Sub-Category]]))</f>
        <v>hardware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 s="12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>((Table1[[#This Row],[deadline]]/60)/60/24)+DATE(1970,1,1)</f>
        <v>42705.207638888889</v>
      </c>
      <c r="K2041">
        <v>1477996325</v>
      </c>
      <c r="L2041" s="11">
        <f>((Table1[[#This Row],[launched_at]]/60)/60/24)+DATE(1970,1,1)</f>
        <v>42675.438946759255</v>
      </c>
      <c r="M2041">
        <f>MONTH(Table1[[#This Row],[Date Created Conversion]])</f>
        <v>11</v>
      </c>
      <c r="N2041">
        <f>YEAR(Table1[[#This Row],[Date Created Conversion]])</f>
        <v>2016</v>
      </c>
      <c r="O2041" t="b">
        <v>1</v>
      </c>
      <c r="P2041">
        <v>379</v>
      </c>
      <c r="Q2041" t="b">
        <v>1</v>
      </c>
      <c r="R2041" t="s">
        <v>8295</v>
      </c>
      <c r="S2041" s="6">
        <f>Table1[[#This Row],[pledged]]/Table1[[#This Row],[goal]]</f>
        <v>1.362168</v>
      </c>
      <c r="T2041" s="8">
        <f>IF(Table1[[#This Row],[pledged]]=0,"no backers",Table1[[#This Row],[pledged]]/Table1[[#This Row],[backers_count]])</f>
        <v>449.26385224274406</v>
      </c>
      <c r="U2041" t="str">
        <f>LEFT(Table1[[#This Row],[Category and Sub-Category]],FIND("/",Table1[[#This Row],[Category and Sub-Category]])-1)</f>
        <v>technology</v>
      </c>
      <c r="V2041" t="str">
        <f>RIGHT(Table1[[#This Row],[Category and Sub-Category]],LEN(Table1[[#This Row],[Category and Sub-Category]])-FIND("/",Table1[[#This Row],[Category and Sub-Category]]))</f>
        <v>hardware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 s="1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>((Table1[[#This Row],[deadline]]/60)/60/24)+DATE(1970,1,1)</f>
        <v>41593.968784722223</v>
      </c>
      <c r="K2042">
        <v>1383257703</v>
      </c>
      <c r="L2042" s="11">
        <f>((Table1[[#This Row],[launched_at]]/60)/60/24)+DATE(1970,1,1)</f>
        <v>41578.927118055559</v>
      </c>
      <c r="M2042">
        <f>MONTH(Table1[[#This Row],[Date Created Conversion]])</f>
        <v>10</v>
      </c>
      <c r="N2042">
        <f>YEAR(Table1[[#This Row],[Date Created Conversion]])</f>
        <v>2013</v>
      </c>
      <c r="O2042" t="b">
        <v>1</v>
      </c>
      <c r="P2042">
        <v>271</v>
      </c>
      <c r="Q2042" t="b">
        <v>1</v>
      </c>
      <c r="R2042" t="s">
        <v>8295</v>
      </c>
      <c r="S2042" s="6">
        <f>Table1[[#This Row],[pledged]]/Table1[[#This Row],[goal]]</f>
        <v>2.4817133333333334</v>
      </c>
      <c r="T2042" s="8">
        <f>IF(Table1[[#This Row],[pledged]]=0,"no backers",Table1[[#This Row],[pledged]]/Table1[[#This Row],[backers_count]])</f>
        <v>27.472841328413285</v>
      </c>
      <c r="U2042" t="str">
        <f>LEFT(Table1[[#This Row],[Category and Sub-Category]],FIND("/",Table1[[#This Row],[Category and Sub-Category]])-1)</f>
        <v>technology</v>
      </c>
      <c r="V2042" t="str">
        <f>RIGHT(Table1[[#This Row],[Category and Sub-Category]],LEN(Table1[[#This Row],[Category and Sub-Category]])-FIND("/",Table1[[#This Row],[Category and Sub-Category]]))</f>
        <v>hardware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 s="12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>((Table1[[#This Row],[deadline]]/60)/60/24)+DATE(1970,1,1)</f>
        <v>42684.567442129628</v>
      </c>
      <c r="K2043">
        <v>1476189427</v>
      </c>
      <c r="L2043" s="11">
        <f>((Table1[[#This Row],[launched_at]]/60)/60/24)+DATE(1970,1,1)</f>
        <v>42654.525775462964</v>
      </c>
      <c r="M2043">
        <f>MONTH(Table1[[#This Row],[Date Created Conversion]])</f>
        <v>10</v>
      </c>
      <c r="N2043">
        <f>YEAR(Table1[[#This Row],[Date Created Conversion]])</f>
        <v>2016</v>
      </c>
      <c r="O2043" t="b">
        <v>0</v>
      </c>
      <c r="P2043">
        <v>120</v>
      </c>
      <c r="Q2043" t="b">
        <v>1</v>
      </c>
      <c r="R2043" t="s">
        <v>8295</v>
      </c>
      <c r="S2043" s="6">
        <f>Table1[[#This Row],[pledged]]/Table1[[#This Row],[goal]]</f>
        <v>1.8186315789473684</v>
      </c>
      <c r="T2043" s="8">
        <f>IF(Table1[[#This Row],[pledged]]=0,"no backers",Table1[[#This Row],[pledged]]/Table1[[#This Row],[backers_count]])</f>
        <v>143.97499999999999</v>
      </c>
      <c r="U2043" t="str">
        <f>LEFT(Table1[[#This Row],[Category and Sub-Category]],FIND("/",Table1[[#This Row],[Category and Sub-Category]])-1)</f>
        <v>technology</v>
      </c>
      <c r="V2043" t="str">
        <f>RIGHT(Table1[[#This Row],[Category and Sub-Category]],LEN(Table1[[#This Row],[Category and Sub-Category]])-FIND("/",Table1[[#This Row],[Category and Sub-Category]]))</f>
        <v>hardware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 s="12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>((Table1[[#This Row],[deadline]]/60)/60/24)+DATE(1970,1,1)</f>
        <v>42391.708032407405</v>
      </c>
      <c r="K2044">
        <v>1448297974</v>
      </c>
      <c r="L2044" s="11">
        <f>((Table1[[#This Row],[launched_at]]/60)/60/24)+DATE(1970,1,1)</f>
        <v>42331.708032407405</v>
      </c>
      <c r="M2044">
        <f>MONTH(Table1[[#This Row],[Date Created Conversion]])</f>
        <v>11</v>
      </c>
      <c r="N2044">
        <f>YEAR(Table1[[#This Row],[Date Created Conversion]])</f>
        <v>2015</v>
      </c>
      <c r="O2044" t="b">
        <v>0</v>
      </c>
      <c r="P2044">
        <v>140</v>
      </c>
      <c r="Q2044" t="b">
        <v>1</v>
      </c>
      <c r="R2044" t="s">
        <v>8295</v>
      </c>
      <c r="S2044" s="6">
        <f>Table1[[#This Row],[pledged]]/Table1[[#This Row],[goal]]</f>
        <v>1.2353000000000001</v>
      </c>
      <c r="T2044" s="8">
        <f>IF(Table1[[#This Row],[pledged]]=0,"no backers",Table1[[#This Row],[pledged]]/Table1[[#This Row],[backers_count]])</f>
        <v>88.23571428571428</v>
      </c>
      <c r="U2044" t="str">
        <f>LEFT(Table1[[#This Row],[Category and Sub-Category]],FIND("/",Table1[[#This Row],[Category and Sub-Category]])-1)</f>
        <v>technology</v>
      </c>
      <c r="V2044" t="str">
        <f>RIGHT(Table1[[#This Row],[Category and Sub-Category]],LEN(Table1[[#This Row],[Category and Sub-Category]])-FIND("/",Table1[[#This Row],[Category and Sub-Category]]))</f>
        <v>hardware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 s="12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>((Table1[[#This Row],[deadline]]/60)/60/24)+DATE(1970,1,1)</f>
        <v>42715.207638888889</v>
      </c>
      <c r="K2045">
        <v>1476764077</v>
      </c>
      <c r="L2045" s="11">
        <f>((Table1[[#This Row],[launched_at]]/60)/60/24)+DATE(1970,1,1)</f>
        <v>42661.176817129628</v>
      </c>
      <c r="M2045">
        <f>MONTH(Table1[[#This Row],[Date Created Conversion]])</f>
        <v>10</v>
      </c>
      <c r="N2045">
        <f>YEAR(Table1[[#This Row],[Date Created Conversion]])</f>
        <v>2016</v>
      </c>
      <c r="O2045" t="b">
        <v>0</v>
      </c>
      <c r="P2045">
        <v>193</v>
      </c>
      <c r="Q2045" t="b">
        <v>1</v>
      </c>
      <c r="R2045" t="s">
        <v>8295</v>
      </c>
      <c r="S2045" s="6">
        <f>Table1[[#This Row],[pledged]]/Table1[[#This Row],[goal]]</f>
        <v>5.0620938628158845</v>
      </c>
      <c r="T2045" s="8">
        <f>IF(Table1[[#This Row],[pledged]]=0,"no backers",Table1[[#This Row],[pledged]]/Table1[[#This Row],[backers_count]])</f>
        <v>36.326424870466319</v>
      </c>
      <c r="U2045" t="str">
        <f>LEFT(Table1[[#This Row],[Category and Sub-Category]],FIND("/",Table1[[#This Row],[Category and Sub-Category]])-1)</f>
        <v>technology</v>
      </c>
      <c r="V2045" t="str">
        <f>RIGHT(Table1[[#This Row],[Category and Sub-Category]],LEN(Table1[[#This Row],[Category and Sub-Category]])-FIND("/",Table1[[#This Row],[Category and Sub-Category]]))</f>
        <v>hardware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 s="12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>((Table1[[#This Row],[deadline]]/60)/60/24)+DATE(1970,1,1)</f>
        <v>42168.684189814812</v>
      </c>
      <c r="K2046">
        <v>1431620714</v>
      </c>
      <c r="L2046" s="11">
        <f>((Table1[[#This Row],[launched_at]]/60)/60/24)+DATE(1970,1,1)</f>
        <v>42138.684189814812</v>
      </c>
      <c r="M2046">
        <f>MONTH(Table1[[#This Row],[Date Created Conversion]])</f>
        <v>5</v>
      </c>
      <c r="N2046">
        <f>YEAR(Table1[[#This Row],[Date Created Conversion]])</f>
        <v>2015</v>
      </c>
      <c r="O2046" t="b">
        <v>0</v>
      </c>
      <c r="P2046">
        <v>180</v>
      </c>
      <c r="Q2046" t="b">
        <v>1</v>
      </c>
      <c r="R2046" t="s">
        <v>8295</v>
      </c>
      <c r="S2046" s="6">
        <f>Table1[[#This Row],[pledged]]/Table1[[#This Row],[goal]]</f>
        <v>1.0821333333333334</v>
      </c>
      <c r="T2046" s="8">
        <f>IF(Table1[[#This Row],[pledged]]=0,"no backers",Table1[[#This Row],[pledged]]/Table1[[#This Row],[backers_count]])</f>
        <v>90.177777777777777</v>
      </c>
      <c r="U2046" t="str">
        <f>LEFT(Table1[[#This Row],[Category and Sub-Category]],FIND("/",Table1[[#This Row],[Category and Sub-Category]])-1)</f>
        <v>technology</v>
      </c>
      <c r="V2046" t="str">
        <f>RIGHT(Table1[[#This Row],[Category and Sub-Category]],LEN(Table1[[#This Row],[Category and Sub-Category]])-FIND("/",Table1[[#This Row],[Category and Sub-Category]]))</f>
        <v>hardware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 s="12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>((Table1[[#This Row],[deadline]]/60)/60/24)+DATE(1970,1,1)</f>
        <v>41099.088506944441</v>
      </c>
      <c r="K2047">
        <v>1339207647</v>
      </c>
      <c r="L2047" s="11">
        <f>((Table1[[#This Row],[launched_at]]/60)/60/24)+DATE(1970,1,1)</f>
        <v>41069.088506944441</v>
      </c>
      <c r="M2047">
        <f>MONTH(Table1[[#This Row],[Date Created Conversion]])</f>
        <v>6</v>
      </c>
      <c r="N2047">
        <f>YEAR(Table1[[#This Row],[Date Created Conversion]])</f>
        <v>2012</v>
      </c>
      <c r="O2047" t="b">
        <v>0</v>
      </c>
      <c r="P2047">
        <v>263</v>
      </c>
      <c r="Q2047" t="b">
        <v>1</v>
      </c>
      <c r="R2047" t="s">
        <v>8295</v>
      </c>
      <c r="S2047" s="6">
        <f>Table1[[#This Row],[pledged]]/Table1[[#This Row],[goal]]</f>
        <v>8.1918387755102042</v>
      </c>
      <c r="T2047" s="8">
        <f>IF(Table1[[#This Row],[pledged]]=0,"no backers",Table1[[#This Row],[pledged]]/Table1[[#This Row],[backers_count]])</f>
        <v>152.62361216730039</v>
      </c>
      <c r="U2047" t="str">
        <f>LEFT(Table1[[#This Row],[Category and Sub-Category]],FIND("/",Table1[[#This Row],[Category and Sub-Category]])-1)</f>
        <v>technology</v>
      </c>
      <c r="V2047" t="str">
        <f>RIGHT(Table1[[#This Row],[Category and Sub-Category]],LEN(Table1[[#This Row],[Category and Sub-Category]])-FIND("/",Table1[[#This Row],[Category and Sub-Category]]))</f>
        <v>hardware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 s="12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>((Table1[[#This Row],[deadline]]/60)/60/24)+DATE(1970,1,1)</f>
        <v>41417.171805555554</v>
      </c>
      <c r="K2048">
        <v>1366690044</v>
      </c>
      <c r="L2048" s="11">
        <f>((Table1[[#This Row],[launched_at]]/60)/60/24)+DATE(1970,1,1)</f>
        <v>41387.171805555554</v>
      </c>
      <c r="M2048">
        <f>MONTH(Table1[[#This Row],[Date Created Conversion]])</f>
        <v>4</v>
      </c>
      <c r="N2048">
        <f>YEAR(Table1[[#This Row],[Date Created Conversion]])</f>
        <v>2013</v>
      </c>
      <c r="O2048" t="b">
        <v>0</v>
      </c>
      <c r="P2048">
        <v>217</v>
      </c>
      <c r="Q2048" t="b">
        <v>1</v>
      </c>
      <c r="R2048" t="s">
        <v>8295</v>
      </c>
      <c r="S2048" s="6">
        <f>Table1[[#This Row],[pledged]]/Table1[[#This Row],[goal]]</f>
        <v>1.2110000000000001</v>
      </c>
      <c r="T2048" s="8">
        <f>IF(Table1[[#This Row],[pledged]]=0,"no backers",Table1[[#This Row],[pledged]]/Table1[[#This Row],[backers_count]])</f>
        <v>55.806451612903224</v>
      </c>
      <c r="U2048" t="str">
        <f>LEFT(Table1[[#This Row],[Category and Sub-Category]],FIND("/",Table1[[#This Row],[Category and Sub-Category]])-1)</f>
        <v>technology</v>
      </c>
      <c r="V2048" t="str">
        <f>RIGHT(Table1[[#This Row],[Category and Sub-Category]],LEN(Table1[[#This Row],[Category and Sub-Category]])-FIND("/",Table1[[#This Row],[Category and Sub-Category]]))</f>
        <v>hardware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 s="12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>((Table1[[#This Row],[deadline]]/60)/60/24)+DATE(1970,1,1)</f>
        <v>42111</v>
      </c>
      <c r="K2049">
        <v>1426714870</v>
      </c>
      <c r="L2049" s="11">
        <f>((Table1[[#This Row],[launched_at]]/60)/60/24)+DATE(1970,1,1)</f>
        <v>42081.903587962966</v>
      </c>
      <c r="M2049">
        <f>MONTH(Table1[[#This Row],[Date Created Conversion]])</f>
        <v>3</v>
      </c>
      <c r="N2049">
        <f>YEAR(Table1[[#This Row],[Date Created Conversion]])</f>
        <v>2015</v>
      </c>
      <c r="O2049" t="b">
        <v>0</v>
      </c>
      <c r="P2049">
        <v>443</v>
      </c>
      <c r="Q2049" t="b">
        <v>1</v>
      </c>
      <c r="R2049" t="s">
        <v>8295</v>
      </c>
      <c r="S2049" s="6">
        <f>Table1[[#This Row],[pledged]]/Table1[[#This Row],[goal]]</f>
        <v>1.0299897959183673</v>
      </c>
      <c r="T2049" s="8">
        <f>IF(Table1[[#This Row],[pledged]]=0,"no backers",Table1[[#This Row],[pledged]]/Table1[[#This Row],[backers_count]])</f>
        <v>227.85327313769753</v>
      </c>
      <c r="U2049" t="str">
        <f>LEFT(Table1[[#This Row],[Category and Sub-Category]],FIND("/",Table1[[#This Row],[Category and Sub-Category]])-1)</f>
        <v>technology</v>
      </c>
      <c r="V2049" t="str">
        <f>RIGHT(Table1[[#This Row],[Category and Sub-Category]],LEN(Table1[[#This Row],[Category and Sub-Category]])-FIND("/",Table1[[#This Row],[Category and Sub-Category]]))</f>
        <v>hardware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 s="12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>((Table1[[#This Row],[deadline]]/60)/60/24)+DATE(1970,1,1)</f>
        <v>41417.651516203703</v>
      </c>
      <c r="K2050">
        <v>1366731491</v>
      </c>
      <c r="L2050" s="11">
        <f>((Table1[[#This Row],[launched_at]]/60)/60/24)+DATE(1970,1,1)</f>
        <v>41387.651516203703</v>
      </c>
      <c r="M2050">
        <f>MONTH(Table1[[#This Row],[Date Created Conversion]])</f>
        <v>4</v>
      </c>
      <c r="N2050">
        <f>YEAR(Table1[[#This Row],[Date Created Conversion]])</f>
        <v>2013</v>
      </c>
      <c r="O2050" t="b">
        <v>0</v>
      </c>
      <c r="P2050">
        <v>1373</v>
      </c>
      <c r="Q2050" t="b">
        <v>1</v>
      </c>
      <c r="R2050" t="s">
        <v>8295</v>
      </c>
      <c r="S2050" s="6">
        <f>Table1[[#This Row],[pledged]]/Table1[[#This Row],[goal]]</f>
        <v>1.4833229411764706</v>
      </c>
      <c r="T2050" s="8">
        <f>IF(Table1[[#This Row],[pledged]]=0,"no backers",Table1[[#This Row],[pledged]]/Table1[[#This Row],[backers_count]])</f>
        <v>91.82989803350327</v>
      </c>
      <c r="U2050" t="str">
        <f>LEFT(Table1[[#This Row],[Category and Sub-Category]],FIND("/",Table1[[#This Row],[Category and Sub-Category]])-1)</f>
        <v>technology</v>
      </c>
      <c r="V2050" t="str">
        <f>RIGHT(Table1[[#This Row],[Category and Sub-Category]],LEN(Table1[[#This Row],[Category and Sub-Category]])-FIND("/",Table1[[#This Row],[Category and Sub-Category]]))</f>
        <v>hardware</v>
      </c>
    </row>
    <row r="2051" spans="1:22" x14ac:dyDescent="0.3">
      <c r="A2051">
        <v>2049</v>
      </c>
      <c r="B2051" s="3" t="s">
        <v>2050</v>
      </c>
      <c r="C2051" s="3" t="s">
        <v>6159</v>
      </c>
      <c r="D2051" s="12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>((Table1[[#This Row],[deadline]]/60)/60/24)+DATE(1970,1,1)</f>
        <v>41610.957638888889</v>
      </c>
      <c r="K2051">
        <v>1382963963</v>
      </c>
      <c r="L2051" s="11">
        <f>((Table1[[#This Row],[launched_at]]/60)/60/24)+DATE(1970,1,1)</f>
        <v>41575.527349537035</v>
      </c>
      <c r="M2051">
        <f>MONTH(Table1[[#This Row],[Date Created Conversion]])</f>
        <v>10</v>
      </c>
      <c r="N2051">
        <f>YEAR(Table1[[#This Row],[Date Created Conversion]])</f>
        <v>2013</v>
      </c>
      <c r="O2051" t="b">
        <v>0</v>
      </c>
      <c r="P2051">
        <v>742</v>
      </c>
      <c r="Q2051" t="b">
        <v>1</v>
      </c>
      <c r="R2051" t="s">
        <v>8295</v>
      </c>
      <c r="S2051" s="6">
        <f>Table1[[#This Row],[pledged]]/Table1[[#This Row],[goal]]</f>
        <v>1.2019070000000001</v>
      </c>
      <c r="T2051" s="8">
        <f>IF(Table1[[#This Row],[pledged]]=0,"no backers",Table1[[#This Row],[pledged]]/Table1[[#This Row],[backers_count]])</f>
        <v>80.991037735849048</v>
      </c>
      <c r="U2051" t="str">
        <f>LEFT(Table1[[#This Row],[Category and Sub-Category]],FIND("/",Table1[[#This Row],[Category and Sub-Category]])-1)</f>
        <v>technology</v>
      </c>
      <c r="V2051" t="str">
        <f>RIGHT(Table1[[#This Row],[Category and Sub-Category]],LEN(Table1[[#This Row],[Category and Sub-Category]])-FIND("/",Table1[[#This Row],[Category and Sub-Category]]))</f>
        <v>hardware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 s="1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>((Table1[[#This Row],[deadline]]/60)/60/24)+DATE(1970,1,1)</f>
        <v>42155.071504629625</v>
      </c>
      <c r="K2052">
        <v>1429580578</v>
      </c>
      <c r="L2052" s="11">
        <f>((Table1[[#This Row],[launched_at]]/60)/60/24)+DATE(1970,1,1)</f>
        <v>42115.071504629625</v>
      </c>
      <c r="M2052">
        <f>MONTH(Table1[[#This Row],[Date Created Conversion]])</f>
        <v>4</v>
      </c>
      <c r="N2052">
        <f>YEAR(Table1[[#This Row],[Date Created Conversion]])</f>
        <v>2015</v>
      </c>
      <c r="O2052" t="b">
        <v>0</v>
      </c>
      <c r="P2052">
        <v>170</v>
      </c>
      <c r="Q2052" t="b">
        <v>1</v>
      </c>
      <c r="R2052" t="s">
        <v>8295</v>
      </c>
      <c r="S2052" s="6">
        <f>Table1[[#This Row],[pledged]]/Table1[[#This Row],[goal]]</f>
        <v>4.7327000000000004</v>
      </c>
      <c r="T2052" s="8">
        <f>IF(Table1[[#This Row],[pledged]]=0,"no backers",Table1[[#This Row],[pledged]]/Table1[[#This Row],[backers_count]])</f>
        <v>278.39411764705881</v>
      </c>
      <c r="U2052" t="str">
        <f>LEFT(Table1[[#This Row],[Category and Sub-Category]],FIND("/",Table1[[#This Row],[Category and Sub-Category]])-1)</f>
        <v>technology</v>
      </c>
      <c r="V2052" t="str">
        <f>RIGHT(Table1[[#This Row],[Category and Sub-Category]],LEN(Table1[[#This Row],[Category and Sub-Category]])-FIND("/",Table1[[#This Row],[Category and Sub-Category]]))</f>
        <v>hardware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 s="12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>((Table1[[#This Row],[deadline]]/60)/60/24)+DATE(1970,1,1)</f>
        <v>41634.022418981483</v>
      </c>
      <c r="K2053">
        <v>1385425937</v>
      </c>
      <c r="L2053" s="11">
        <f>((Table1[[#This Row],[launched_at]]/60)/60/24)+DATE(1970,1,1)</f>
        <v>41604.022418981483</v>
      </c>
      <c r="M2053">
        <f>MONTH(Table1[[#This Row],[Date Created Conversion]])</f>
        <v>11</v>
      </c>
      <c r="N2053">
        <f>YEAR(Table1[[#This Row],[Date Created Conversion]])</f>
        <v>2013</v>
      </c>
      <c r="O2053" t="b">
        <v>0</v>
      </c>
      <c r="P2053">
        <v>242</v>
      </c>
      <c r="Q2053" t="b">
        <v>1</v>
      </c>
      <c r="R2053" t="s">
        <v>8295</v>
      </c>
      <c r="S2053" s="6">
        <f>Table1[[#This Row],[pledged]]/Table1[[#This Row],[goal]]</f>
        <v>1.303625</v>
      </c>
      <c r="T2053" s="8">
        <f>IF(Table1[[#This Row],[pledged]]=0,"no backers",Table1[[#This Row],[pledged]]/Table1[[#This Row],[backers_count]])</f>
        <v>43.095041322314053</v>
      </c>
      <c r="U2053" t="str">
        <f>LEFT(Table1[[#This Row],[Category and Sub-Category]],FIND("/",Table1[[#This Row],[Category and Sub-Category]])-1)</f>
        <v>technology</v>
      </c>
      <c r="V2053" t="str">
        <f>RIGHT(Table1[[#This Row],[Category and Sub-Category]],LEN(Table1[[#This Row],[Category and Sub-Category]])-FIND("/",Table1[[#This Row],[Category and Sub-Category]]))</f>
        <v>hardware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 s="12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>((Table1[[#This Row],[deadline]]/60)/60/24)+DATE(1970,1,1)</f>
        <v>42420.08394675926</v>
      </c>
      <c r="K2054">
        <v>1452045653</v>
      </c>
      <c r="L2054" s="11">
        <f>((Table1[[#This Row],[launched_at]]/60)/60/24)+DATE(1970,1,1)</f>
        <v>42375.08394675926</v>
      </c>
      <c r="M2054">
        <f>MONTH(Table1[[#This Row],[Date Created Conversion]])</f>
        <v>1</v>
      </c>
      <c r="N2054">
        <f>YEAR(Table1[[#This Row],[Date Created Conversion]])</f>
        <v>2016</v>
      </c>
      <c r="O2054" t="b">
        <v>0</v>
      </c>
      <c r="P2054">
        <v>541</v>
      </c>
      <c r="Q2054" t="b">
        <v>1</v>
      </c>
      <c r="R2054" t="s">
        <v>8295</v>
      </c>
      <c r="S2054" s="6">
        <f>Table1[[#This Row],[pledged]]/Table1[[#This Row],[goal]]</f>
        <v>3.5304799999999998</v>
      </c>
      <c r="T2054" s="8">
        <f>IF(Table1[[#This Row],[pledged]]=0,"no backers",Table1[[#This Row],[pledged]]/Table1[[#This Row],[backers_count]])</f>
        <v>326.29205175600737</v>
      </c>
      <c r="U2054" t="str">
        <f>LEFT(Table1[[#This Row],[Category and Sub-Category]],FIND("/",Table1[[#This Row],[Category and Sub-Category]])-1)</f>
        <v>technology</v>
      </c>
      <c r="V2054" t="str">
        <f>RIGHT(Table1[[#This Row],[Category and Sub-Category]],LEN(Table1[[#This Row],[Category and Sub-Category]])-FIND("/",Table1[[#This Row],[Category and Sub-Category]]))</f>
        <v>hardware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 s="12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>((Table1[[#This Row],[deadline]]/60)/60/24)+DATE(1970,1,1)</f>
        <v>42333.659155092595</v>
      </c>
      <c r="K2055">
        <v>1445870951</v>
      </c>
      <c r="L2055" s="11">
        <f>((Table1[[#This Row],[launched_at]]/60)/60/24)+DATE(1970,1,1)</f>
        <v>42303.617488425924</v>
      </c>
      <c r="M2055">
        <f>MONTH(Table1[[#This Row],[Date Created Conversion]])</f>
        <v>10</v>
      </c>
      <c r="N2055">
        <f>YEAR(Table1[[#This Row],[Date Created Conversion]])</f>
        <v>2015</v>
      </c>
      <c r="O2055" t="b">
        <v>0</v>
      </c>
      <c r="P2055">
        <v>121</v>
      </c>
      <c r="Q2055" t="b">
        <v>1</v>
      </c>
      <c r="R2055" t="s">
        <v>8295</v>
      </c>
      <c r="S2055" s="6">
        <f>Table1[[#This Row],[pledged]]/Table1[[#This Row],[goal]]</f>
        <v>1.0102</v>
      </c>
      <c r="T2055" s="8">
        <f>IF(Table1[[#This Row],[pledged]]=0,"no backers",Table1[[#This Row],[pledged]]/Table1[[#This Row],[backers_count]])</f>
        <v>41.743801652892564</v>
      </c>
      <c r="U2055" t="str">
        <f>LEFT(Table1[[#This Row],[Category and Sub-Category]],FIND("/",Table1[[#This Row],[Category and Sub-Category]])-1)</f>
        <v>technology</v>
      </c>
      <c r="V2055" t="str">
        <f>RIGHT(Table1[[#This Row],[Category and Sub-Category]],LEN(Table1[[#This Row],[Category and Sub-Category]])-FIND("/",Table1[[#This Row],[Category and Sub-Category]]))</f>
        <v>hardware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 s="12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>((Table1[[#This Row],[deadline]]/60)/60/24)+DATE(1970,1,1)</f>
        <v>41761.520949074074</v>
      </c>
      <c r="K2056">
        <v>1396441810</v>
      </c>
      <c r="L2056" s="11">
        <f>((Table1[[#This Row],[launched_at]]/60)/60/24)+DATE(1970,1,1)</f>
        <v>41731.520949074074</v>
      </c>
      <c r="M2056">
        <f>MONTH(Table1[[#This Row],[Date Created Conversion]])</f>
        <v>4</v>
      </c>
      <c r="N2056">
        <f>YEAR(Table1[[#This Row],[Date Created Conversion]])</f>
        <v>2014</v>
      </c>
      <c r="O2056" t="b">
        <v>0</v>
      </c>
      <c r="P2056">
        <v>621</v>
      </c>
      <c r="Q2056" t="b">
        <v>1</v>
      </c>
      <c r="R2056" t="s">
        <v>8295</v>
      </c>
      <c r="S2056" s="6">
        <f>Table1[[#This Row],[pledged]]/Table1[[#This Row],[goal]]</f>
        <v>1.1359142857142857</v>
      </c>
      <c r="T2056" s="8">
        <f>IF(Table1[[#This Row],[pledged]]=0,"no backers",Table1[[#This Row],[pledged]]/Table1[[#This Row],[backers_count]])</f>
        <v>64.020933977455712</v>
      </c>
      <c r="U2056" t="str">
        <f>LEFT(Table1[[#This Row],[Category and Sub-Category]],FIND("/",Table1[[#This Row],[Category and Sub-Category]])-1)</f>
        <v>technology</v>
      </c>
      <c r="V2056" t="str">
        <f>RIGHT(Table1[[#This Row],[Category and Sub-Category]],LEN(Table1[[#This Row],[Category and Sub-Category]])-FIND("/",Table1[[#This Row],[Category and Sub-Category]]))</f>
        <v>hardware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 s="12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>((Table1[[#This Row],[deadline]]/60)/60/24)+DATE(1970,1,1)</f>
        <v>41976.166666666672</v>
      </c>
      <c r="K2057">
        <v>1415031043</v>
      </c>
      <c r="L2057" s="11">
        <f>((Table1[[#This Row],[launched_at]]/60)/60/24)+DATE(1970,1,1)</f>
        <v>41946.674108796295</v>
      </c>
      <c r="M2057">
        <f>MONTH(Table1[[#This Row],[Date Created Conversion]])</f>
        <v>11</v>
      </c>
      <c r="N2057">
        <f>YEAR(Table1[[#This Row],[Date Created Conversion]])</f>
        <v>2014</v>
      </c>
      <c r="O2057" t="b">
        <v>0</v>
      </c>
      <c r="P2057">
        <v>101</v>
      </c>
      <c r="Q2057" t="b">
        <v>1</v>
      </c>
      <c r="R2057" t="s">
        <v>8295</v>
      </c>
      <c r="S2057" s="6">
        <f>Table1[[#This Row],[pledged]]/Table1[[#This Row],[goal]]</f>
        <v>1.6741666666666666</v>
      </c>
      <c r="T2057" s="8">
        <f>IF(Table1[[#This Row],[pledged]]=0,"no backers",Table1[[#This Row],[pledged]]/Table1[[#This Row],[backers_count]])</f>
        <v>99.455445544554451</v>
      </c>
      <c r="U2057" t="str">
        <f>LEFT(Table1[[#This Row],[Category and Sub-Category]],FIND("/",Table1[[#This Row],[Category and Sub-Category]])-1)</f>
        <v>technology</v>
      </c>
      <c r="V2057" t="str">
        <f>RIGHT(Table1[[#This Row],[Category and Sub-Category]],LEN(Table1[[#This Row],[Category and Sub-Category]])-FIND("/",Table1[[#This Row],[Category and Sub-Category]]))</f>
        <v>hardware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 s="12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>((Table1[[#This Row],[deadline]]/60)/60/24)+DATE(1970,1,1)</f>
        <v>41381.76090277778</v>
      </c>
      <c r="K2058">
        <v>1363630542</v>
      </c>
      <c r="L2058" s="11">
        <f>((Table1[[#This Row],[launched_at]]/60)/60/24)+DATE(1970,1,1)</f>
        <v>41351.76090277778</v>
      </c>
      <c r="M2058">
        <f>MONTH(Table1[[#This Row],[Date Created Conversion]])</f>
        <v>3</v>
      </c>
      <c r="N2058">
        <f>YEAR(Table1[[#This Row],[Date Created Conversion]])</f>
        <v>2013</v>
      </c>
      <c r="O2058" t="b">
        <v>0</v>
      </c>
      <c r="P2058">
        <v>554</v>
      </c>
      <c r="Q2058" t="b">
        <v>1</v>
      </c>
      <c r="R2058" t="s">
        <v>8295</v>
      </c>
      <c r="S2058" s="6">
        <f>Table1[[#This Row],[pledged]]/Table1[[#This Row],[goal]]</f>
        <v>1.5345200000000001</v>
      </c>
      <c r="T2058" s="8">
        <f>IF(Table1[[#This Row],[pledged]]=0,"no backers",Table1[[#This Row],[pledged]]/Table1[[#This Row],[backers_count]])</f>
        <v>138.49458483754512</v>
      </c>
      <c r="U2058" t="str">
        <f>LEFT(Table1[[#This Row],[Category and Sub-Category]],FIND("/",Table1[[#This Row],[Category and Sub-Category]])-1)</f>
        <v>technology</v>
      </c>
      <c r="V2058" t="str">
        <f>RIGHT(Table1[[#This Row],[Category and Sub-Category]],LEN(Table1[[#This Row],[Category and Sub-Category]])-FIND("/",Table1[[#This Row],[Category and Sub-Category]]))</f>
        <v>hardware</v>
      </c>
    </row>
    <row r="2059" spans="1:22" ht="57.6" x14ac:dyDescent="0.3">
      <c r="A2059">
        <v>2057</v>
      </c>
      <c r="B2059" s="3" t="s">
        <v>2058</v>
      </c>
      <c r="C2059" s="3" t="s">
        <v>6167</v>
      </c>
      <c r="D2059" s="12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>((Table1[[#This Row],[deadline]]/60)/60/24)+DATE(1970,1,1)</f>
        <v>42426.494583333333</v>
      </c>
      <c r="K2059">
        <v>1453895532</v>
      </c>
      <c r="L2059" s="11">
        <f>((Table1[[#This Row],[launched_at]]/60)/60/24)+DATE(1970,1,1)</f>
        <v>42396.494583333333</v>
      </c>
      <c r="M2059">
        <f>MONTH(Table1[[#This Row],[Date Created Conversion]])</f>
        <v>1</v>
      </c>
      <c r="N2059">
        <f>YEAR(Table1[[#This Row],[Date Created Conversion]])</f>
        <v>2016</v>
      </c>
      <c r="O2059" t="b">
        <v>0</v>
      </c>
      <c r="P2059">
        <v>666</v>
      </c>
      <c r="Q2059" t="b">
        <v>1</v>
      </c>
      <c r="R2059" t="s">
        <v>8295</v>
      </c>
      <c r="S2059" s="6">
        <f>Table1[[#This Row],[pledged]]/Table1[[#This Row],[goal]]</f>
        <v>2.022322</v>
      </c>
      <c r="T2059" s="8">
        <f>IF(Table1[[#This Row],[pledged]]=0,"no backers",Table1[[#This Row],[pledged]]/Table1[[#This Row],[backers_count]])</f>
        <v>45.547792792792798</v>
      </c>
      <c r="U2059" t="str">
        <f>LEFT(Table1[[#This Row],[Category and Sub-Category]],FIND("/",Table1[[#This Row],[Category and Sub-Category]])-1)</f>
        <v>technology</v>
      </c>
      <c r="V2059" t="str">
        <f>RIGHT(Table1[[#This Row],[Category and Sub-Category]],LEN(Table1[[#This Row],[Category and Sub-Category]])-FIND("/",Table1[[#This Row],[Category and Sub-Category]]))</f>
        <v>hardware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 s="12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>((Table1[[#This Row],[deadline]]/60)/60/24)+DATE(1970,1,1)</f>
        <v>42065.833333333328</v>
      </c>
      <c r="K2060">
        <v>1421916830</v>
      </c>
      <c r="L2060" s="11">
        <f>((Table1[[#This Row],[launched_at]]/60)/60/24)+DATE(1970,1,1)</f>
        <v>42026.370717592596</v>
      </c>
      <c r="M2060">
        <f>MONTH(Table1[[#This Row],[Date Created Conversion]])</f>
        <v>1</v>
      </c>
      <c r="N2060">
        <f>YEAR(Table1[[#This Row],[Date Created Conversion]])</f>
        <v>2015</v>
      </c>
      <c r="O2060" t="b">
        <v>0</v>
      </c>
      <c r="P2060">
        <v>410</v>
      </c>
      <c r="Q2060" t="b">
        <v>1</v>
      </c>
      <c r="R2060" t="s">
        <v>8295</v>
      </c>
      <c r="S2060" s="6">
        <f>Table1[[#This Row],[pledged]]/Table1[[#This Row],[goal]]</f>
        <v>1.6828125</v>
      </c>
      <c r="T2060" s="8">
        <f>IF(Table1[[#This Row],[pledged]]=0,"no backers",Table1[[#This Row],[pledged]]/Table1[[#This Row],[backers_count]])</f>
        <v>10.507317073170732</v>
      </c>
      <c r="U2060" t="str">
        <f>LEFT(Table1[[#This Row],[Category and Sub-Category]],FIND("/",Table1[[#This Row],[Category and Sub-Category]])-1)</f>
        <v>technology</v>
      </c>
      <c r="V2060" t="str">
        <f>RIGHT(Table1[[#This Row],[Category and Sub-Category]],LEN(Table1[[#This Row],[Category and Sub-Category]])-FIND("/",Table1[[#This Row],[Category and Sub-Category]]))</f>
        <v>hardware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 s="12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>((Table1[[#This Row],[deadline]]/60)/60/24)+DATE(1970,1,1)</f>
        <v>42400.915972222225</v>
      </c>
      <c r="K2061">
        <v>1450880854</v>
      </c>
      <c r="L2061" s="11">
        <f>((Table1[[#This Row],[launched_at]]/60)/60/24)+DATE(1970,1,1)</f>
        <v>42361.602476851855</v>
      </c>
      <c r="M2061">
        <f>MONTH(Table1[[#This Row],[Date Created Conversion]])</f>
        <v>12</v>
      </c>
      <c r="N2061">
        <f>YEAR(Table1[[#This Row],[Date Created Conversion]])</f>
        <v>2015</v>
      </c>
      <c r="O2061" t="b">
        <v>0</v>
      </c>
      <c r="P2061">
        <v>375</v>
      </c>
      <c r="Q2061" t="b">
        <v>1</v>
      </c>
      <c r="R2061" t="s">
        <v>8295</v>
      </c>
      <c r="S2061" s="6">
        <f>Table1[[#This Row],[pledged]]/Table1[[#This Row],[goal]]</f>
        <v>1.4345666666666668</v>
      </c>
      <c r="T2061" s="8">
        <f>IF(Table1[[#This Row],[pledged]]=0,"no backers",Table1[[#This Row],[pledged]]/Table1[[#This Row],[backers_count]])</f>
        <v>114.76533333333333</v>
      </c>
      <c r="U2061" t="str">
        <f>LEFT(Table1[[#This Row],[Category and Sub-Category]],FIND("/",Table1[[#This Row],[Category and Sub-Category]])-1)</f>
        <v>technology</v>
      </c>
      <c r="V2061" t="str">
        <f>RIGHT(Table1[[#This Row],[Category and Sub-Category]],LEN(Table1[[#This Row],[Category and Sub-Category]])-FIND("/",Table1[[#This Row],[Category and Sub-Category]]))</f>
        <v>hardware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 s="1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>((Table1[[#This Row],[deadline]]/60)/60/24)+DATE(1970,1,1)</f>
        <v>41843.642939814818</v>
      </c>
      <c r="K2062">
        <v>1400945150</v>
      </c>
      <c r="L2062" s="11">
        <f>((Table1[[#This Row],[launched_at]]/60)/60/24)+DATE(1970,1,1)</f>
        <v>41783.642939814818</v>
      </c>
      <c r="M2062">
        <f>MONTH(Table1[[#This Row],[Date Created Conversion]])</f>
        <v>5</v>
      </c>
      <c r="N2062">
        <f>YEAR(Table1[[#This Row],[Date Created Conversion]])</f>
        <v>2014</v>
      </c>
      <c r="O2062" t="b">
        <v>0</v>
      </c>
      <c r="P2062">
        <v>1364</v>
      </c>
      <c r="Q2062" t="b">
        <v>1</v>
      </c>
      <c r="R2062" t="s">
        <v>8295</v>
      </c>
      <c r="S2062" s="6">
        <f>Table1[[#This Row],[pledged]]/Table1[[#This Row],[goal]]</f>
        <v>1.964</v>
      </c>
      <c r="T2062" s="8">
        <f>IF(Table1[[#This Row],[pledged]]=0,"no backers",Table1[[#This Row],[pledged]]/Table1[[#This Row],[backers_count]])</f>
        <v>35.997067448680355</v>
      </c>
      <c r="U2062" t="str">
        <f>LEFT(Table1[[#This Row],[Category and Sub-Category]],FIND("/",Table1[[#This Row],[Category and Sub-Category]])-1)</f>
        <v>technology</v>
      </c>
      <c r="V2062" t="str">
        <f>RIGHT(Table1[[#This Row],[Category and Sub-Category]],LEN(Table1[[#This Row],[Category and Sub-Category]])-FIND("/",Table1[[#This Row],[Category and Sub-Category]]))</f>
        <v>hardware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 s="12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>((Table1[[#This Row],[deadline]]/60)/60/24)+DATE(1970,1,1)</f>
        <v>42735.764513888891</v>
      </c>
      <c r="K2063">
        <v>1480616454</v>
      </c>
      <c r="L2063" s="11">
        <f>((Table1[[#This Row],[launched_at]]/60)/60/24)+DATE(1970,1,1)</f>
        <v>42705.764513888891</v>
      </c>
      <c r="M2063">
        <f>MONTH(Table1[[#This Row],[Date Created Conversion]])</f>
        <v>12</v>
      </c>
      <c r="N2063">
        <f>YEAR(Table1[[#This Row],[Date Created Conversion]])</f>
        <v>2016</v>
      </c>
      <c r="O2063" t="b">
        <v>0</v>
      </c>
      <c r="P2063">
        <v>35</v>
      </c>
      <c r="Q2063" t="b">
        <v>1</v>
      </c>
      <c r="R2063" t="s">
        <v>8295</v>
      </c>
      <c r="S2063" s="6">
        <f>Table1[[#This Row],[pledged]]/Table1[[#This Row],[goal]]</f>
        <v>1.0791999999999999</v>
      </c>
      <c r="T2063" s="8">
        <f>IF(Table1[[#This Row],[pledged]]=0,"no backers",Table1[[#This Row],[pledged]]/Table1[[#This Row],[backers_count]])</f>
        <v>154.17142857142858</v>
      </c>
      <c r="U2063" t="str">
        <f>LEFT(Table1[[#This Row],[Category and Sub-Category]],FIND("/",Table1[[#This Row],[Category and Sub-Category]])-1)</f>
        <v>technology</v>
      </c>
      <c r="V2063" t="str">
        <f>RIGHT(Table1[[#This Row],[Category and Sub-Category]],LEN(Table1[[#This Row],[Category and Sub-Category]])-FIND("/",Table1[[#This Row],[Category and Sub-Category]]))</f>
        <v>hardware</v>
      </c>
    </row>
    <row r="2064" spans="1:22" ht="57.6" x14ac:dyDescent="0.3">
      <c r="A2064">
        <v>2062</v>
      </c>
      <c r="B2064" s="3" t="s">
        <v>2063</v>
      </c>
      <c r="C2064" s="3" t="s">
        <v>6172</v>
      </c>
      <c r="D2064" s="12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>((Table1[[#This Row],[deadline]]/60)/60/24)+DATE(1970,1,1)</f>
        <v>42453.341412037036</v>
      </c>
      <c r="K2064">
        <v>1456218698</v>
      </c>
      <c r="L2064" s="11">
        <f>((Table1[[#This Row],[launched_at]]/60)/60/24)+DATE(1970,1,1)</f>
        <v>42423.3830787037</v>
      </c>
      <c r="M2064">
        <f>MONTH(Table1[[#This Row],[Date Created Conversion]])</f>
        <v>2</v>
      </c>
      <c r="N2064">
        <f>YEAR(Table1[[#This Row],[Date Created Conversion]])</f>
        <v>2016</v>
      </c>
      <c r="O2064" t="b">
        <v>0</v>
      </c>
      <c r="P2064">
        <v>203</v>
      </c>
      <c r="Q2064" t="b">
        <v>1</v>
      </c>
      <c r="R2064" t="s">
        <v>8295</v>
      </c>
      <c r="S2064" s="6">
        <f>Table1[[#This Row],[pledged]]/Table1[[#This Row],[goal]]</f>
        <v>1.14977</v>
      </c>
      <c r="T2064" s="8">
        <f>IF(Table1[[#This Row],[pledged]]=0,"no backers",Table1[[#This Row],[pledged]]/Table1[[#This Row],[backers_count]])</f>
        <v>566.38916256157631</v>
      </c>
      <c r="U2064" t="str">
        <f>LEFT(Table1[[#This Row],[Category and Sub-Category]],FIND("/",Table1[[#This Row],[Category and Sub-Category]])-1)</f>
        <v>technology</v>
      </c>
      <c r="V2064" t="str">
        <f>RIGHT(Table1[[#This Row],[Category and Sub-Category]],LEN(Table1[[#This Row],[Category and Sub-Category]])-FIND("/",Table1[[#This Row],[Category and Sub-Category]]))</f>
        <v>hardware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 s="12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>((Table1[[#This Row],[deadline]]/60)/60/24)+DATE(1970,1,1)</f>
        <v>42505.73265046296</v>
      </c>
      <c r="K2065">
        <v>1460482501</v>
      </c>
      <c r="L2065" s="11">
        <f>((Table1[[#This Row],[launched_at]]/60)/60/24)+DATE(1970,1,1)</f>
        <v>42472.73265046296</v>
      </c>
      <c r="M2065">
        <f>MONTH(Table1[[#This Row],[Date Created Conversion]])</f>
        <v>4</v>
      </c>
      <c r="N2065">
        <f>YEAR(Table1[[#This Row],[Date Created Conversion]])</f>
        <v>2016</v>
      </c>
      <c r="O2065" t="b">
        <v>0</v>
      </c>
      <c r="P2065">
        <v>49</v>
      </c>
      <c r="Q2065" t="b">
        <v>1</v>
      </c>
      <c r="R2065" t="s">
        <v>8295</v>
      </c>
      <c r="S2065" s="6">
        <f>Table1[[#This Row],[pledged]]/Table1[[#This Row],[goal]]</f>
        <v>1.4804999999999999</v>
      </c>
      <c r="T2065" s="8">
        <f>IF(Table1[[#This Row],[pledged]]=0,"no backers",Table1[[#This Row],[pledged]]/Table1[[#This Row],[backers_count]])</f>
        <v>120.85714285714286</v>
      </c>
      <c r="U2065" t="str">
        <f>LEFT(Table1[[#This Row],[Category and Sub-Category]],FIND("/",Table1[[#This Row],[Category and Sub-Category]])-1)</f>
        <v>technology</v>
      </c>
      <c r="V2065" t="str">
        <f>RIGHT(Table1[[#This Row],[Category and Sub-Category]],LEN(Table1[[#This Row],[Category and Sub-Category]])-FIND("/",Table1[[#This Row],[Category and Sub-Category]]))</f>
        <v>hardware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 s="12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>((Table1[[#This Row],[deadline]]/60)/60/24)+DATE(1970,1,1)</f>
        <v>41425.5</v>
      </c>
      <c r="K2066">
        <v>1366879523</v>
      </c>
      <c r="L2066" s="11">
        <f>((Table1[[#This Row],[launched_at]]/60)/60/24)+DATE(1970,1,1)</f>
        <v>41389.364849537036</v>
      </c>
      <c r="M2066">
        <f>MONTH(Table1[[#This Row],[Date Created Conversion]])</f>
        <v>4</v>
      </c>
      <c r="N2066">
        <f>YEAR(Table1[[#This Row],[Date Created Conversion]])</f>
        <v>2013</v>
      </c>
      <c r="O2066" t="b">
        <v>0</v>
      </c>
      <c r="P2066">
        <v>5812</v>
      </c>
      <c r="Q2066" t="b">
        <v>1</v>
      </c>
      <c r="R2066" t="s">
        <v>8295</v>
      </c>
      <c r="S2066" s="6">
        <f>Table1[[#This Row],[pledged]]/Table1[[#This Row],[goal]]</f>
        <v>1.9116676082790633</v>
      </c>
      <c r="T2066" s="8">
        <f>IF(Table1[[#This Row],[pledged]]=0,"no backers",Table1[[#This Row],[pledged]]/Table1[[#This Row],[backers_count]])</f>
        <v>86.163845492085343</v>
      </c>
      <c r="U2066" t="str">
        <f>LEFT(Table1[[#This Row],[Category and Sub-Category]],FIND("/",Table1[[#This Row],[Category and Sub-Category]])-1)</f>
        <v>technology</v>
      </c>
      <c r="V2066" t="str">
        <f>RIGHT(Table1[[#This Row],[Category and Sub-Category]],LEN(Table1[[#This Row],[Category and Sub-Category]])-FIND("/",Table1[[#This Row],[Category and Sub-Category]]))</f>
        <v>hardware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 s="12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>((Table1[[#This Row],[deadline]]/60)/60/24)+DATE(1970,1,1)</f>
        <v>41633.333668981482</v>
      </c>
      <c r="K2067">
        <v>1385366429</v>
      </c>
      <c r="L2067" s="11">
        <f>((Table1[[#This Row],[launched_at]]/60)/60/24)+DATE(1970,1,1)</f>
        <v>41603.333668981482</v>
      </c>
      <c r="M2067">
        <f>MONTH(Table1[[#This Row],[Date Created Conversion]])</f>
        <v>11</v>
      </c>
      <c r="N2067">
        <f>YEAR(Table1[[#This Row],[Date Created Conversion]])</f>
        <v>2013</v>
      </c>
      <c r="O2067" t="b">
        <v>0</v>
      </c>
      <c r="P2067">
        <v>1556</v>
      </c>
      <c r="Q2067" t="b">
        <v>1</v>
      </c>
      <c r="R2067" t="s">
        <v>8295</v>
      </c>
      <c r="S2067" s="6">
        <f>Table1[[#This Row],[pledged]]/Table1[[#This Row],[goal]]</f>
        <v>1.99215125</v>
      </c>
      <c r="T2067" s="8">
        <f>IF(Table1[[#This Row],[pledged]]=0,"no backers",Table1[[#This Row],[pledged]]/Table1[[#This Row],[backers_count]])</f>
        <v>51.212114395886893</v>
      </c>
      <c r="U2067" t="str">
        <f>LEFT(Table1[[#This Row],[Category and Sub-Category]],FIND("/",Table1[[#This Row],[Category and Sub-Category]])-1)</f>
        <v>technology</v>
      </c>
      <c r="V2067" t="str">
        <f>RIGHT(Table1[[#This Row],[Category and Sub-Category]],LEN(Table1[[#This Row],[Category and Sub-Category]])-FIND("/",Table1[[#This Row],[Category and Sub-Category]]))</f>
        <v>hardware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 s="12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>((Table1[[#This Row],[deadline]]/60)/60/24)+DATE(1970,1,1)</f>
        <v>41874.771793981483</v>
      </c>
      <c r="K2068">
        <v>1406226683</v>
      </c>
      <c r="L2068" s="11">
        <f>((Table1[[#This Row],[launched_at]]/60)/60/24)+DATE(1970,1,1)</f>
        <v>41844.771793981483</v>
      </c>
      <c r="M2068">
        <f>MONTH(Table1[[#This Row],[Date Created Conversion]])</f>
        <v>7</v>
      </c>
      <c r="N2068">
        <f>YEAR(Table1[[#This Row],[Date Created Conversion]])</f>
        <v>2014</v>
      </c>
      <c r="O2068" t="b">
        <v>0</v>
      </c>
      <c r="P2068">
        <v>65</v>
      </c>
      <c r="Q2068" t="b">
        <v>1</v>
      </c>
      <c r="R2068" t="s">
        <v>8295</v>
      </c>
      <c r="S2068" s="6">
        <f>Table1[[#This Row],[pledged]]/Table1[[#This Row],[goal]]</f>
        <v>2.1859999999999999</v>
      </c>
      <c r="T2068" s="8">
        <f>IF(Table1[[#This Row],[pledged]]=0,"no backers",Table1[[#This Row],[pledged]]/Table1[[#This Row],[backers_count]])</f>
        <v>67.261538461538464</v>
      </c>
      <c r="U2068" t="str">
        <f>LEFT(Table1[[#This Row],[Category and Sub-Category]],FIND("/",Table1[[#This Row],[Category and Sub-Category]])-1)</f>
        <v>technology</v>
      </c>
      <c r="V2068" t="str">
        <f>RIGHT(Table1[[#This Row],[Category and Sub-Category]],LEN(Table1[[#This Row],[Category and Sub-Category]])-FIND("/",Table1[[#This Row],[Category and Sub-Category]]))</f>
        <v>hardware</v>
      </c>
    </row>
    <row r="2069" spans="1:22" ht="43.2" x14ac:dyDescent="0.3">
      <c r="A2069">
        <v>2067</v>
      </c>
      <c r="B2069" s="3" t="s">
        <v>2068</v>
      </c>
      <c r="C2069" s="3" t="s">
        <v>6177</v>
      </c>
      <c r="D2069" s="12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>((Table1[[#This Row],[deadline]]/60)/60/24)+DATE(1970,1,1)</f>
        <v>42148.853888888887</v>
      </c>
      <c r="K2069">
        <v>1429648176</v>
      </c>
      <c r="L2069" s="11">
        <f>((Table1[[#This Row],[launched_at]]/60)/60/24)+DATE(1970,1,1)</f>
        <v>42115.853888888887</v>
      </c>
      <c r="M2069">
        <f>MONTH(Table1[[#This Row],[Date Created Conversion]])</f>
        <v>4</v>
      </c>
      <c r="N2069">
        <f>YEAR(Table1[[#This Row],[Date Created Conversion]])</f>
        <v>2015</v>
      </c>
      <c r="O2069" t="b">
        <v>0</v>
      </c>
      <c r="P2069">
        <v>10</v>
      </c>
      <c r="Q2069" t="b">
        <v>1</v>
      </c>
      <c r="R2069" t="s">
        <v>8295</v>
      </c>
      <c r="S2069" s="6">
        <f>Table1[[#This Row],[pledged]]/Table1[[#This Row],[goal]]</f>
        <v>1.2686868686868686</v>
      </c>
      <c r="T2069" s="8">
        <f>IF(Table1[[#This Row],[pledged]]=0,"no backers",Table1[[#This Row],[pledged]]/Table1[[#This Row],[backers_count]])</f>
        <v>62.8</v>
      </c>
      <c r="U2069" t="str">
        <f>LEFT(Table1[[#This Row],[Category and Sub-Category]],FIND("/",Table1[[#This Row],[Category and Sub-Category]])-1)</f>
        <v>technology</v>
      </c>
      <c r="V2069" t="str">
        <f>RIGHT(Table1[[#This Row],[Category and Sub-Category]],LEN(Table1[[#This Row],[Category and Sub-Category]])-FIND("/",Table1[[#This Row],[Category and Sub-Category]]))</f>
        <v>hardware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 s="12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>((Table1[[#This Row],[deadline]]/60)/60/24)+DATE(1970,1,1)</f>
        <v>42663.841608796298</v>
      </c>
      <c r="K2070">
        <v>1474402315</v>
      </c>
      <c r="L2070" s="11">
        <f>((Table1[[#This Row],[launched_at]]/60)/60/24)+DATE(1970,1,1)</f>
        <v>42633.841608796298</v>
      </c>
      <c r="M2070">
        <f>MONTH(Table1[[#This Row],[Date Created Conversion]])</f>
        <v>9</v>
      </c>
      <c r="N2070">
        <f>YEAR(Table1[[#This Row],[Date Created Conversion]])</f>
        <v>2016</v>
      </c>
      <c r="O2070" t="b">
        <v>0</v>
      </c>
      <c r="P2070">
        <v>76</v>
      </c>
      <c r="Q2070" t="b">
        <v>1</v>
      </c>
      <c r="R2070" t="s">
        <v>8295</v>
      </c>
      <c r="S2070" s="6">
        <f>Table1[[#This Row],[pledged]]/Table1[[#This Row],[goal]]</f>
        <v>1.0522388</v>
      </c>
      <c r="T2070" s="8">
        <f>IF(Table1[[#This Row],[pledged]]=0,"no backers",Table1[[#This Row],[pledged]]/Table1[[#This Row],[backers_count]])</f>
        <v>346.13118421052633</v>
      </c>
      <c r="U2070" t="str">
        <f>LEFT(Table1[[#This Row],[Category and Sub-Category]],FIND("/",Table1[[#This Row],[Category and Sub-Category]])-1)</f>
        <v>technology</v>
      </c>
      <c r="V2070" t="str">
        <f>RIGHT(Table1[[#This Row],[Category and Sub-Category]],LEN(Table1[[#This Row],[Category and Sub-Category]])-FIND("/",Table1[[#This Row],[Category and Sub-Category]]))</f>
        <v>hardware</v>
      </c>
    </row>
    <row r="2071" spans="1:22" ht="57.6" x14ac:dyDescent="0.3">
      <c r="A2071">
        <v>2069</v>
      </c>
      <c r="B2071" s="3" t="s">
        <v>2070</v>
      </c>
      <c r="C2071" s="3" t="s">
        <v>6179</v>
      </c>
      <c r="D2071" s="12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>((Table1[[#This Row],[deadline]]/60)/60/24)+DATE(1970,1,1)</f>
        <v>42371.972118055557</v>
      </c>
      <c r="K2071">
        <v>1449098391</v>
      </c>
      <c r="L2071" s="11">
        <f>((Table1[[#This Row],[launched_at]]/60)/60/24)+DATE(1970,1,1)</f>
        <v>42340.972118055557</v>
      </c>
      <c r="M2071">
        <f>MONTH(Table1[[#This Row],[Date Created Conversion]])</f>
        <v>12</v>
      </c>
      <c r="N2071">
        <f>YEAR(Table1[[#This Row],[Date Created Conversion]])</f>
        <v>2015</v>
      </c>
      <c r="O2071" t="b">
        <v>0</v>
      </c>
      <c r="P2071">
        <v>263</v>
      </c>
      <c r="Q2071" t="b">
        <v>1</v>
      </c>
      <c r="R2071" t="s">
        <v>8295</v>
      </c>
      <c r="S2071" s="6">
        <f>Table1[[#This Row],[pledged]]/Table1[[#This Row],[goal]]</f>
        <v>1.2840666000000001</v>
      </c>
      <c r="T2071" s="8">
        <f>IF(Table1[[#This Row],[pledged]]=0,"no backers",Table1[[#This Row],[pledged]]/Table1[[#This Row],[backers_count]])</f>
        <v>244.11912547528519</v>
      </c>
      <c r="U2071" t="str">
        <f>LEFT(Table1[[#This Row],[Category and Sub-Category]],FIND("/",Table1[[#This Row],[Category and Sub-Category]])-1)</f>
        <v>technology</v>
      </c>
      <c r="V2071" t="str">
        <f>RIGHT(Table1[[#This Row],[Category and Sub-Category]],LEN(Table1[[#This Row],[Category and Sub-Category]])-FIND("/",Table1[[#This Row],[Category and Sub-Category]]))</f>
        <v>hardware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 s="1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>((Table1[[#This Row],[deadline]]/60)/60/24)+DATE(1970,1,1)</f>
        <v>42549.6565162037</v>
      </c>
      <c r="K2072">
        <v>1464536723</v>
      </c>
      <c r="L2072" s="11">
        <f>((Table1[[#This Row],[launched_at]]/60)/60/24)+DATE(1970,1,1)</f>
        <v>42519.6565162037</v>
      </c>
      <c r="M2072">
        <f>MONTH(Table1[[#This Row],[Date Created Conversion]])</f>
        <v>5</v>
      </c>
      <c r="N2072">
        <f>YEAR(Table1[[#This Row],[Date Created Conversion]])</f>
        <v>2016</v>
      </c>
      <c r="O2072" t="b">
        <v>0</v>
      </c>
      <c r="P2072">
        <v>1530</v>
      </c>
      <c r="Q2072" t="b">
        <v>1</v>
      </c>
      <c r="R2072" t="s">
        <v>8295</v>
      </c>
      <c r="S2072" s="6">
        <f>Table1[[#This Row],[pledged]]/Table1[[#This Row],[goal]]</f>
        <v>3.1732719999999999</v>
      </c>
      <c r="T2072" s="8">
        <f>IF(Table1[[#This Row],[pledged]]=0,"no backers",Table1[[#This Row],[pledged]]/Table1[[#This Row],[backers_count]])</f>
        <v>259.25424836601309</v>
      </c>
      <c r="U2072" t="str">
        <f>LEFT(Table1[[#This Row],[Category and Sub-Category]],FIND("/",Table1[[#This Row],[Category and Sub-Category]])-1)</f>
        <v>technology</v>
      </c>
      <c r="V2072" t="str">
        <f>RIGHT(Table1[[#This Row],[Category and Sub-Category]],LEN(Table1[[#This Row],[Category and Sub-Category]])-FIND("/",Table1[[#This Row],[Category and Sub-Category]]))</f>
        <v>hardware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 s="12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>((Table1[[#This Row],[deadline]]/60)/60/24)+DATE(1970,1,1)</f>
        <v>42645.278749999998</v>
      </c>
      <c r="K2073">
        <v>1471502484</v>
      </c>
      <c r="L2073" s="11">
        <f>((Table1[[#This Row],[launched_at]]/60)/60/24)+DATE(1970,1,1)</f>
        <v>42600.278749999998</v>
      </c>
      <c r="M2073">
        <f>MONTH(Table1[[#This Row],[Date Created Conversion]])</f>
        <v>8</v>
      </c>
      <c r="N2073">
        <f>YEAR(Table1[[#This Row],[Date Created Conversion]])</f>
        <v>2016</v>
      </c>
      <c r="O2073" t="b">
        <v>0</v>
      </c>
      <c r="P2073">
        <v>278</v>
      </c>
      <c r="Q2073" t="b">
        <v>1</v>
      </c>
      <c r="R2073" t="s">
        <v>8295</v>
      </c>
      <c r="S2073" s="6">
        <f>Table1[[#This Row],[pledged]]/Table1[[#This Row],[goal]]</f>
        <v>2.8073000000000001</v>
      </c>
      <c r="T2073" s="8">
        <f>IF(Table1[[#This Row],[pledged]]=0,"no backers",Table1[[#This Row],[pledged]]/Table1[[#This Row],[backers_count]])</f>
        <v>201.96402877697841</v>
      </c>
      <c r="U2073" t="str">
        <f>LEFT(Table1[[#This Row],[Category and Sub-Category]],FIND("/",Table1[[#This Row],[Category and Sub-Category]])-1)</f>
        <v>technology</v>
      </c>
      <c r="V2073" t="str">
        <f>RIGHT(Table1[[#This Row],[Category and Sub-Category]],LEN(Table1[[#This Row],[Category and Sub-Category]])-FIND("/",Table1[[#This Row],[Category and Sub-Category]]))</f>
        <v>hardware</v>
      </c>
    </row>
    <row r="2074" spans="1:22" ht="57.6" x14ac:dyDescent="0.3">
      <c r="A2074">
        <v>2072</v>
      </c>
      <c r="B2074" s="3" t="s">
        <v>2073</v>
      </c>
      <c r="C2074" s="3" t="s">
        <v>6182</v>
      </c>
      <c r="D2074" s="12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>((Table1[[#This Row],[deadline]]/60)/60/24)+DATE(1970,1,1)</f>
        <v>42497.581388888888</v>
      </c>
      <c r="K2074">
        <v>1460037432</v>
      </c>
      <c r="L2074" s="11">
        <f>((Table1[[#This Row],[launched_at]]/60)/60/24)+DATE(1970,1,1)</f>
        <v>42467.581388888888</v>
      </c>
      <c r="M2074">
        <f>MONTH(Table1[[#This Row],[Date Created Conversion]])</f>
        <v>4</v>
      </c>
      <c r="N2074">
        <f>YEAR(Table1[[#This Row],[Date Created Conversion]])</f>
        <v>2016</v>
      </c>
      <c r="O2074" t="b">
        <v>0</v>
      </c>
      <c r="P2074">
        <v>350</v>
      </c>
      <c r="Q2074" t="b">
        <v>1</v>
      </c>
      <c r="R2074" t="s">
        <v>8295</v>
      </c>
      <c r="S2074" s="6">
        <f>Table1[[#This Row],[pledged]]/Table1[[#This Row],[goal]]</f>
        <v>1.1073146853146854</v>
      </c>
      <c r="T2074" s="8">
        <f>IF(Table1[[#This Row],[pledged]]=0,"no backers",Table1[[#This Row],[pledged]]/Table1[[#This Row],[backers_count]])</f>
        <v>226.20857142857142</v>
      </c>
      <c r="U2074" t="str">
        <f>LEFT(Table1[[#This Row],[Category and Sub-Category]],FIND("/",Table1[[#This Row],[Category and Sub-Category]])-1)</f>
        <v>technology</v>
      </c>
      <c r="V2074" t="str">
        <f>RIGHT(Table1[[#This Row],[Category and Sub-Category]],LEN(Table1[[#This Row],[Category and Sub-Category]])-FIND("/",Table1[[#This Row],[Category and Sub-Category]]))</f>
        <v>hardware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 s="12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>((Table1[[#This Row],[deadline]]/60)/60/24)+DATE(1970,1,1)</f>
        <v>42132.668032407411</v>
      </c>
      <c r="K2075">
        <v>1427212918</v>
      </c>
      <c r="L2075" s="11">
        <f>((Table1[[#This Row],[launched_at]]/60)/60/24)+DATE(1970,1,1)</f>
        <v>42087.668032407411</v>
      </c>
      <c r="M2075">
        <f>MONTH(Table1[[#This Row],[Date Created Conversion]])</f>
        <v>3</v>
      </c>
      <c r="N2075">
        <f>YEAR(Table1[[#This Row],[Date Created Conversion]])</f>
        <v>2015</v>
      </c>
      <c r="O2075" t="b">
        <v>0</v>
      </c>
      <c r="P2075">
        <v>470</v>
      </c>
      <c r="Q2075" t="b">
        <v>1</v>
      </c>
      <c r="R2075" t="s">
        <v>8295</v>
      </c>
      <c r="S2075" s="6">
        <f>Table1[[#This Row],[pledged]]/Table1[[#This Row],[goal]]</f>
        <v>1.5260429999999998</v>
      </c>
      <c r="T2075" s="8">
        <f>IF(Table1[[#This Row],[pledged]]=0,"no backers",Table1[[#This Row],[pledged]]/Table1[[#This Row],[backers_count]])</f>
        <v>324.69</v>
      </c>
      <c r="U2075" t="str">
        <f>LEFT(Table1[[#This Row],[Category and Sub-Category]],FIND("/",Table1[[#This Row],[Category and Sub-Category]])-1)</f>
        <v>technology</v>
      </c>
      <c r="V2075" t="str">
        <f>RIGHT(Table1[[#This Row],[Category and Sub-Category]],LEN(Table1[[#This Row],[Category and Sub-Category]])-FIND("/",Table1[[#This Row],[Category and Sub-Category]]))</f>
        <v>hardware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 s="12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>((Table1[[#This Row],[deadline]]/60)/60/24)+DATE(1970,1,1)</f>
        <v>42496.826180555552</v>
      </c>
      <c r="K2076">
        <v>1459972182</v>
      </c>
      <c r="L2076" s="11">
        <f>((Table1[[#This Row],[launched_at]]/60)/60/24)+DATE(1970,1,1)</f>
        <v>42466.826180555552</v>
      </c>
      <c r="M2076">
        <f>MONTH(Table1[[#This Row],[Date Created Conversion]])</f>
        <v>4</v>
      </c>
      <c r="N2076">
        <f>YEAR(Table1[[#This Row],[Date Created Conversion]])</f>
        <v>2016</v>
      </c>
      <c r="O2076" t="b">
        <v>0</v>
      </c>
      <c r="P2076">
        <v>3</v>
      </c>
      <c r="Q2076" t="b">
        <v>1</v>
      </c>
      <c r="R2076" t="s">
        <v>8295</v>
      </c>
      <c r="S2076" s="6">
        <f>Table1[[#This Row],[pledged]]/Table1[[#This Row],[goal]]</f>
        <v>1.0249999999999999</v>
      </c>
      <c r="T2076" s="8">
        <f>IF(Table1[[#This Row],[pledged]]=0,"no backers",Table1[[#This Row],[pledged]]/Table1[[#This Row],[backers_count]])</f>
        <v>205</v>
      </c>
      <c r="U2076" t="str">
        <f>LEFT(Table1[[#This Row],[Category and Sub-Category]],FIND("/",Table1[[#This Row],[Category and Sub-Category]])-1)</f>
        <v>technology</v>
      </c>
      <c r="V2076" t="str">
        <f>RIGHT(Table1[[#This Row],[Category and Sub-Category]],LEN(Table1[[#This Row],[Category and Sub-Category]])-FIND("/",Table1[[#This Row],[Category and Sub-Category]]))</f>
        <v>hardware</v>
      </c>
    </row>
    <row r="2077" spans="1:22" ht="43.2" x14ac:dyDescent="0.3">
      <c r="A2077">
        <v>2075</v>
      </c>
      <c r="B2077" s="3" t="s">
        <v>2076</v>
      </c>
      <c r="C2077" s="3" t="s">
        <v>6185</v>
      </c>
      <c r="D2077" s="12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>((Table1[[#This Row],[deadline]]/60)/60/24)+DATE(1970,1,1)</f>
        <v>41480.681574074071</v>
      </c>
      <c r="K2077">
        <v>1372177288</v>
      </c>
      <c r="L2077" s="11">
        <f>((Table1[[#This Row],[launched_at]]/60)/60/24)+DATE(1970,1,1)</f>
        <v>41450.681574074071</v>
      </c>
      <c r="M2077">
        <f>MONTH(Table1[[#This Row],[Date Created Conversion]])</f>
        <v>6</v>
      </c>
      <c r="N2077">
        <f>YEAR(Table1[[#This Row],[Date Created Conversion]])</f>
        <v>2013</v>
      </c>
      <c r="O2077" t="b">
        <v>0</v>
      </c>
      <c r="P2077">
        <v>8200</v>
      </c>
      <c r="Q2077" t="b">
        <v>1</v>
      </c>
      <c r="R2077" t="s">
        <v>8295</v>
      </c>
      <c r="S2077" s="6">
        <f>Table1[[#This Row],[pledged]]/Table1[[#This Row],[goal]]</f>
        <v>16.783738373837384</v>
      </c>
      <c r="T2077" s="8">
        <f>IF(Table1[[#This Row],[pledged]]=0,"no backers",Table1[[#This Row],[pledged]]/Table1[[#This Row],[backers_count]])</f>
        <v>20.465926829268295</v>
      </c>
      <c r="U2077" t="str">
        <f>LEFT(Table1[[#This Row],[Category and Sub-Category]],FIND("/",Table1[[#This Row],[Category and Sub-Category]])-1)</f>
        <v>technology</v>
      </c>
      <c r="V2077" t="str">
        <f>RIGHT(Table1[[#This Row],[Category and Sub-Category]],LEN(Table1[[#This Row],[Category and Sub-Category]])-FIND("/",Table1[[#This Row],[Category and Sub-Category]]))</f>
        <v>hardware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 s="12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>((Table1[[#This Row],[deadline]]/60)/60/24)+DATE(1970,1,1)</f>
        <v>41843.880659722221</v>
      </c>
      <c r="K2078">
        <v>1402693689</v>
      </c>
      <c r="L2078" s="11">
        <f>((Table1[[#This Row],[launched_at]]/60)/60/24)+DATE(1970,1,1)</f>
        <v>41803.880659722221</v>
      </c>
      <c r="M2078">
        <f>MONTH(Table1[[#This Row],[Date Created Conversion]])</f>
        <v>6</v>
      </c>
      <c r="N2078">
        <f>YEAR(Table1[[#This Row],[Date Created Conversion]])</f>
        <v>2014</v>
      </c>
      <c r="O2078" t="b">
        <v>0</v>
      </c>
      <c r="P2078">
        <v>8359</v>
      </c>
      <c r="Q2078" t="b">
        <v>1</v>
      </c>
      <c r="R2078" t="s">
        <v>8295</v>
      </c>
      <c r="S2078" s="6">
        <f>Table1[[#This Row],[pledged]]/Table1[[#This Row],[goal]]</f>
        <v>5.4334915642458101</v>
      </c>
      <c r="T2078" s="8">
        <f>IF(Table1[[#This Row],[pledged]]=0,"no backers",Table1[[#This Row],[pledged]]/Table1[[#This Row],[backers_count]])</f>
        <v>116.35303146309367</v>
      </c>
      <c r="U2078" t="str">
        <f>LEFT(Table1[[#This Row],[Category and Sub-Category]],FIND("/",Table1[[#This Row],[Category and Sub-Category]])-1)</f>
        <v>technology</v>
      </c>
      <c r="V2078" t="str">
        <f>RIGHT(Table1[[#This Row],[Category and Sub-Category]],LEN(Table1[[#This Row],[Category and Sub-Category]])-FIND("/",Table1[[#This Row],[Category and Sub-Category]]))</f>
        <v>hardware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 s="12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>((Table1[[#This Row],[deadline]]/60)/60/24)+DATE(1970,1,1)</f>
        <v>42160.875</v>
      </c>
      <c r="K2079">
        <v>1428541276</v>
      </c>
      <c r="L2079" s="11">
        <f>((Table1[[#This Row],[launched_at]]/60)/60/24)+DATE(1970,1,1)</f>
        <v>42103.042546296296</v>
      </c>
      <c r="M2079">
        <f>MONTH(Table1[[#This Row],[Date Created Conversion]])</f>
        <v>4</v>
      </c>
      <c r="N2079">
        <f>YEAR(Table1[[#This Row],[Date Created Conversion]])</f>
        <v>2015</v>
      </c>
      <c r="O2079" t="b">
        <v>0</v>
      </c>
      <c r="P2079">
        <v>188</v>
      </c>
      <c r="Q2079" t="b">
        <v>1</v>
      </c>
      <c r="R2079" t="s">
        <v>8295</v>
      </c>
      <c r="S2079" s="6">
        <f>Table1[[#This Row],[pledged]]/Table1[[#This Row],[goal]]</f>
        <v>1.1550800000000001</v>
      </c>
      <c r="T2079" s="8">
        <f>IF(Table1[[#This Row],[pledged]]=0,"no backers",Table1[[#This Row],[pledged]]/Table1[[#This Row],[backers_count]])</f>
        <v>307.20212765957444</v>
      </c>
      <c r="U2079" t="str">
        <f>LEFT(Table1[[#This Row],[Category and Sub-Category]],FIND("/",Table1[[#This Row],[Category and Sub-Category]])-1)</f>
        <v>technology</v>
      </c>
      <c r="V2079" t="str">
        <f>RIGHT(Table1[[#This Row],[Category and Sub-Category]],LEN(Table1[[#This Row],[Category and Sub-Category]])-FIND("/",Table1[[#This Row],[Category and Sub-Category]]))</f>
        <v>hardware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 s="12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>((Table1[[#This Row],[deadline]]/60)/60/24)+DATE(1970,1,1)</f>
        <v>42722.771493055552</v>
      </c>
      <c r="K2080">
        <v>1479493857</v>
      </c>
      <c r="L2080" s="11">
        <f>((Table1[[#This Row],[launched_at]]/60)/60/24)+DATE(1970,1,1)</f>
        <v>42692.771493055552</v>
      </c>
      <c r="M2080">
        <f>MONTH(Table1[[#This Row],[Date Created Conversion]])</f>
        <v>11</v>
      </c>
      <c r="N2080">
        <f>YEAR(Table1[[#This Row],[Date Created Conversion]])</f>
        <v>2016</v>
      </c>
      <c r="O2080" t="b">
        <v>0</v>
      </c>
      <c r="P2080">
        <v>48</v>
      </c>
      <c r="Q2080" t="b">
        <v>1</v>
      </c>
      <c r="R2080" t="s">
        <v>8295</v>
      </c>
      <c r="S2080" s="6">
        <f>Table1[[#This Row],[pledged]]/Table1[[#This Row],[goal]]</f>
        <v>1.3120499999999999</v>
      </c>
      <c r="T2080" s="8">
        <f>IF(Table1[[#This Row],[pledged]]=0,"no backers",Table1[[#This Row],[pledged]]/Table1[[#This Row],[backers_count]])</f>
        <v>546.6875</v>
      </c>
      <c r="U2080" t="str">
        <f>LEFT(Table1[[#This Row],[Category and Sub-Category]],FIND("/",Table1[[#This Row],[Category and Sub-Category]])-1)</f>
        <v>technology</v>
      </c>
      <c r="V2080" t="str">
        <f>RIGHT(Table1[[#This Row],[Category and Sub-Category]],LEN(Table1[[#This Row],[Category and Sub-Category]])-FIND("/",Table1[[#This Row],[Category and Sub-Category]]))</f>
        <v>hardware</v>
      </c>
    </row>
    <row r="2081" spans="1:22" ht="57.6" x14ac:dyDescent="0.3">
      <c r="A2081">
        <v>2079</v>
      </c>
      <c r="B2081" s="3" t="s">
        <v>2080</v>
      </c>
      <c r="C2081" s="3" t="s">
        <v>6189</v>
      </c>
      <c r="D2081" s="12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>((Table1[[#This Row],[deadline]]/60)/60/24)+DATE(1970,1,1)</f>
        <v>42180.791666666672</v>
      </c>
      <c r="K2081">
        <v>1432659793</v>
      </c>
      <c r="L2081" s="11">
        <f>((Table1[[#This Row],[launched_at]]/60)/60/24)+DATE(1970,1,1)</f>
        <v>42150.71056712963</v>
      </c>
      <c r="M2081">
        <f>MONTH(Table1[[#This Row],[Date Created Conversion]])</f>
        <v>5</v>
      </c>
      <c r="N2081">
        <f>YEAR(Table1[[#This Row],[Date Created Conversion]])</f>
        <v>2015</v>
      </c>
      <c r="O2081" t="b">
        <v>0</v>
      </c>
      <c r="P2081">
        <v>607</v>
      </c>
      <c r="Q2081" t="b">
        <v>1</v>
      </c>
      <c r="R2081" t="s">
        <v>8295</v>
      </c>
      <c r="S2081" s="6">
        <f>Table1[[#This Row],[pledged]]/Table1[[#This Row],[goal]]</f>
        <v>2.8816999999999999</v>
      </c>
      <c r="T2081" s="8">
        <f>IF(Table1[[#This Row],[pledged]]=0,"no backers",Table1[[#This Row],[pledged]]/Table1[[#This Row],[backers_count]])</f>
        <v>47.474464579901152</v>
      </c>
      <c r="U2081" t="str">
        <f>LEFT(Table1[[#This Row],[Category and Sub-Category]],FIND("/",Table1[[#This Row],[Category and Sub-Category]])-1)</f>
        <v>technology</v>
      </c>
      <c r="V2081" t="str">
        <f>RIGHT(Table1[[#This Row],[Category and Sub-Category]],LEN(Table1[[#This Row],[Category and Sub-Category]])-FIND("/",Table1[[#This Row],[Category and Sub-Category]]))</f>
        <v>hardware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 s="1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>((Table1[[#This Row],[deadline]]/60)/60/24)+DATE(1970,1,1)</f>
        <v>42319.998842592591</v>
      </c>
      <c r="K2082">
        <v>1444690700</v>
      </c>
      <c r="L2082" s="11">
        <f>((Table1[[#This Row],[launched_at]]/60)/60/24)+DATE(1970,1,1)</f>
        <v>42289.957175925927</v>
      </c>
      <c r="M2082">
        <f>MONTH(Table1[[#This Row],[Date Created Conversion]])</f>
        <v>10</v>
      </c>
      <c r="N2082">
        <f>YEAR(Table1[[#This Row],[Date Created Conversion]])</f>
        <v>2015</v>
      </c>
      <c r="O2082" t="b">
        <v>0</v>
      </c>
      <c r="P2082">
        <v>50</v>
      </c>
      <c r="Q2082" t="b">
        <v>1</v>
      </c>
      <c r="R2082" t="s">
        <v>8295</v>
      </c>
      <c r="S2082" s="6">
        <f>Table1[[#This Row],[pledged]]/Table1[[#This Row],[goal]]</f>
        <v>5.0780000000000003</v>
      </c>
      <c r="T2082" s="8">
        <f>IF(Table1[[#This Row],[pledged]]=0,"no backers",Table1[[#This Row],[pledged]]/Table1[[#This Row],[backers_count]])</f>
        <v>101.56</v>
      </c>
      <c r="U2082" t="str">
        <f>LEFT(Table1[[#This Row],[Category and Sub-Category]],FIND("/",Table1[[#This Row],[Category and Sub-Category]])-1)</f>
        <v>technology</v>
      </c>
      <c r="V2082" t="str">
        <f>RIGHT(Table1[[#This Row],[Category and Sub-Category]],LEN(Table1[[#This Row],[Category and Sub-Category]])-FIND("/",Table1[[#This Row],[Category and Sub-Category]]))</f>
        <v>hardware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 s="12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>((Table1[[#This Row],[deadline]]/60)/60/24)+DATE(1970,1,1)</f>
        <v>41045.207638888889</v>
      </c>
      <c r="K2083">
        <v>1333597555</v>
      </c>
      <c r="L2083" s="11">
        <f>((Table1[[#This Row],[launched_at]]/60)/60/24)+DATE(1970,1,1)</f>
        <v>41004.156886574077</v>
      </c>
      <c r="M2083">
        <f>MONTH(Table1[[#This Row],[Date Created Conversion]])</f>
        <v>4</v>
      </c>
      <c r="N2083">
        <f>YEAR(Table1[[#This Row],[Date Created Conversion]])</f>
        <v>2012</v>
      </c>
      <c r="O2083" t="b">
        <v>0</v>
      </c>
      <c r="P2083">
        <v>55</v>
      </c>
      <c r="Q2083" t="b">
        <v>1</v>
      </c>
      <c r="R2083" t="s">
        <v>8279</v>
      </c>
      <c r="S2083" s="6">
        <f>Table1[[#This Row],[pledged]]/Table1[[#This Row],[goal]]</f>
        <v>1.1457142857142857</v>
      </c>
      <c r="T2083" s="8">
        <f>IF(Table1[[#This Row],[pledged]]=0,"no backers",Table1[[#This Row],[pledged]]/Table1[[#This Row],[backers_count]])</f>
        <v>72.909090909090907</v>
      </c>
      <c r="U2083" t="str">
        <f>LEFT(Table1[[#This Row],[Category and Sub-Category]],FIND("/",Table1[[#This Row],[Category and Sub-Category]])-1)</f>
        <v>music</v>
      </c>
      <c r="V2083" t="str">
        <f>RIGHT(Table1[[#This Row],[Category and Sub-Category]],LEN(Table1[[#This Row],[Category and Sub-Category]])-FIND("/",Table1[[#This Row],[Category and Sub-Category]]))</f>
        <v>indie rock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 s="12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>((Table1[[#This Row],[deadline]]/60)/60/24)+DATE(1970,1,1)</f>
        <v>40871.161990740737</v>
      </c>
      <c r="K2084">
        <v>1316919196</v>
      </c>
      <c r="L2084" s="11">
        <f>((Table1[[#This Row],[launched_at]]/60)/60/24)+DATE(1970,1,1)</f>
        <v>40811.120324074072</v>
      </c>
      <c r="M2084">
        <f>MONTH(Table1[[#This Row],[Date Created Conversion]])</f>
        <v>9</v>
      </c>
      <c r="N2084">
        <f>YEAR(Table1[[#This Row],[Date Created Conversion]])</f>
        <v>2011</v>
      </c>
      <c r="O2084" t="b">
        <v>0</v>
      </c>
      <c r="P2084">
        <v>38</v>
      </c>
      <c r="Q2084" t="b">
        <v>1</v>
      </c>
      <c r="R2084" t="s">
        <v>8279</v>
      </c>
      <c r="S2084" s="6">
        <f>Table1[[#This Row],[pledged]]/Table1[[#This Row],[goal]]</f>
        <v>1.1073333333333333</v>
      </c>
      <c r="T2084" s="8">
        <f>IF(Table1[[#This Row],[pledged]]=0,"no backers",Table1[[#This Row],[pledged]]/Table1[[#This Row],[backers_count]])</f>
        <v>43.710526315789473</v>
      </c>
      <c r="U2084" t="str">
        <f>LEFT(Table1[[#This Row],[Category and Sub-Category]],FIND("/",Table1[[#This Row],[Category and Sub-Category]])-1)</f>
        <v>music</v>
      </c>
      <c r="V2084" t="str">
        <f>RIGHT(Table1[[#This Row],[Category and Sub-Category]],LEN(Table1[[#This Row],[Category and Sub-Category]])-FIND("/",Table1[[#This Row],[Category and Sub-Category]]))</f>
        <v>indie rock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 s="12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>((Table1[[#This Row],[deadline]]/60)/60/24)+DATE(1970,1,1)</f>
        <v>41064.72216435185</v>
      </c>
      <c r="K2085">
        <v>1336238395</v>
      </c>
      <c r="L2085" s="11">
        <f>((Table1[[#This Row],[launched_at]]/60)/60/24)+DATE(1970,1,1)</f>
        <v>41034.72216435185</v>
      </c>
      <c r="M2085">
        <f>MONTH(Table1[[#This Row],[Date Created Conversion]])</f>
        <v>5</v>
      </c>
      <c r="N2085">
        <f>YEAR(Table1[[#This Row],[Date Created Conversion]])</f>
        <v>2012</v>
      </c>
      <c r="O2085" t="b">
        <v>0</v>
      </c>
      <c r="P2085">
        <v>25</v>
      </c>
      <c r="Q2085" t="b">
        <v>1</v>
      </c>
      <c r="R2085" t="s">
        <v>8279</v>
      </c>
      <c r="S2085" s="6">
        <f>Table1[[#This Row],[pledged]]/Table1[[#This Row],[goal]]</f>
        <v>1.1333333333333333</v>
      </c>
      <c r="T2085" s="8">
        <f>IF(Table1[[#This Row],[pledged]]=0,"no backers",Table1[[#This Row],[pledged]]/Table1[[#This Row],[backers_count]])</f>
        <v>34</v>
      </c>
      <c r="U2085" t="str">
        <f>LEFT(Table1[[#This Row],[Category and Sub-Category]],FIND("/",Table1[[#This Row],[Category and Sub-Category]])-1)</f>
        <v>music</v>
      </c>
      <c r="V2085" t="str">
        <f>RIGHT(Table1[[#This Row],[Category and Sub-Category]],LEN(Table1[[#This Row],[Category and Sub-Category]])-FIND("/",Table1[[#This Row],[Category and Sub-Category]]))</f>
        <v>indie rock</v>
      </c>
    </row>
    <row r="2086" spans="1:22" ht="43.2" x14ac:dyDescent="0.3">
      <c r="A2086">
        <v>2084</v>
      </c>
      <c r="B2086" s="3" t="s">
        <v>2085</v>
      </c>
      <c r="C2086" s="3" t="s">
        <v>6194</v>
      </c>
      <c r="D2086" s="12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>((Table1[[#This Row],[deadline]]/60)/60/24)+DATE(1970,1,1)</f>
        <v>41763.290972222225</v>
      </c>
      <c r="K2086">
        <v>1396468782</v>
      </c>
      <c r="L2086" s="11">
        <f>((Table1[[#This Row],[launched_at]]/60)/60/24)+DATE(1970,1,1)</f>
        <v>41731.833124999997</v>
      </c>
      <c r="M2086">
        <f>MONTH(Table1[[#This Row],[Date Created Conversion]])</f>
        <v>4</v>
      </c>
      <c r="N2086">
        <f>YEAR(Table1[[#This Row],[Date Created Conversion]])</f>
        <v>2014</v>
      </c>
      <c r="O2086" t="b">
        <v>0</v>
      </c>
      <c r="P2086">
        <v>46</v>
      </c>
      <c r="Q2086" t="b">
        <v>1</v>
      </c>
      <c r="R2086" t="s">
        <v>8279</v>
      </c>
      <c r="S2086" s="6">
        <f>Table1[[#This Row],[pledged]]/Table1[[#This Row],[goal]]</f>
        <v>1.0833333333333333</v>
      </c>
      <c r="T2086" s="8">
        <f>IF(Table1[[#This Row],[pledged]]=0,"no backers",Table1[[#This Row],[pledged]]/Table1[[#This Row],[backers_count]])</f>
        <v>70.652173913043484</v>
      </c>
      <c r="U2086" t="str">
        <f>LEFT(Table1[[#This Row],[Category and Sub-Category]],FIND("/",Table1[[#This Row],[Category and Sub-Category]])-1)</f>
        <v>music</v>
      </c>
      <c r="V2086" t="str">
        <f>RIGHT(Table1[[#This Row],[Category and Sub-Category]],LEN(Table1[[#This Row],[Category and Sub-Category]])-FIND("/",Table1[[#This Row],[Category and Sub-Category]]))</f>
        <v>indie rock</v>
      </c>
    </row>
    <row r="2087" spans="1:22" ht="57.6" x14ac:dyDescent="0.3">
      <c r="A2087">
        <v>2085</v>
      </c>
      <c r="B2087" s="3" t="s">
        <v>2086</v>
      </c>
      <c r="C2087" s="3" t="s">
        <v>6195</v>
      </c>
      <c r="D2087" s="12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>((Table1[[#This Row],[deadline]]/60)/60/24)+DATE(1970,1,1)</f>
        <v>41105.835497685184</v>
      </c>
      <c r="K2087">
        <v>1339790587</v>
      </c>
      <c r="L2087" s="11">
        <f>((Table1[[#This Row],[launched_at]]/60)/60/24)+DATE(1970,1,1)</f>
        <v>41075.835497685184</v>
      </c>
      <c r="M2087">
        <f>MONTH(Table1[[#This Row],[Date Created Conversion]])</f>
        <v>6</v>
      </c>
      <c r="N2087">
        <f>YEAR(Table1[[#This Row],[Date Created Conversion]])</f>
        <v>2012</v>
      </c>
      <c r="O2087" t="b">
        <v>0</v>
      </c>
      <c r="P2087">
        <v>83</v>
      </c>
      <c r="Q2087" t="b">
        <v>1</v>
      </c>
      <c r="R2087" t="s">
        <v>8279</v>
      </c>
      <c r="S2087" s="6">
        <f>Table1[[#This Row],[pledged]]/Table1[[#This Row],[goal]]</f>
        <v>1.2353333333333334</v>
      </c>
      <c r="T2087" s="8">
        <f>IF(Table1[[#This Row],[pledged]]=0,"no backers",Table1[[#This Row],[pledged]]/Table1[[#This Row],[backers_count]])</f>
        <v>89.301204819277103</v>
      </c>
      <c r="U2087" t="str">
        <f>LEFT(Table1[[#This Row],[Category and Sub-Category]],FIND("/",Table1[[#This Row],[Category and Sub-Category]])-1)</f>
        <v>music</v>
      </c>
      <c r="V2087" t="str">
        <f>RIGHT(Table1[[#This Row],[Category and Sub-Category]],LEN(Table1[[#This Row],[Category and Sub-Category]])-FIND("/",Table1[[#This Row],[Category and Sub-Category]]))</f>
        <v>indie rock</v>
      </c>
    </row>
    <row r="2088" spans="1:22" ht="43.2" x14ac:dyDescent="0.3">
      <c r="A2088">
        <v>2086</v>
      </c>
      <c r="B2088" s="3" t="s">
        <v>2087</v>
      </c>
      <c r="C2088" s="3" t="s">
        <v>6196</v>
      </c>
      <c r="D2088" s="12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>((Table1[[#This Row],[deadline]]/60)/60/24)+DATE(1970,1,1)</f>
        <v>40891.207638888889</v>
      </c>
      <c r="K2088">
        <v>1321200332</v>
      </c>
      <c r="L2088" s="11">
        <f>((Table1[[#This Row],[launched_at]]/60)/60/24)+DATE(1970,1,1)</f>
        <v>40860.67050925926</v>
      </c>
      <c r="M2088">
        <f>MONTH(Table1[[#This Row],[Date Created Conversion]])</f>
        <v>11</v>
      </c>
      <c r="N2088">
        <f>YEAR(Table1[[#This Row],[Date Created Conversion]])</f>
        <v>2011</v>
      </c>
      <c r="O2088" t="b">
        <v>0</v>
      </c>
      <c r="P2088">
        <v>35</v>
      </c>
      <c r="Q2088" t="b">
        <v>1</v>
      </c>
      <c r="R2088" t="s">
        <v>8279</v>
      </c>
      <c r="S2088" s="6">
        <f>Table1[[#This Row],[pledged]]/Table1[[#This Row],[goal]]</f>
        <v>1.0069999999999999</v>
      </c>
      <c r="T2088" s="8">
        <f>IF(Table1[[#This Row],[pledged]]=0,"no backers",Table1[[#This Row],[pledged]]/Table1[[#This Row],[backers_count]])</f>
        <v>115.08571428571429</v>
      </c>
      <c r="U2088" t="str">
        <f>LEFT(Table1[[#This Row],[Category and Sub-Category]],FIND("/",Table1[[#This Row],[Category and Sub-Category]])-1)</f>
        <v>music</v>
      </c>
      <c r="V2088" t="str">
        <f>RIGHT(Table1[[#This Row],[Category and Sub-Category]],LEN(Table1[[#This Row],[Category and Sub-Category]])-FIND("/",Table1[[#This Row],[Category and Sub-Category]]))</f>
        <v>indie rock</v>
      </c>
    </row>
    <row r="2089" spans="1:22" ht="57.6" x14ac:dyDescent="0.3">
      <c r="A2089">
        <v>2087</v>
      </c>
      <c r="B2089" s="3" t="s">
        <v>2088</v>
      </c>
      <c r="C2089" s="3" t="s">
        <v>6197</v>
      </c>
      <c r="D2089" s="12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>((Table1[[#This Row],[deadline]]/60)/60/24)+DATE(1970,1,1)</f>
        <v>40794.204375000001</v>
      </c>
      <c r="K2089">
        <v>1312865658</v>
      </c>
      <c r="L2089" s="11">
        <f>((Table1[[#This Row],[launched_at]]/60)/60/24)+DATE(1970,1,1)</f>
        <v>40764.204375000001</v>
      </c>
      <c r="M2089">
        <f>MONTH(Table1[[#This Row],[Date Created Conversion]])</f>
        <v>8</v>
      </c>
      <c r="N2089">
        <f>YEAR(Table1[[#This Row],[Date Created Conversion]])</f>
        <v>2011</v>
      </c>
      <c r="O2089" t="b">
        <v>0</v>
      </c>
      <c r="P2089">
        <v>25</v>
      </c>
      <c r="Q2089" t="b">
        <v>1</v>
      </c>
      <c r="R2089" t="s">
        <v>8279</v>
      </c>
      <c r="S2089" s="6">
        <f>Table1[[#This Row],[pledged]]/Table1[[#This Row],[goal]]</f>
        <v>1.0353333333333334</v>
      </c>
      <c r="T2089" s="8">
        <f>IF(Table1[[#This Row],[pledged]]=0,"no backers",Table1[[#This Row],[pledged]]/Table1[[#This Row],[backers_count]])</f>
        <v>62.12</v>
      </c>
      <c r="U2089" t="str">
        <f>LEFT(Table1[[#This Row],[Category and Sub-Category]],FIND("/",Table1[[#This Row],[Category and Sub-Category]])-1)</f>
        <v>music</v>
      </c>
      <c r="V2089" t="str">
        <f>RIGHT(Table1[[#This Row],[Category and Sub-Category]],LEN(Table1[[#This Row],[Category and Sub-Category]])-FIND("/",Table1[[#This Row],[Category and Sub-Category]]))</f>
        <v>indie rock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 s="12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>((Table1[[#This Row],[deadline]]/60)/60/24)+DATE(1970,1,1)</f>
        <v>40432.165972222225</v>
      </c>
      <c r="K2090">
        <v>1281028152</v>
      </c>
      <c r="L2090" s="11">
        <f>((Table1[[#This Row],[launched_at]]/60)/60/24)+DATE(1970,1,1)</f>
        <v>40395.714722222219</v>
      </c>
      <c r="M2090">
        <f>MONTH(Table1[[#This Row],[Date Created Conversion]])</f>
        <v>8</v>
      </c>
      <c r="N2090">
        <f>YEAR(Table1[[#This Row],[Date Created Conversion]])</f>
        <v>2010</v>
      </c>
      <c r="O2090" t="b">
        <v>0</v>
      </c>
      <c r="P2090">
        <v>75</v>
      </c>
      <c r="Q2090" t="b">
        <v>1</v>
      </c>
      <c r="R2090" t="s">
        <v>8279</v>
      </c>
      <c r="S2090" s="6">
        <f>Table1[[#This Row],[pledged]]/Table1[[#This Row],[goal]]</f>
        <v>1.1551066666666667</v>
      </c>
      <c r="T2090" s="8">
        <f>IF(Table1[[#This Row],[pledged]]=0,"no backers",Table1[[#This Row],[pledged]]/Table1[[#This Row],[backers_count]])</f>
        <v>46.204266666666669</v>
      </c>
      <c r="U2090" t="str">
        <f>LEFT(Table1[[#This Row],[Category and Sub-Category]],FIND("/",Table1[[#This Row],[Category and Sub-Category]])-1)</f>
        <v>music</v>
      </c>
      <c r="V2090" t="str">
        <f>RIGHT(Table1[[#This Row],[Category and Sub-Category]],LEN(Table1[[#This Row],[Category and Sub-Category]])-FIND("/",Table1[[#This Row],[Category and Sub-Category]]))</f>
        <v>indie rock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 s="12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>((Table1[[#This Row],[deadline]]/60)/60/24)+DATE(1970,1,1)</f>
        <v>41488.076319444444</v>
      </c>
      <c r="K2091">
        <v>1372384194</v>
      </c>
      <c r="L2091" s="11">
        <f>((Table1[[#This Row],[launched_at]]/60)/60/24)+DATE(1970,1,1)</f>
        <v>41453.076319444444</v>
      </c>
      <c r="M2091">
        <f>MONTH(Table1[[#This Row],[Date Created Conversion]])</f>
        <v>6</v>
      </c>
      <c r="N2091">
        <f>YEAR(Table1[[#This Row],[Date Created Conversion]])</f>
        <v>2013</v>
      </c>
      <c r="O2091" t="b">
        <v>0</v>
      </c>
      <c r="P2091">
        <v>62</v>
      </c>
      <c r="Q2091" t="b">
        <v>1</v>
      </c>
      <c r="R2091" t="s">
        <v>8279</v>
      </c>
      <c r="S2091" s="6">
        <f>Table1[[#This Row],[pledged]]/Table1[[#This Row],[goal]]</f>
        <v>1.2040040000000001</v>
      </c>
      <c r="T2091" s="8">
        <f>IF(Table1[[#This Row],[pledged]]=0,"no backers",Table1[[#This Row],[pledged]]/Table1[[#This Row],[backers_count]])</f>
        <v>48.54854838709678</v>
      </c>
      <c r="U2091" t="str">
        <f>LEFT(Table1[[#This Row],[Category and Sub-Category]],FIND("/",Table1[[#This Row],[Category and Sub-Category]])-1)</f>
        <v>music</v>
      </c>
      <c r="V2091" t="str">
        <f>RIGHT(Table1[[#This Row],[Category and Sub-Category]],LEN(Table1[[#This Row],[Category and Sub-Category]])-FIND("/",Table1[[#This Row],[Category and Sub-Category]]))</f>
        <v>indie rock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 s="1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>((Table1[[#This Row],[deadline]]/60)/60/24)+DATE(1970,1,1)</f>
        <v>41329.381423611114</v>
      </c>
      <c r="K2092">
        <v>1359104955</v>
      </c>
      <c r="L2092" s="11">
        <f>((Table1[[#This Row],[launched_at]]/60)/60/24)+DATE(1970,1,1)</f>
        <v>41299.381423611114</v>
      </c>
      <c r="M2092">
        <f>MONTH(Table1[[#This Row],[Date Created Conversion]])</f>
        <v>1</v>
      </c>
      <c r="N2092">
        <f>YEAR(Table1[[#This Row],[Date Created Conversion]])</f>
        <v>2013</v>
      </c>
      <c r="O2092" t="b">
        <v>0</v>
      </c>
      <c r="P2092">
        <v>160</v>
      </c>
      <c r="Q2092" t="b">
        <v>1</v>
      </c>
      <c r="R2092" t="s">
        <v>8279</v>
      </c>
      <c r="S2092" s="6">
        <f>Table1[[#This Row],[pledged]]/Table1[[#This Row],[goal]]</f>
        <v>1.1504037499999999</v>
      </c>
      <c r="T2092" s="8">
        <f>IF(Table1[[#This Row],[pledged]]=0,"no backers",Table1[[#This Row],[pledged]]/Table1[[#This Row],[backers_count]])</f>
        <v>57.520187499999999</v>
      </c>
      <c r="U2092" t="str">
        <f>LEFT(Table1[[#This Row],[Category and Sub-Category]],FIND("/",Table1[[#This Row],[Category and Sub-Category]])-1)</f>
        <v>music</v>
      </c>
      <c r="V2092" t="str">
        <f>RIGHT(Table1[[#This Row],[Category and Sub-Category]],LEN(Table1[[#This Row],[Category and Sub-Category]])-FIND("/",Table1[[#This Row],[Category and Sub-Category]]))</f>
        <v>indie rock</v>
      </c>
    </row>
    <row r="2093" spans="1:22" ht="57.6" x14ac:dyDescent="0.3">
      <c r="A2093">
        <v>2091</v>
      </c>
      <c r="B2093" s="3" t="s">
        <v>2092</v>
      </c>
      <c r="C2093" s="3" t="s">
        <v>6201</v>
      </c>
      <c r="D2093" s="12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>((Table1[[#This Row],[deadline]]/60)/60/24)+DATE(1970,1,1)</f>
        <v>40603.833333333336</v>
      </c>
      <c r="K2093">
        <v>1294818278</v>
      </c>
      <c r="L2093" s="11">
        <f>((Table1[[#This Row],[launched_at]]/60)/60/24)+DATE(1970,1,1)</f>
        <v>40555.322662037033</v>
      </c>
      <c r="M2093">
        <f>MONTH(Table1[[#This Row],[Date Created Conversion]])</f>
        <v>1</v>
      </c>
      <c r="N2093">
        <f>YEAR(Table1[[#This Row],[Date Created Conversion]])</f>
        <v>2011</v>
      </c>
      <c r="O2093" t="b">
        <v>0</v>
      </c>
      <c r="P2093">
        <v>246</v>
      </c>
      <c r="Q2093" t="b">
        <v>1</v>
      </c>
      <c r="R2093" t="s">
        <v>8279</v>
      </c>
      <c r="S2093" s="6">
        <f>Table1[[#This Row],[pledged]]/Table1[[#This Row],[goal]]</f>
        <v>1.2046777777777777</v>
      </c>
      <c r="T2093" s="8">
        <f>IF(Table1[[#This Row],[pledged]]=0,"no backers",Table1[[#This Row],[pledged]]/Table1[[#This Row],[backers_count]])</f>
        <v>88.147154471544724</v>
      </c>
      <c r="U2093" t="str">
        <f>LEFT(Table1[[#This Row],[Category and Sub-Category]],FIND("/",Table1[[#This Row],[Category and Sub-Category]])-1)</f>
        <v>music</v>
      </c>
      <c r="V2093" t="str">
        <f>RIGHT(Table1[[#This Row],[Category and Sub-Category]],LEN(Table1[[#This Row],[Category and Sub-Category]])-FIND("/",Table1[[#This Row],[Category and Sub-Category]]))</f>
        <v>indie rock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 s="12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>((Table1[[#This Row],[deadline]]/60)/60/24)+DATE(1970,1,1)</f>
        <v>40823.707546296297</v>
      </c>
      <c r="K2094">
        <v>1312822732</v>
      </c>
      <c r="L2094" s="11">
        <f>((Table1[[#This Row],[launched_at]]/60)/60/24)+DATE(1970,1,1)</f>
        <v>40763.707546296297</v>
      </c>
      <c r="M2094">
        <f>MONTH(Table1[[#This Row],[Date Created Conversion]])</f>
        <v>8</v>
      </c>
      <c r="N2094">
        <f>YEAR(Table1[[#This Row],[Date Created Conversion]])</f>
        <v>2011</v>
      </c>
      <c r="O2094" t="b">
        <v>0</v>
      </c>
      <c r="P2094">
        <v>55</v>
      </c>
      <c r="Q2094" t="b">
        <v>1</v>
      </c>
      <c r="R2094" t="s">
        <v>8279</v>
      </c>
      <c r="S2094" s="6">
        <f>Table1[[#This Row],[pledged]]/Table1[[#This Row],[goal]]</f>
        <v>1.0128333333333333</v>
      </c>
      <c r="T2094" s="8">
        <f>IF(Table1[[#This Row],[pledged]]=0,"no backers",Table1[[#This Row],[pledged]]/Table1[[#This Row],[backers_count]])</f>
        <v>110.49090909090908</v>
      </c>
      <c r="U2094" t="str">
        <f>LEFT(Table1[[#This Row],[Category and Sub-Category]],FIND("/",Table1[[#This Row],[Category and Sub-Category]])-1)</f>
        <v>music</v>
      </c>
      <c r="V2094" t="str">
        <f>RIGHT(Table1[[#This Row],[Category and Sub-Category]],LEN(Table1[[#This Row],[Category and Sub-Category]])-FIND("/",Table1[[#This Row],[Category and Sub-Category]]))</f>
        <v>indie rock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 s="12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>((Table1[[#This Row],[deadline]]/60)/60/24)+DATE(1970,1,1)</f>
        <v>41265.896203703705</v>
      </c>
      <c r="K2095">
        <v>1351024232</v>
      </c>
      <c r="L2095" s="11">
        <f>((Table1[[#This Row],[launched_at]]/60)/60/24)+DATE(1970,1,1)</f>
        <v>41205.854537037041</v>
      </c>
      <c r="M2095">
        <f>MONTH(Table1[[#This Row],[Date Created Conversion]])</f>
        <v>10</v>
      </c>
      <c r="N2095">
        <f>YEAR(Table1[[#This Row],[Date Created Conversion]])</f>
        <v>2012</v>
      </c>
      <c r="O2095" t="b">
        <v>0</v>
      </c>
      <c r="P2095">
        <v>23</v>
      </c>
      <c r="Q2095" t="b">
        <v>1</v>
      </c>
      <c r="R2095" t="s">
        <v>8279</v>
      </c>
      <c r="S2095" s="6">
        <f>Table1[[#This Row],[pledged]]/Table1[[#This Row],[goal]]</f>
        <v>1.0246666666666666</v>
      </c>
      <c r="T2095" s="8">
        <f>IF(Table1[[#This Row],[pledged]]=0,"no backers",Table1[[#This Row],[pledged]]/Table1[[#This Row],[backers_count]])</f>
        <v>66.826086956521735</v>
      </c>
      <c r="U2095" t="str">
        <f>LEFT(Table1[[#This Row],[Category and Sub-Category]],FIND("/",Table1[[#This Row],[Category and Sub-Category]])-1)</f>
        <v>music</v>
      </c>
      <c r="V2095" t="str">
        <f>RIGHT(Table1[[#This Row],[Category and Sub-Category]],LEN(Table1[[#This Row],[Category and Sub-Category]])-FIND("/",Table1[[#This Row],[Category and Sub-Category]]))</f>
        <v>indie rock</v>
      </c>
    </row>
    <row r="2096" spans="1:22" ht="57.6" x14ac:dyDescent="0.3">
      <c r="A2096">
        <v>2094</v>
      </c>
      <c r="B2096" s="3" t="s">
        <v>2095</v>
      </c>
      <c r="C2096" s="3" t="s">
        <v>6204</v>
      </c>
      <c r="D2096" s="12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>((Table1[[#This Row],[deadline]]/60)/60/24)+DATE(1970,1,1)</f>
        <v>40973.125</v>
      </c>
      <c r="K2096">
        <v>1327969730</v>
      </c>
      <c r="L2096" s="11">
        <f>((Table1[[#This Row],[launched_at]]/60)/60/24)+DATE(1970,1,1)</f>
        <v>40939.02002314815</v>
      </c>
      <c r="M2096">
        <f>MONTH(Table1[[#This Row],[Date Created Conversion]])</f>
        <v>1</v>
      </c>
      <c r="N2096">
        <f>YEAR(Table1[[#This Row],[Date Created Conversion]])</f>
        <v>2012</v>
      </c>
      <c r="O2096" t="b">
        <v>0</v>
      </c>
      <c r="P2096">
        <v>72</v>
      </c>
      <c r="Q2096" t="b">
        <v>1</v>
      </c>
      <c r="R2096" t="s">
        <v>8279</v>
      </c>
      <c r="S2096" s="6">
        <f>Table1[[#This Row],[pledged]]/Table1[[#This Row],[goal]]</f>
        <v>1.2054285714285715</v>
      </c>
      <c r="T2096" s="8">
        <f>IF(Table1[[#This Row],[pledged]]=0,"no backers",Table1[[#This Row],[pledged]]/Table1[[#This Row],[backers_count]])</f>
        <v>58.597222222222221</v>
      </c>
      <c r="U2096" t="str">
        <f>LEFT(Table1[[#This Row],[Category and Sub-Category]],FIND("/",Table1[[#This Row],[Category and Sub-Category]])-1)</f>
        <v>music</v>
      </c>
      <c r="V2096" t="str">
        <f>RIGHT(Table1[[#This Row],[Category and Sub-Category]],LEN(Table1[[#This Row],[Category and Sub-Category]])-FIND("/",Table1[[#This Row],[Category and Sub-Category]]))</f>
        <v>indie rock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 s="12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>((Table1[[#This Row],[deadline]]/60)/60/24)+DATE(1970,1,1)</f>
        <v>40818.733483796292</v>
      </c>
      <c r="K2097">
        <v>1312392973</v>
      </c>
      <c r="L2097" s="11">
        <f>((Table1[[#This Row],[launched_at]]/60)/60/24)+DATE(1970,1,1)</f>
        <v>40758.733483796292</v>
      </c>
      <c r="M2097">
        <f>MONTH(Table1[[#This Row],[Date Created Conversion]])</f>
        <v>8</v>
      </c>
      <c r="N2097">
        <f>YEAR(Table1[[#This Row],[Date Created Conversion]])</f>
        <v>2011</v>
      </c>
      <c r="O2097" t="b">
        <v>0</v>
      </c>
      <c r="P2097">
        <v>22</v>
      </c>
      <c r="Q2097" t="b">
        <v>1</v>
      </c>
      <c r="R2097" t="s">
        <v>8279</v>
      </c>
      <c r="S2097" s="6">
        <f>Table1[[#This Row],[pledged]]/Table1[[#This Row],[goal]]</f>
        <v>1</v>
      </c>
      <c r="T2097" s="8">
        <f>IF(Table1[[#This Row],[pledged]]=0,"no backers",Table1[[#This Row],[pledged]]/Table1[[#This Row],[backers_count]])</f>
        <v>113.63636363636364</v>
      </c>
      <c r="U2097" t="str">
        <f>LEFT(Table1[[#This Row],[Category and Sub-Category]],FIND("/",Table1[[#This Row],[Category and Sub-Category]])-1)</f>
        <v>music</v>
      </c>
      <c r="V2097" t="str">
        <f>RIGHT(Table1[[#This Row],[Category and Sub-Category]],LEN(Table1[[#This Row],[Category and Sub-Category]])-FIND("/",Table1[[#This Row],[Category and Sub-Category]]))</f>
        <v>indie rock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 s="12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>((Table1[[#This Row],[deadline]]/60)/60/24)+DATE(1970,1,1)</f>
        <v>41208.165972222225</v>
      </c>
      <c r="K2098">
        <v>1349892735</v>
      </c>
      <c r="L2098" s="11">
        <f>((Table1[[#This Row],[launched_at]]/60)/60/24)+DATE(1970,1,1)</f>
        <v>41192.758506944447</v>
      </c>
      <c r="M2098">
        <f>MONTH(Table1[[#This Row],[Date Created Conversion]])</f>
        <v>10</v>
      </c>
      <c r="N2098">
        <f>YEAR(Table1[[#This Row],[Date Created Conversion]])</f>
        <v>2012</v>
      </c>
      <c r="O2098" t="b">
        <v>0</v>
      </c>
      <c r="P2098">
        <v>14</v>
      </c>
      <c r="Q2098" t="b">
        <v>1</v>
      </c>
      <c r="R2098" t="s">
        <v>8279</v>
      </c>
      <c r="S2098" s="6">
        <f>Table1[[#This Row],[pledged]]/Table1[[#This Row],[goal]]</f>
        <v>1.0166666666666666</v>
      </c>
      <c r="T2098" s="8">
        <f>IF(Table1[[#This Row],[pledged]]=0,"no backers",Table1[[#This Row],[pledged]]/Table1[[#This Row],[backers_count]])</f>
        <v>43.571428571428569</v>
      </c>
      <c r="U2098" t="str">
        <f>LEFT(Table1[[#This Row],[Category and Sub-Category]],FIND("/",Table1[[#This Row],[Category and Sub-Category]])-1)</f>
        <v>music</v>
      </c>
      <c r="V2098" t="str">
        <f>RIGHT(Table1[[#This Row],[Category and Sub-Category]],LEN(Table1[[#This Row],[Category and Sub-Category]])-FIND("/",Table1[[#This Row],[Category and Sub-Category]]))</f>
        <v>indie rock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 s="12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>((Table1[[#This Row],[deadline]]/60)/60/24)+DATE(1970,1,1)</f>
        <v>40878.626562500001</v>
      </c>
      <c r="K2099">
        <v>1317564135</v>
      </c>
      <c r="L2099" s="11">
        <f>((Table1[[#This Row],[launched_at]]/60)/60/24)+DATE(1970,1,1)</f>
        <v>40818.58489583333</v>
      </c>
      <c r="M2099">
        <f>MONTH(Table1[[#This Row],[Date Created Conversion]])</f>
        <v>10</v>
      </c>
      <c r="N2099">
        <f>YEAR(Table1[[#This Row],[Date Created Conversion]])</f>
        <v>2011</v>
      </c>
      <c r="O2099" t="b">
        <v>0</v>
      </c>
      <c r="P2099">
        <v>38</v>
      </c>
      <c r="Q2099" t="b">
        <v>1</v>
      </c>
      <c r="R2099" t="s">
        <v>8279</v>
      </c>
      <c r="S2099" s="6">
        <f>Table1[[#This Row],[pledged]]/Table1[[#This Row],[goal]]</f>
        <v>1</v>
      </c>
      <c r="T2099" s="8">
        <f>IF(Table1[[#This Row],[pledged]]=0,"no backers",Table1[[#This Row],[pledged]]/Table1[[#This Row],[backers_count]])</f>
        <v>78.94736842105263</v>
      </c>
      <c r="U2099" t="str">
        <f>LEFT(Table1[[#This Row],[Category and Sub-Category]],FIND("/",Table1[[#This Row],[Category and Sub-Category]])-1)</f>
        <v>music</v>
      </c>
      <c r="V2099" t="str">
        <f>RIGHT(Table1[[#This Row],[Category and Sub-Category]],LEN(Table1[[#This Row],[Category and Sub-Category]])-FIND("/",Table1[[#This Row],[Category and Sub-Category]]))</f>
        <v>indie rock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 s="12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>((Table1[[#This Row],[deadline]]/60)/60/24)+DATE(1970,1,1)</f>
        <v>40976.11383101852</v>
      </c>
      <c r="K2100">
        <v>1328582635</v>
      </c>
      <c r="L2100" s="11">
        <f>((Table1[[#This Row],[launched_at]]/60)/60/24)+DATE(1970,1,1)</f>
        <v>40946.11383101852</v>
      </c>
      <c r="M2100">
        <f>MONTH(Table1[[#This Row],[Date Created Conversion]])</f>
        <v>2</v>
      </c>
      <c r="N2100">
        <f>YEAR(Table1[[#This Row],[Date Created Conversion]])</f>
        <v>2012</v>
      </c>
      <c r="O2100" t="b">
        <v>0</v>
      </c>
      <c r="P2100">
        <v>32</v>
      </c>
      <c r="Q2100" t="b">
        <v>1</v>
      </c>
      <c r="R2100" t="s">
        <v>8279</v>
      </c>
      <c r="S2100" s="6">
        <f>Table1[[#This Row],[pledged]]/Table1[[#This Row],[goal]]</f>
        <v>1.0033333333333334</v>
      </c>
      <c r="T2100" s="8">
        <f>IF(Table1[[#This Row],[pledged]]=0,"no backers",Table1[[#This Row],[pledged]]/Table1[[#This Row],[backers_count]])</f>
        <v>188.125</v>
      </c>
      <c r="U2100" t="str">
        <f>LEFT(Table1[[#This Row],[Category and Sub-Category]],FIND("/",Table1[[#This Row],[Category and Sub-Category]])-1)</f>
        <v>music</v>
      </c>
      <c r="V2100" t="str">
        <f>RIGHT(Table1[[#This Row],[Category and Sub-Category]],LEN(Table1[[#This Row],[Category and Sub-Category]])-FIND("/",Table1[[#This Row],[Category and Sub-Category]]))</f>
        <v>indie rock</v>
      </c>
    </row>
    <row r="2101" spans="1:22" x14ac:dyDescent="0.3">
      <c r="A2101">
        <v>2099</v>
      </c>
      <c r="B2101" s="3" t="s">
        <v>2100</v>
      </c>
      <c r="C2101" s="3" t="s">
        <v>6209</v>
      </c>
      <c r="D2101" s="12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>((Table1[[#This Row],[deadline]]/60)/60/24)+DATE(1970,1,1)</f>
        <v>42187.152777777781</v>
      </c>
      <c r="K2101">
        <v>1434650084</v>
      </c>
      <c r="L2101" s="11">
        <f>((Table1[[#This Row],[launched_at]]/60)/60/24)+DATE(1970,1,1)</f>
        <v>42173.746342592596</v>
      </c>
      <c r="M2101">
        <f>MONTH(Table1[[#This Row],[Date Created Conversion]])</f>
        <v>6</v>
      </c>
      <c r="N2101">
        <f>YEAR(Table1[[#This Row],[Date Created Conversion]])</f>
        <v>2015</v>
      </c>
      <c r="O2101" t="b">
        <v>0</v>
      </c>
      <c r="P2101">
        <v>63</v>
      </c>
      <c r="Q2101" t="b">
        <v>1</v>
      </c>
      <c r="R2101" t="s">
        <v>8279</v>
      </c>
      <c r="S2101" s="6">
        <f>Table1[[#This Row],[pledged]]/Table1[[#This Row],[goal]]</f>
        <v>1.3236666666666668</v>
      </c>
      <c r="T2101" s="8">
        <f>IF(Table1[[#This Row],[pledged]]=0,"no backers",Table1[[#This Row],[pledged]]/Table1[[#This Row],[backers_count]])</f>
        <v>63.031746031746032</v>
      </c>
      <c r="U2101" t="str">
        <f>LEFT(Table1[[#This Row],[Category and Sub-Category]],FIND("/",Table1[[#This Row],[Category and Sub-Category]])-1)</f>
        <v>music</v>
      </c>
      <c r="V2101" t="str">
        <f>RIGHT(Table1[[#This Row],[Category and Sub-Category]],LEN(Table1[[#This Row],[Category and Sub-Category]])-FIND("/",Table1[[#This Row],[Category and Sub-Category]]))</f>
        <v>indie rock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 s="1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>((Table1[[#This Row],[deadline]]/60)/60/24)+DATE(1970,1,1)</f>
        <v>41090.165972222225</v>
      </c>
      <c r="K2102">
        <v>1339704141</v>
      </c>
      <c r="L2102" s="11">
        <f>((Table1[[#This Row],[launched_at]]/60)/60/24)+DATE(1970,1,1)</f>
        <v>41074.834965277776</v>
      </c>
      <c r="M2102">
        <f>MONTH(Table1[[#This Row],[Date Created Conversion]])</f>
        <v>6</v>
      </c>
      <c r="N2102">
        <f>YEAR(Table1[[#This Row],[Date Created Conversion]])</f>
        <v>2012</v>
      </c>
      <c r="O2102" t="b">
        <v>0</v>
      </c>
      <c r="P2102">
        <v>27</v>
      </c>
      <c r="Q2102" t="b">
        <v>1</v>
      </c>
      <c r="R2102" t="s">
        <v>8279</v>
      </c>
      <c r="S2102" s="6">
        <f>Table1[[#This Row],[pledged]]/Table1[[#This Row],[goal]]</f>
        <v>1.3666666666666667</v>
      </c>
      <c r="T2102" s="8">
        <f>IF(Table1[[#This Row],[pledged]]=0,"no backers",Table1[[#This Row],[pledged]]/Table1[[#This Row],[backers_count]])</f>
        <v>30.37037037037037</v>
      </c>
      <c r="U2102" t="str">
        <f>LEFT(Table1[[#This Row],[Category and Sub-Category]],FIND("/",Table1[[#This Row],[Category and Sub-Category]])-1)</f>
        <v>music</v>
      </c>
      <c r="V2102" t="str">
        <f>RIGHT(Table1[[#This Row],[Category and Sub-Category]],LEN(Table1[[#This Row],[Category and Sub-Category]])-FIND("/",Table1[[#This Row],[Category and Sub-Category]]))</f>
        <v>indie rock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 s="12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>((Table1[[#This Row],[deadline]]/60)/60/24)+DATE(1970,1,1)</f>
        <v>40952.149467592593</v>
      </c>
      <c r="K2103">
        <v>1323920114</v>
      </c>
      <c r="L2103" s="11">
        <f>((Table1[[#This Row],[launched_at]]/60)/60/24)+DATE(1970,1,1)</f>
        <v>40892.149467592593</v>
      </c>
      <c r="M2103">
        <f>MONTH(Table1[[#This Row],[Date Created Conversion]])</f>
        <v>12</v>
      </c>
      <c r="N2103">
        <f>YEAR(Table1[[#This Row],[Date Created Conversion]])</f>
        <v>2011</v>
      </c>
      <c r="O2103" t="b">
        <v>0</v>
      </c>
      <c r="P2103">
        <v>44</v>
      </c>
      <c r="Q2103" t="b">
        <v>1</v>
      </c>
      <c r="R2103" t="s">
        <v>8279</v>
      </c>
      <c r="S2103" s="6">
        <f>Table1[[#This Row],[pledged]]/Table1[[#This Row],[goal]]</f>
        <v>1.1325000000000001</v>
      </c>
      <c r="T2103" s="8">
        <f>IF(Table1[[#This Row],[pledged]]=0,"no backers",Table1[[#This Row],[pledged]]/Table1[[#This Row],[backers_count]])</f>
        <v>51.477272727272727</v>
      </c>
      <c r="U2103" t="str">
        <f>LEFT(Table1[[#This Row],[Category and Sub-Category]],FIND("/",Table1[[#This Row],[Category and Sub-Category]])-1)</f>
        <v>music</v>
      </c>
      <c r="V2103" t="str">
        <f>RIGHT(Table1[[#This Row],[Category and Sub-Category]],LEN(Table1[[#This Row],[Category and Sub-Category]])-FIND("/",Table1[[#This Row],[Category and Sub-Category]]))</f>
        <v>indie rock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 s="12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>((Table1[[#This Row],[deadline]]/60)/60/24)+DATE(1970,1,1)</f>
        <v>40668.868611111109</v>
      </c>
      <c r="K2104">
        <v>1302036648</v>
      </c>
      <c r="L2104" s="11">
        <f>((Table1[[#This Row],[launched_at]]/60)/60/24)+DATE(1970,1,1)</f>
        <v>40638.868611111109</v>
      </c>
      <c r="M2104">
        <f>MONTH(Table1[[#This Row],[Date Created Conversion]])</f>
        <v>4</v>
      </c>
      <c r="N2104">
        <f>YEAR(Table1[[#This Row],[Date Created Conversion]])</f>
        <v>2011</v>
      </c>
      <c r="O2104" t="b">
        <v>0</v>
      </c>
      <c r="P2104">
        <v>38</v>
      </c>
      <c r="Q2104" t="b">
        <v>1</v>
      </c>
      <c r="R2104" t="s">
        <v>8279</v>
      </c>
      <c r="S2104" s="6">
        <f>Table1[[#This Row],[pledged]]/Table1[[#This Row],[goal]]</f>
        <v>1.36</v>
      </c>
      <c r="T2104" s="8">
        <f>IF(Table1[[#This Row],[pledged]]=0,"no backers",Table1[[#This Row],[pledged]]/Table1[[#This Row],[backers_count]])</f>
        <v>35.789473684210527</v>
      </c>
      <c r="U2104" t="str">
        <f>LEFT(Table1[[#This Row],[Category and Sub-Category]],FIND("/",Table1[[#This Row],[Category and Sub-Category]])-1)</f>
        <v>music</v>
      </c>
      <c r="V2104" t="str">
        <f>RIGHT(Table1[[#This Row],[Category and Sub-Category]],LEN(Table1[[#This Row],[Category and Sub-Category]])-FIND("/",Table1[[#This Row],[Category and Sub-Category]]))</f>
        <v>indie rock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 s="12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>((Table1[[#This Row],[deadline]]/60)/60/24)+DATE(1970,1,1)</f>
        <v>41222.7966087963</v>
      </c>
      <c r="K2105">
        <v>1349892427</v>
      </c>
      <c r="L2105" s="11">
        <f>((Table1[[#This Row],[launched_at]]/60)/60/24)+DATE(1970,1,1)</f>
        <v>41192.754942129628</v>
      </c>
      <c r="M2105">
        <f>MONTH(Table1[[#This Row],[Date Created Conversion]])</f>
        <v>10</v>
      </c>
      <c r="N2105">
        <f>YEAR(Table1[[#This Row],[Date Created Conversion]])</f>
        <v>2012</v>
      </c>
      <c r="O2105" t="b">
        <v>0</v>
      </c>
      <c r="P2105">
        <v>115</v>
      </c>
      <c r="Q2105" t="b">
        <v>1</v>
      </c>
      <c r="R2105" t="s">
        <v>8279</v>
      </c>
      <c r="S2105" s="6">
        <f>Table1[[#This Row],[pledged]]/Table1[[#This Row],[goal]]</f>
        <v>1.4612318374694613</v>
      </c>
      <c r="T2105" s="8">
        <f>IF(Table1[[#This Row],[pledged]]=0,"no backers",Table1[[#This Row],[pledged]]/Table1[[#This Row],[backers_count]])</f>
        <v>98.817391304347822</v>
      </c>
      <c r="U2105" t="str">
        <f>LEFT(Table1[[#This Row],[Category and Sub-Category]],FIND("/",Table1[[#This Row],[Category and Sub-Category]])-1)</f>
        <v>music</v>
      </c>
      <c r="V2105" t="str">
        <f>RIGHT(Table1[[#This Row],[Category and Sub-Category]],LEN(Table1[[#This Row],[Category and Sub-Category]])-FIND("/",Table1[[#This Row],[Category and Sub-Category]]))</f>
        <v>indie rock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 s="12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>((Table1[[#This Row],[deadline]]/60)/60/24)+DATE(1970,1,1)</f>
        <v>41425</v>
      </c>
      <c r="K2106">
        <v>1367286434</v>
      </c>
      <c r="L2106" s="11">
        <f>((Table1[[#This Row],[launched_at]]/60)/60/24)+DATE(1970,1,1)</f>
        <v>41394.074467592596</v>
      </c>
      <c r="M2106">
        <f>MONTH(Table1[[#This Row],[Date Created Conversion]])</f>
        <v>4</v>
      </c>
      <c r="N2106">
        <f>YEAR(Table1[[#This Row],[Date Created Conversion]])</f>
        <v>2013</v>
      </c>
      <c r="O2106" t="b">
        <v>0</v>
      </c>
      <c r="P2106">
        <v>37</v>
      </c>
      <c r="Q2106" t="b">
        <v>1</v>
      </c>
      <c r="R2106" t="s">
        <v>8279</v>
      </c>
      <c r="S2106" s="6">
        <f>Table1[[#This Row],[pledged]]/Table1[[#This Row],[goal]]</f>
        <v>1.2949999999999999</v>
      </c>
      <c r="T2106" s="8">
        <f>IF(Table1[[#This Row],[pledged]]=0,"no backers",Table1[[#This Row],[pledged]]/Table1[[#This Row],[backers_count]])</f>
        <v>28</v>
      </c>
      <c r="U2106" t="str">
        <f>LEFT(Table1[[#This Row],[Category and Sub-Category]],FIND("/",Table1[[#This Row],[Category and Sub-Category]])-1)</f>
        <v>music</v>
      </c>
      <c r="V2106" t="str">
        <f>RIGHT(Table1[[#This Row],[Category and Sub-Category]],LEN(Table1[[#This Row],[Category and Sub-Category]])-FIND("/",Table1[[#This Row],[Category and Sub-Category]]))</f>
        <v>indie rock</v>
      </c>
    </row>
    <row r="2107" spans="1:22" ht="43.2" x14ac:dyDescent="0.3">
      <c r="A2107">
        <v>2105</v>
      </c>
      <c r="B2107" s="3" t="s">
        <v>2106</v>
      </c>
      <c r="C2107" s="3" t="s">
        <v>6215</v>
      </c>
      <c r="D2107" s="12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>((Table1[[#This Row],[deadline]]/60)/60/24)+DATE(1970,1,1)</f>
        <v>41964.166666666672</v>
      </c>
      <c r="K2107">
        <v>1415472953</v>
      </c>
      <c r="L2107" s="11">
        <f>((Table1[[#This Row],[launched_at]]/60)/60/24)+DATE(1970,1,1)</f>
        <v>41951.788807870369</v>
      </c>
      <c r="M2107">
        <f>MONTH(Table1[[#This Row],[Date Created Conversion]])</f>
        <v>11</v>
      </c>
      <c r="N2107">
        <f>YEAR(Table1[[#This Row],[Date Created Conversion]])</f>
        <v>2014</v>
      </c>
      <c r="O2107" t="b">
        <v>0</v>
      </c>
      <c r="P2107">
        <v>99</v>
      </c>
      <c r="Q2107" t="b">
        <v>1</v>
      </c>
      <c r="R2107" t="s">
        <v>8279</v>
      </c>
      <c r="S2107" s="6">
        <f>Table1[[#This Row],[pledged]]/Table1[[#This Row],[goal]]</f>
        <v>2.54</v>
      </c>
      <c r="T2107" s="8">
        <f>IF(Table1[[#This Row],[pledged]]=0,"no backers",Table1[[#This Row],[pledged]]/Table1[[#This Row],[backers_count]])</f>
        <v>51.313131313131315</v>
      </c>
      <c r="U2107" t="str">
        <f>LEFT(Table1[[#This Row],[Category and Sub-Category]],FIND("/",Table1[[#This Row],[Category and Sub-Category]])-1)</f>
        <v>music</v>
      </c>
      <c r="V2107" t="str">
        <f>RIGHT(Table1[[#This Row],[Category and Sub-Category]],LEN(Table1[[#This Row],[Category and Sub-Category]])-FIND("/",Table1[[#This Row],[Category and Sub-Category]]))</f>
        <v>indie rock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 s="12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>((Table1[[#This Row],[deadline]]/60)/60/24)+DATE(1970,1,1)</f>
        <v>41300.21497685185</v>
      </c>
      <c r="K2108">
        <v>1356584974</v>
      </c>
      <c r="L2108" s="11">
        <f>((Table1[[#This Row],[launched_at]]/60)/60/24)+DATE(1970,1,1)</f>
        <v>41270.21497685185</v>
      </c>
      <c r="M2108">
        <f>MONTH(Table1[[#This Row],[Date Created Conversion]])</f>
        <v>12</v>
      </c>
      <c r="N2108">
        <f>YEAR(Table1[[#This Row],[Date Created Conversion]])</f>
        <v>2012</v>
      </c>
      <c r="O2108" t="b">
        <v>0</v>
      </c>
      <c r="P2108">
        <v>44</v>
      </c>
      <c r="Q2108" t="b">
        <v>1</v>
      </c>
      <c r="R2108" t="s">
        <v>8279</v>
      </c>
      <c r="S2108" s="6">
        <f>Table1[[#This Row],[pledged]]/Table1[[#This Row],[goal]]</f>
        <v>1.0704545454545455</v>
      </c>
      <c r="T2108" s="8">
        <f>IF(Table1[[#This Row],[pledged]]=0,"no backers",Table1[[#This Row],[pledged]]/Table1[[#This Row],[backers_count]])</f>
        <v>53.522727272727273</v>
      </c>
      <c r="U2108" t="str">
        <f>LEFT(Table1[[#This Row],[Category and Sub-Category]],FIND("/",Table1[[#This Row],[Category and Sub-Category]])-1)</f>
        <v>music</v>
      </c>
      <c r="V2108" t="str">
        <f>RIGHT(Table1[[#This Row],[Category and Sub-Category]],LEN(Table1[[#This Row],[Category and Sub-Category]])-FIND("/",Table1[[#This Row],[Category and Sub-Category]]))</f>
        <v>indie rock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 s="12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>((Table1[[#This Row],[deadline]]/60)/60/24)+DATE(1970,1,1)</f>
        <v>41955.752233796295</v>
      </c>
      <c r="K2109">
        <v>1413997393</v>
      </c>
      <c r="L2109" s="11">
        <f>((Table1[[#This Row],[launched_at]]/60)/60/24)+DATE(1970,1,1)</f>
        <v>41934.71056712963</v>
      </c>
      <c r="M2109">
        <f>MONTH(Table1[[#This Row],[Date Created Conversion]])</f>
        <v>10</v>
      </c>
      <c r="N2109">
        <f>YEAR(Table1[[#This Row],[Date Created Conversion]])</f>
        <v>2014</v>
      </c>
      <c r="O2109" t="b">
        <v>0</v>
      </c>
      <c r="P2109">
        <v>58</v>
      </c>
      <c r="Q2109" t="b">
        <v>1</v>
      </c>
      <c r="R2109" t="s">
        <v>8279</v>
      </c>
      <c r="S2109" s="6">
        <f>Table1[[#This Row],[pledged]]/Table1[[#This Row],[goal]]</f>
        <v>1.0773299999999999</v>
      </c>
      <c r="T2109" s="8">
        <f>IF(Table1[[#This Row],[pledged]]=0,"no backers",Table1[[#This Row],[pledged]]/Table1[[#This Row],[backers_count]])</f>
        <v>37.149310344827583</v>
      </c>
      <c r="U2109" t="str">
        <f>LEFT(Table1[[#This Row],[Category and Sub-Category]],FIND("/",Table1[[#This Row],[Category and Sub-Category]])-1)</f>
        <v>music</v>
      </c>
      <c r="V2109" t="str">
        <f>RIGHT(Table1[[#This Row],[Category and Sub-Category]],LEN(Table1[[#This Row],[Category and Sub-Category]])-FIND("/",Table1[[#This Row],[Category and Sub-Category]]))</f>
        <v>indie rock</v>
      </c>
    </row>
    <row r="2110" spans="1:22" ht="57.6" x14ac:dyDescent="0.3">
      <c r="A2110">
        <v>2108</v>
      </c>
      <c r="B2110" s="3" t="s">
        <v>2109</v>
      </c>
      <c r="C2110" s="3" t="s">
        <v>6218</v>
      </c>
      <c r="D2110" s="12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>((Table1[[#This Row],[deadline]]/60)/60/24)+DATE(1970,1,1)</f>
        <v>41162.163194444445</v>
      </c>
      <c r="K2110">
        <v>1344917580</v>
      </c>
      <c r="L2110" s="11">
        <f>((Table1[[#This Row],[launched_at]]/60)/60/24)+DATE(1970,1,1)</f>
        <v>41135.175694444442</v>
      </c>
      <c r="M2110">
        <f>MONTH(Table1[[#This Row],[Date Created Conversion]])</f>
        <v>8</v>
      </c>
      <c r="N2110">
        <f>YEAR(Table1[[#This Row],[Date Created Conversion]])</f>
        <v>2012</v>
      </c>
      <c r="O2110" t="b">
        <v>0</v>
      </c>
      <c r="P2110">
        <v>191</v>
      </c>
      <c r="Q2110" t="b">
        <v>1</v>
      </c>
      <c r="R2110" t="s">
        <v>8279</v>
      </c>
      <c r="S2110" s="6">
        <f>Table1[[#This Row],[pledged]]/Table1[[#This Row],[goal]]</f>
        <v>1.0731250000000001</v>
      </c>
      <c r="T2110" s="8">
        <f>IF(Table1[[#This Row],[pledged]]=0,"no backers",Table1[[#This Row],[pledged]]/Table1[[#This Row],[backers_count]])</f>
        <v>89.895287958115176</v>
      </c>
      <c r="U2110" t="str">
        <f>LEFT(Table1[[#This Row],[Category and Sub-Category]],FIND("/",Table1[[#This Row],[Category and Sub-Category]])-1)</f>
        <v>music</v>
      </c>
      <c r="V2110" t="str">
        <f>RIGHT(Table1[[#This Row],[Category and Sub-Category]],LEN(Table1[[#This Row],[Category and Sub-Category]])-FIND("/",Table1[[#This Row],[Category and Sub-Category]]))</f>
        <v>indie rock</v>
      </c>
    </row>
    <row r="2111" spans="1:22" ht="43.2" x14ac:dyDescent="0.3">
      <c r="A2111">
        <v>2109</v>
      </c>
      <c r="B2111" s="3" t="s">
        <v>2110</v>
      </c>
      <c r="C2111" s="3" t="s">
        <v>6219</v>
      </c>
      <c r="D2111" s="12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>((Table1[[#This Row],[deadline]]/60)/60/24)+DATE(1970,1,1)</f>
        <v>42190.708530092597</v>
      </c>
      <c r="K2111">
        <v>1433523617</v>
      </c>
      <c r="L2111" s="11">
        <f>((Table1[[#This Row],[launched_at]]/60)/60/24)+DATE(1970,1,1)</f>
        <v>42160.708530092597</v>
      </c>
      <c r="M2111">
        <f>MONTH(Table1[[#This Row],[Date Created Conversion]])</f>
        <v>6</v>
      </c>
      <c r="N2111">
        <f>YEAR(Table1[[#This Row],[Date Created Conversion]])</f>
        <v>2015</v>
      </c>
      <c r="O2111" t="b">
        <v>0</v>
      </c>
      <c r="P2111">
        <v>40</v>
      </c>
      <c r="Q2111" t="b">
        <v>1</v>
      </c>
      <c r="R2111" t="s">
        <v>8279</v>
      </c>
      <c r="S2111" s="6">
        <f>Table1[[#This Row],[pledged]]/Table1[[#This Row],[goal]]</f>
        <v>1.06525</v>
      </c>
      <c r="T2111" s="8">
        <f>IF(Table1[[#This Row],[pledged]]=0,"no backers",Table1[[#This Row],[pledged]]/Table1[[#This Row],[backers_count]])</f>
        <v>106.52500000000001</v>
      </c>
      <c r="U2111" t="str">
        <f>LEFT(Table1[[#This Row],[Category and Sub-Category]],FIND("/",Table1[[#This Row],[Category and Sub-Category]])-1)</f>
        <v>music</v>
      </c>
      <c r="V2111" t="str">
        <f>RIGHT(Table1[[#This Row],[Category and Sub-Category]],LEN(Table1[[#This Row],[Category and Sub-Category]])-FIND("/",Table1[[#This Row],[Category and Sub-Category]]))</f>
        <v>indie rock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 s="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>((Table1[[#This Row],[deadline]]/60)/60/24)+DATE(1970,1,1)</f>
        <v>41787.207638888889</v>
      </c>
      <c r="K2112">
        <v>1398873969</v>
      </c>
      <c r="L2112" s="11">
        <f>((Table1[[#This Row],[launched_at]]/60)/60/24)+DATE(1970,1,1)</f>
        <v>41759.670937499999</v>
      </c>
      <c r="M2112">
        <f>MONTH(Table1[[#This Row],[Date Created Conversion]])</f>
        <v>4</v>
      </c>
      <c r="N2112">
        <f>YEAR(Table1[[#This Row],[Date Created Conversion]])</f>
        <v>2014</v>
      </c>
      <c r="O2112" t="b">
        <v>0</v>
      </c>
      <c r="P2112">
        <v>38</v>
      </c>
      <c r="Q2112" t="b">
        <v>1</v>
      </c>
      <c r="R2112" t="s">
        <v>8279</v>
      </c>
      <c r="S2112" s="6">
        <f>Table1[[#This Row],[pledged]]/Table1[[#This Row],[goal]]</f>
        <v>1.0035000000000001</v>
      </c>
      <c r="T2112" s="8">
        <f>IF(Table1[[#This Row],[pledged]]=0,"no backers",Table1[[#This Row],[pledged]]/Table1[[#This Row],[backers_count]])</f>
        <v>52.815789473684212</v>
      </c>
      <c r="U2112" t="str">
        <f>LEFT(Table1[[#This Row],[Category and Sub-Category]],FIND("/",Table1[[#This Row],[Category and Sub-Category]])-1)</f>
        <v>music</v>
      </c>
      <c r="V2112" t="str">
        <f>RIGHT(Table1[[#This Row],[Category and Sub-Category]],LEN(Table1[[#This Row],[Category and Sub-Category]])-FIND("/",Table1[[#This Row],[Category and Sub-Category]]))</f>
        <v>indie rock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 s="12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>((Table1[[#This Row],[deadline]]/60)/60/24)+DATE(1970,1,1)</f>
        <v>40770.041666666664</v>
      </c>
      <c r="K2113">
        <v>1307594625</v>
      </c>
      <c r="L2113" s="11">
        <f>((Table1[[#This Row],[launched_at]]/60)/60/24)+DATE(1970,1,1)</f>
        <v>40703.197048611109</v>
      </c>
      <c r="M2113">
        <f>MONTH(Table1[[#This Row],[Date Created Conversion]])</f>
        <v>6</v>
      </c>
      <c r="N2113">
        <f>YEAR(Table1[[#This Row],[Date Created Conversion]])</f>
        <v>2011</v>
      </c>
      <c r="O2113" t="b">
        <v>0</v>
      </c>
      <c r="P2113">
        <v>39</v>
      </c>
      <c r="Q2113" t="b">
        <v>1</v>
      </c>
      <c r="R2113" t="s">
        <v>8279</v>
      </c>
      <c r="S2113" s="6">
        <f>Table1[[#This Row],[pledged]]/Table1[[#This Row],[goal]]</f>
        <v>1.0649999999999999</v>
      </c>
      <c r="T2113" s="8">
        <f>IF(Table1[[#This Row],[pledged]]=0,"no backers",Table1[[#This Row],[pledged]]/Table1[[#This Row],[backers_count]])</f>
        <v>54.615384615384613</v>
      </c>
      <c r="U2113" t="str">
        <f>LEFT(Table1[[#This Row],[Category and Sub-Category]],FIND("/",Table1[[#This Row],[Category and Sub-Category]])-1)</f>
        <v>music</v>
      </c>
      <c r="V2113" t="str">
        <f>RIGHT(Table1[[#This Row],[Category and Sub-Category]],LEN(Table1[[#This Row],[Category and Sub-Category]])-FIND("/",Table1[[#This Row],[Category and Sub-Category]]))</f>
        <v>indie rock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 s="12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>((Table1[[#This Row],[deadline]]/60)/60/24)+DATE(1970,1,1)</f>
        <v>41379.928159722222</v>
      </c>
      <c r="K2114">
        <v>1364854593</v>
      </c>
      <c r="L2114" s="11">
        <f>((Table1[[#This Row],[launched_at]]/60)/60/24)+DATE(1970,1,1)</f>
        <v>41365.928159722222</v>
      </c>
      <c r="M2114">
        <f>MONTH(Table1[[#This Row],[Date Created Conversion]])</f>
        <v>4</v>
      </c>
      <c r="N2114">
        <f>YEAR(Table1[[#This Row],[Date Created Conversion]])</f>
        <v>2013</v>
      </c>
      <c r="O2114" t="b">
        <v>0</v>
      </c>
      <c r="P2114">
        <v>11</v>
      </c>
      <c r="Q2114" t="b">
        <v>1</v>
      </c>
      <c r="R2114" t="s">
        <v>8279</v>
      </c>
      <c r="S2114" s="6">
        <f>Table1[[#This Row],[pledged]]/Table1[[#This Row],[goal]]</f>
        <v>1</v>
      </c>
      <c r="T2114" s="8">
        <f>IF(Table1[[#This Row],[pledged]]=0,"no backers",Table1[[#This Row],[pledged]]/Table1[[#This Row],[backers_count]])</f>
        <v>27.272727272727273</v>
      </c>
      <c r="U2114" t="str">
        <f>LEFT(Table1[[#This Row],[Category and Sub-Category]],FIND("/",Table1[[#This Row],[Category and Sub-Category]])-1)</f>
        <v>music</v>
      </c>
      <c r="V2114" t="str">
        <f>RIGHT(Table1[[#This Row],[Category and Sub-Category]],LEN(Table1[[#This Row],[Category and Sub-Category]])-FIND("/",Table1[[#This Row],[Category and Sub-Category]]))</f>
        <v>indie rock</v>
      </c>
    </row>
    <row r="2115" spans="1:22" ht="28.8" x14ac:dyDescent="0.3">
      <c r="A2115">
        <v>2113</v>
      </c>
      <c r="B2115" s="3" t="s">
        <v>2114</v>
      </c>
      <c r="C2115" s="3" t="s">
        <v>6223</v>
      </c>
      <c r="D2115" s="12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>((Table1[[#This Row],[deadline]]/60)/60/24)+DATE(1970,1,1)</f>
        <v>41905.86546296296</v>
      </c>
      <c r="K2115">
        <v>1408481176</v>
      </c>
      <c r="L2115" s="11">
        <f>((Table1[[#This Row],[launched_at]]/60)/60/24)+DATE(1970,1,1)</f>
        <v>41870.86546296296</v>
      </c>
      <c r="M2115">
        <f>MONTH(Table1[[#This Row],[Date Created Conversion]])</f>
        <v>8</v>
      </c>
      <c r="N2115">
        <f>YEAR(Table1[[#This Row],[Date Created Conversion]])</f>
        <v>2014</v>
      </c>
      <c r="O2115" t="b">
        <v>0</v>
      </c>
      <c r="P2115">
        <v>107</v>
      </c>
      <c r="Q2115" t="b">
        <v>1</v>
      </c>
      <c r="R2115" t="s">
        <v>8279</v>
      </c>
      <c r="S2115" s="6">
        <f>Table1[[#This Row],[pledged]]/Table1[[#This Row],[goal]]</f>
        <v>1.0485714285714285</v>
      </c>
      <c r="T2115" s="8">
        <f>IF(Table1[[#This Row],[pledged]]=0,"no backers",Table1[[#This Row],[pledged]]/Table1[[#This Row],[backers_count]])</f>
        <v>68.598130841121488</v>
      </c>
      <c r="U2115" t="str">
        <f>LEFT(Table1[[#This Row],[Category and Sub-Category]],FIND("/",Table1[[#This Row],[Category and Sub-Category]])-1)</f>
        <v>music</v>
      </c>
      <c r="V2115" t="str">
        <f>RIGHT(Table1[[#This Row],[Category and Sub-Category]],LEN(Table1[[#This Row],[Category and Sub-Category]])-FIND("/",Table1[[#This Row],[Category and Sub-Category]]))</f>
        <v>indie rock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 s="12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>((Table1[[#This Row],[deadline]]/60)/60/24)+DATE(1970,1,1)</f>
        <v>40521.207638888889</v>
      </c>
      <c r="K2116">
        <v>1286480070</v>
      </c>
      <c r="L2116" s="11">
        <f>((Table1[[#This Row],[launched_at]]/60)/60/24)+DATE(1970,1,1)</f>
        <v>40458.815625000003</v>
      </c>
      <c r="M2116">
        <f>MONTH(Table1[[#This Row],[Date Created Conversion]])</f>
        <v>10</v>
      </c>
      <c r="N2116">
        <f>YEAR(Table1[[#This Row],[Date Created Conversion]])</f>
        <v>2010</v>
      </c>
      <c r="O2116" t="b">
        <v>0</v>
      </c>
      <c r="P2116">
        <v>147</v>
      </c>
      <c r="Q2116" t="b">
        <v>1</v>
      </c>
      <c r="R2116" t="s">
        <v>8279</v>
      </c>
      <c r="S2116" s="6">
        <f>Table1[[#This Row],[pledged]]/Table1[[#This Row],[goal]]</f>
        <v>1.0469999999999999</v>
      </c>
      <c r="T2116" s="8">
        <f>IF(Table1[[#This Row],[pledged]]=0,"no backers",Table1[[#This Row],[pledged]]/Table1[[#This Row],[backers_count]])</f>
        <v>35.612244897959187</v>
      </c>
      <c r="U2116" t="str">
        <f>LEFT(Table1[[#This Row],[Category and Sub-Category]],FIND("/",Table1[[#This Row],[Category and Sub-Category]])-1)</f>
        <v>music</v>
      </c>
      <c r="V2116" t="str">
        <f>RIGHT(Table1[[#This Row],[Category and Sub-Category]],LEN(Table1[[#This Row],[Category and Sub-Category]])-FIND("/",Table1[[#This Row],[Category and Sub-Category]]))</f>
        <v>indie rock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 s="12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>((Table1[[#This Row],[deadline]]/60)/60/24)+DATE(1970,1,1)</f>
        <v>40594.081030092595</v>
      </c>
      <c r="K2117">
        <v>1295575001</v>
      </c>
      <c r="L2117" s="11">
        <f>((Table1[[#This Row],[launched_at]]/60)/60/24)+DATE(1970,1,1)</f>
        <v>40564.081030092595</v>
      </c>
      <c r="M2117">
        <f>MONTH(Table1[[#This Row],[Date Created Conversion]])</f>
        <v>1</v>
      </c>
      <c r="N2117">
        <f>YEAR(Table1[[#This Row],[Date Created Conversion]])</f>
        <v>2011</v>
      </c>
      <c r="O2117" t="b">
        <v>0</v>
      </c>
      <c r="P2117">
        <v>36</v>
      </c>
      <c r="Q2117" t="b">
        <v>1</v>
      </c>
      <c r="R2117" t="s">
        <v>8279</v>
      </c>
      <c r="S2117" s="6">
        <f>Table1[[#This Row],[pledged]]/Table1[[#This Row],[goal]]</f>
        <v>2.2566666666666668</v>
      </c>
      <c r="T2117" s="8">
        <f>IF(Table1[[#This Row],[pledged]]=0,"no backers",Table1[[#This Row],[pledged]]/Table1[[#This Row],[backers_count]])</f>
        <v>94.027777777777771</v>
      </c>
      <c r="U2117" t="str">
        <f>LEFT(Table1[[#This Row],[Category and Sub-Category]],FIND("/",Table1[[#This Row],[Category and Sub-Category]])-1)</f>
        <v>music</v>
      </c>
      <c r="V2117" t="str">
        <f>RIGHT(Table1[[#This Row],[Category and Sub-Category]],LEN(Table1[[#This Row],[Category and Sub-Category]])-FIND("/",Table1[[#This Row],[Category and Sub-Category]]))</f>
        <v>indie rock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 s="12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>((Table1[[#This Row],[deadline]]/60)/60/24)+DATE(1970,1,1)</f>
        <v>41184.777812500004</v>
      </c>
      <c r="K2118">
        <v>1345056003</v>
      </c>
      <c r="L2118" s="11">
        <f>((Table1[[#This Row],[launched_at]]/60)/60/24)+DATE(1970,1,1)</f>
        <v>41136.777812500004</v>
      </c>
      <c r="M2118">
        <f>MONTH(Table1[[#This Row],[Date Created Conversion]])</f>
        <v>8</v>
      </c>
      <c r="N2118">
        <f>YEAR(Table1[[#This Row],[Date Created Conversion]])</f>
        <v>2012</v>
      </c>
      <c r="O2118" t="b">
        <v>0</v>
      </c>
      <c r="P2118">
        <v>92</v>
      </c>
      <c r="Q2118" t="b">
        <v>1</v>
      </c>
      <c r="R2118" t="s">
        <v>8279</v>
      </c>
      <c r="S2118" s="6">
        <f>Table1[[#This Row],[pledged]]/Table1[[#This Row],[goal]]</f>
        <v>1.0090416666666666</v>
      </c>
      <c r="T2118" s="8">
        <f>IF(Table1[[#This Row],[pledged]]=0,"no backers",Table1[[#This Row],[pledged]]/Table1[[#This Row],[backers_count]])</f>
        <v>526.45652173913038</v>
      </c>
      <c r="U2118" t="str">
        <f>LEFT(Table1[[#This Row],[Category and Sub-Category]],FIND("/",Table1[[#This Row],[Category and Sub-Category]])-1)</f>
        <v>music</v>
      </c>
      <c r="V2118" t="str">
        <f>RIGHT(Table1[[#This Row],[Category and Sub-Category]],LEN(Table1[[#This Row],[Category and Sub-Category]])-FIND("/",Table1[[#This Row],[Category and Sub-Category]]))</f>
        <v>indie rock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 s="12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>((Table1[[#This Row],[deadline]]/60)/60/24)+DATE(1970,1,1)</f>
        <v>42304.207638888889</v>
      </c>
      <c r="K2119">
        <v>1444699549</v>
      </c>
      <c r="L2119" s="11">
        <f>((Table1[[#This Row],[launched_at]]/60)/60/24)+DATE(1970,1,1)</f>
        <v>42290.059594907405</v>
      </c>
      <c r="M2119">
        <f>MONTH(Table1[[#This Row],[Date Created Conversion]])</f>
        <v>10</v>
      </c>
      <c r="N2119">
        <f>YEAR(Table1[[#This Row],[Date Created Conversion]])</f>
        <v>2015</v>
      </c>
      <c r="O2119" t="b">
        <v>0</v>
      </c>
      <c r="P2119">
        <v>35</v>
      </c>
      <c r="Q2119" t="b">
        <v>1</v>
      </c>
      <c r="R2119" t="s">
        <v>8279</v>
      </c>
      <c r="S2119" s="6">
        <f>Table1[[#This Row],[pledged]]/Table1[[#This Row],[goal]]</f>
        <v>1.4775</v>
      </c>
      <c r="T2119" s="8">
        <f>IF(Table1[[#This Row],[pledged]]=0,"no backers",Table1[[#This Row],[pledged]]/Table1[[#This Row],[backers_count]])</f>
        <v>50.657142857142858</v>
      </c>
      <c r="U2119" t="str">
        <f>LEFT(Table1[[#This Row],[Category and Sub-Category]],FIND("/",Table1[[#This Row],[Category and Sub-Category]])-1)</f>
        <v>music</v>
      </c>
      <c r="V2119" t="str">
        <f>RIGHT(Table1[[#This Row],[Category and Sub-Category]],LEN(Table1[[#This Row],[Category and Sub-Category]])-FIND("/",Table1[[#This Row],[Category and Sub-Category]]))</f>
        <v>indie rock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 s="12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>((Table1[[#This Row],[deadline]]/60)/60/24)+DATE(1970,1,1)</f>
        <v>40748.839537037034</v>
      </c>
      <c r="K2120">
        <v>1308946136</v>
      </c>
      <c r="L2120" s="11">
        <f>((Table1[[#This Row],[launched_at]]/60)/60/24)+DATE(1970,1,1)</f>
        <v>40718.839537037034</v>
      </c>
      <c r="M2120">
        <f>MONTH(Table1[[#This Row],[Date Created Conversion]])</f>
        <v>6</v>
      </c>
      <c r="N2120">
        <f>YEAR(Table1[[#This Row],[Date Created Conversion]])</f>
        <v>2011</v>
      </c>
      <c r="O2120" t="b">
        <v>0</v>
      </c>
      <c r="P2120">
        <v>17</v>
      </c>
      <c r="Q2120" t="b">
        <v>1</v>
      </c>
      <c r="R2120" t="s">
        <v>8279</v>
      </c>
      <c r="S2120" s="6">
        <f>Table1[[#This Row],[pledged]]/Table1[[#This Row],[goal]]</f>
        <v>1.3461099999999999</v>
      </c>
      <c r="T2120" s="8">
        <f>IF(Table1[[#This Row],[pledged]]=0,"no backers",Table1[[#This Row],[pledged]]/Table1[[#This Row],[backers_count]])</f>
        <v>79.182941176470578</v>
      </c>
      <c r="U2120" t="str">
        <f>LEFT(Table1[[#This Row],[Category and Sub-Category]],FIND("/",Table1[[#This Row],[Category and Sub-Category]])-1)</f>
        <v>music</v>
      </c>
      <c r="V2120" t="str">
        <f>RIGHT(Table1[[#This Row],[Category and Sub-Category]],LEN(Table1[[#This Row],[Category and Sub-Category]])-FIND("/",Table1[[#This Row],[Category and Sub-Category]]))</f>
        <v>indie rock</v>
      </c>
    </row>
    <row r="2121" spans="1:22" ht="43.2" x14ac:dyDescent="0.3">
      <c r="A2121">
        <v>2119</v>
      </c>
      <c r="B2121" s="3" t="s">
        <v>2120</v>
      </c>
      <c r="C2121" s="3" t="s">
        <v>6229</v>
      </c>
      <c r="D2121" s="12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>((Table1[[#This Row],[deadline]]/60)/60/24)+DATE(1970,1,1)</f>
        <v>41137.130150462966</v>
      </c>
      <c r="K2121">
        <v>1342494445</v>
      </c>
      <c r="L2121" s="11">
        <f>((Table1[[#This Row],[launched_at]]/60)/60/24)+DATE(1970,1,1)</f>
        <v>41107.130150462966</v>
      </c>
      <c r="M2121">
        <f>MONTH(Table1[[#This Row],[Date Created Conversion]])</f>
        <v>7</v>
      </c>
      <c r="N2121">
        <f>YEAR(Table1[[#This Row],[Date Created Conversion]])</f>
        <v>2012</v>
      </c>
      <c r="O2121" t="b">
        <v>0</v>
      </c>
      <c r="P2121">
        <v>22</v>
      </c>
      <c r="Q2121" t="b">
        <v>1</v>
      </c>
      <c r="R2121" t="s">
        <v>8279</v>
      </c>
      <c r="S2121" s="6">
        <f>Table1[[#This Row],[pledged]]/Table1[[#This Row],[goal]]</f>
        <v>1.0075000000000001</v>
      </c>
      <c r="T2121" s="8">
        <f>IF(Table1[[#This Row],[pledged]]=0,"no backers",Table1[[#This Row],[pledged]]/Table1[[#This Row],[backers_count]])</f>
        <v>91.590909090909093</v>
      </c>
      <c r="U2121" t="str">
        <f>LEFT(Table1[[#This Row],[Category and Sub-Category]],FIND("/",Table1[[#This Row],[Category and Sub-Category]])-1)</f>
        <v>music</v>
      </c>
      <c r="V2121" t="str">
        <f>RIGHT(Table1[[#This Row],[Category and Sub-Category]],LEN(Table1[[#This Row],[Category and Sub-Category]])-FIND("/",Table1[[#This Row],[Category and Sub-Category]]))</f>
        <v>indie rock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 s="1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>((Table1[[#This Row],[deadline]]/60)/60/24)+DATE(1970,1,1)</f>
        <v>41640.964537037034</v>
      </c>
      <c r="K2122">
        <v>1384384136</v>
      </c>
      <c r="L2122" s="11">
        <f>((Table1[[#This Row],[launched_at]]/60)/60/24)+DATE(1970,1,1)</f>
        <v>41591.964537037034</v>
      </c>
      <c r="M2122">
        <f>MONTH(Table1[[#This Row],[Date Created Conversion]])</f>
        <v>11</v>
      </c>
      <c r="N2122">
        <f>YEAR(Table1[[#This Row],[Date Created Conversion]])</f>
        <v>2013</v>
      </c>
      <c r="O2122" t="b">
        <v>0</v>
      </c>
      <c r="P2122">
        <v>69</v>
      </c>
      <c r="Q2122" t="b">
        <v>1</v>
      </c>
      <c r="R2122" t="s">
        <v>8279</v>
      </c>
      <c r="S2122" s="6">
        <f>Table1[[#This Row],[pledged]]/Table1[[#This Row],[goal]]</f>
        <v>1.00880375</v>
      </c>
      <c r="T2122" s="8">
        <f>IF(Table1[[#This Row],[pledged]]=0,"no backers",Table1[[#This Row],[pledged]]/Table1[[#This Row],[backers_count]])</f>
        <v>116.96275362318841</v>
      </c>
      <c r="U2122" t="str">
        <f>LEFT(Table1[[#This Row],[Category and Sub-Category]],FIND("/",Table1[[#This Row],[Category and Sub-Category]])-1)</f>
        <v>music</v>
      </c>
      <c r="V2122" t="str">
        <f>RIGHT(Table1[[#This Row],[Category and Sub-Category]],LEN(Table1[[#This Row],[Category and Sub-Category]])-FIND("/",Table1[[#This Row],[Category and Sub-Category]]))</f>
        <v>indie rock</v>
      </c>
    </row>
    <row r="2123" spans="1:22" ht="43.2" x14ac:dyDescent="0.3">
      <c r="A2123">
        <v>2121</v>
      </c>
      <c r="B2123" s="3" t="s">
        <v>2122</v>
      </c>
      <c r="C2123" s="3" t="s">
        <v>6231</v>
      </c>
      <c r="D2123" s="12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>((Table1[[#This Row],[deadline]]/60)/60/24)+DATE(1970,1,1)</f>
        <v>42746.7424537037</v>
      </c>
      <c r="K2123">
        <v>1481564948</v>
      </c>
      <c r="L2123" s="11">
        <f>((Table1[[#This Row],[launched_at]]/60)/60/24)+DATE(1970,1,1)</f>
        <v>42716.7424537037</v>
      </c>
      <c r="M2123">
        <f>MONTH(Table1[[#This Row],[Date Created Conversion]])</f>
        <v>12</v>
      </c>
      <c r="N2123">
        <f>YEAR(Table1[[#This Row],[Date Created Conversion]])</f>
        <v>2016</v>
      </c>
      <c r="O2123" t="b">
        <v>0</v>
      </c>
      <c r="P2123">
        <v>10</v>
      </c>
      <c r="Q2123" t="b">
        <v>0</v>
      </c>
      <c r="R2123" t="s">
        <v>8282</v>
      </c>
      <c r="S2123" s="6">
        <f>Table1[[#This Row],[pledged]]/Table1[[#This Row],[goal]]</f>
        <v>5.6800000000000002E-3</v>
      </c>
      <c r="T2123" s="8">
        <f>IF(Table1[[#This Row],[pledged]]=0,"no backers",Table1[[#This Row],[pledged]]/Table1[[#This Row],[backers_count]])</f>
        <v>28.4</v>
      </c>
      <c r="U2123" t="str">
        <f>LEFT(Table1[[#This Row],[Category and Sub-Category]],FIND("/",Table1[[#This Row],[Category and Sub-Category]])-1)</f>
        <v>games</v>
      </c>
      <c r="V2123" t="str">
        <f>RIGHT(Table1[[#This Row],[Category and Sub-Category]],LEN(Table1[[#This Row],[Category and Sub-Category]])-FIND("/",Table1[[#This Row],[Category and Sub-Category]]))</f>
        <v>video games</v>
      </c>
    </row>
    <row r="2124" spans="1:22" ht="43.2" x14ac:dyDescent="0.3">
      <c r="A2124">
        <v>2122</v>
      </c>
      <c r="B2124" s="3" t="s">
        <v>2123</v>
      </c>
      <c r="C2124" s="3" t="s">
        <v>6232</v>
      </c>
      <c r="D2124" s="12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>((Table1[[#This Row],[deadline]]/60)/60/24)+DATE(1970,1,1)</f>
        <v>42742.300567129627</v>
      </c>
      <c r="K2124">
        <v>1481181169</v>
      </c>
      <c r="L2124" s="11">
        <f>((Table1[[#This Row],[launched_at]]/60)/60/24)+DATE(1970,1,1)</f>
        <v>42712.300567129627</v>
      </c>
      <c r="M2124">
        <f>MONTH(Table1[[#This Row],[Date Created Conversion]])</f>
        <v>12</v>
      </c>
      <c r="N2124">
        <f>YEAR(Table1[[#This Row],[Date Created Conversion]])</f>
        <v>2016</v>
      </c>
      <c r="O2124" t="b">
        <v>0</v>
      </c>
      <c r="P2124">
        <v>3</v>
      </c>
      <c r="Q2124" t="b">
        <v>0</v>
      </c>
      <c r="R2124" t="s">
        <v>8282</v>
      </c>
      <c r="S2124" s="6">
        <f>Table1[[#This Row],[pledged]]/Table1[[#This Row],[goal]]</f>
        <v>3.875E-3</v>
      </c>
      <c r="T2124" s="8">
        <f>IF(Table1[[#This Row],[pledged]]=0,"no backers",Table1[[#This Row],[pledged]]/Table1[[#This Row],[backers_count]])</f>
        <v>103.33333333333333</v>
      </c>
      <c r="U2124" t="str">
        <f>LEFT(Table1[[#This Row],[Category and Sub-Category]],FIND("/",Table1[[#This Row],[Category and Sub-Category]])-1)</f>
        <v>games</v>
      </c>
      <c r="V2124" t="str">
        <f>RIGHT(Table1[[#This Row],[Category and Sub-Category]],LEN(Table1[[#This Row],[Category and Sub-Category]])-FIND("/",Table1[[#This Row],[Category and Sub-Category]]))</f>
        <v>video games</v>
      </c>
    </row>
    <row r="2125" spans="1:22" ht="57.6" x14ac:dyDescent="0.3">
      <c r="A2125">
        <v>2123</v>
      </c>
      <c r="B2125" s="3" t="s">
        <v>2124</v>
      </c>
      <c r="C2125" s="3" t="s">
        <v>6233</v>
      </c>
      <c r="D2125" s="12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>((Table1[[#This Row],[deadline]]/60)/60/24)+DATE(1970,1,1)</f>
        <v>40252.290972222225</v>
      </c>
      <c r="K2125">
        <v>1263982307</v>
      </c>
      <c r="L2125" s="11">
        <f>((Table1[[#This Row],[launched_at]]/60)/60/24)+DATE(1970,1,1)</f>
        <v>40198.424849537041</v>
      </c>
      <c r="M2125">
        <f>MONTH(Table1[[#This Row],[Date Created Conversion]])</f>
        <v>1</v>
      </c>
      <c r="N2125">
        <f>YEAR(Table1[[#This Row],[Date Created Conversion]])</f>
        <v>2010</v>
      </c>
      <c r="O2125" t="b">
        <v>0</v>
      </c>
      <c r="P2125">
        <v>5</v>
      </c>
      <c r="Q2125" t="b">
        <v>0</v>
      </c>
      <c r="R2125" t="s">
        <v>8282</v>
      </c>
      <c r="S2125" s="6">
        <f>Table1[[#This Row],[pledged]]/Table1[[#This Row],[goal]]</f>
        <v>0.1</v>
      </c>
      <c r="T2125" s="8">
        <f>IF(Table1[[#This Row],[pledged]]=0,"no backers",Table1[[#This Row],[pledged]]/Table1[[#This Row],[backers_count]])</f>
        <v>10</v>
      </c>
      <c r="U2125" t="str">
        <f>LEFT(Table1[[#This Row],[Category and Sub-Category]],FIND("/",Table1[[#This Row],[Category and Sub-Category]])-1)</f>
        <v>games</v>
      </c>
      <c r="V2125" t="str">
        <f>RIGHT(Table1[[#This Row],[Category and Sub-Category]],LEN(Table1[[#This Row],[Category and Sub-Category]])-FIND("/",Table1[[#This Row],[Category and Sub-Category]]))</f>
        <v>video games</v>
      </c>
    </row>
    <row r="2126" spans="1:22" ht="57.6" x14ac:dyDescent="0.3">
      <c r="A2126">
        <v>2124</v>
      </c>
      <c r="B2126" s="3" t="s">
        <v>2125</v>
      </c>
      <c r="C2126" s="3" t="s">
        <v>6234</v>
      </c>
      <c r="D2126" s="12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>((Table1[[#This Row],[deadline]]/60)/60/24)+DATE(1970,1,1)</f>
        <v>40512.208333333336</v>
      </c>
      <c r="K2126">
        <v>1286930435</v>
      </c>
      <c r="L2126" s="11">
        <f>((Table1[[#This Row],[launched_at]]/60)/60/24)+DATE(1970,1,1)</f>
        <v>40464.028182870366</v>
      </c>
      <c r="M2126">
        <f>MONTH(Table1[[#This Row],[Date Created Conversion]])</f>
        <v>10</v>
      </c>
      <c r="N2126">
        <f>YEAR(Table1[[#This Row],[Date Created Conversion]])</f>
        <v>2010</v>
      </c>
      <c r="O2126" t="b">
        <v>0</v>
      </c>
      <c r="P2126">
        <v>5</v>
      </c>
      <c r="Q2126" t="b">
        <v>0</v>
      </c>
      <c r="R2126" t="s">
        <v>8282</v>
      </c>
      <c r="S2126" s="6">
        <f>Table1[[#This Row],[pledged]]/Table1[[#This Row],[goal]]</f>
        <v>0.10454545454545454</v>
      </c>
      <c r="T2126" s="8">
        <f>IF(Table1[[#This Row],[pledged]]=0,"no backers",Table1[[#This Row],[pledged]]/Table1[[#This Row],[backers_count]])</f>
        <v>23</v>
      </c>
      <c r="U2126" t="str">
        <f>LEFT(Table1[[#This Row],[Category and Sub-Category]],FIND("/",Table1[[#This Row],[Category and Sub-Category]])-1)</f>
        <v>games</v>
      </c>
      <c r="V2126" t="str">
        <f>RIGHT(Table1[[#This Row],[Category and Sub-Category]],LEN(Table1[[#This Row],[Category and Sub-Category]])-FIND("/",Table1[[#This Row],[Category and Sub-Category]]))</f>
        <v>video games</v>
      </c>
    </row>
    <row r="2127" spans="1:22" ht="43.2" x14ac:dyDescent="0.3">
      <c r="A2127">
        <v>2125</v>
      </c>
      <c r="B2127" s="3" t="s">
        <v>2126</v>
      </c>
      <c r="C2127" s="3" t="s">
        <v>6235</v>
      </c>
      <c r="D2127" s="12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>((Table1[[#This Row],[deadline]]/60)/60/24)+DATE(1970,1,1)</f>
        <v>42221.023530092592</v>
      </c>
      <c r="K2127">
        <v>1436142833</v>
      </c>
      <c r="L2127" s="11">
        <f>((Table1[[#This Row],[launched_at]]/60)/60/24)+DATE(1970,1,1)</f>
        <v>42191.023530092592</v>
      </c>
      <c r="M2127">
        <f>MONTH(Table1[[#This Row],[Date Created Conversion]])</f>
        <v>7</v>
      </c>
      <c r="N2127">
        <f>YEAR(Table1[[#This Row],[Date Created Conversion]])</f>
        <v>2015</v>
      </c>
      <c r="O2127" t="b">
        <v>0</v>
      </c>
      <c r="P2127">
        <v>27</v>
      </c>
      <c r="Q2127" t="b">
        <v>0</v>
      </c>
      <c r="R2127" t="s">
        <v>8282</v>
      </c>
      <c r="S2127" s="6">
        <f>Table1[[#This Row],[pledged]]/Table1[[#This Row],[goal]]</f>
        <v>1.4200000000000001E-2</v>
      </c>
      <c r="T2127" s="8">
        <f>IF(Table1[[#This Row],[pledged]]=0,"no backers",Table1[[#This Row],[pledged]]/Table1[[#This Row],[backers_count]])</f>
        <v>31.555555555555557</v>
      </c>
      <c r="U2127" t="str">
        <f>LEFT(Table1[[#This Row],[Category and Sub-Category]],FIND("/",Table1[[#This Row],[Category and Sub-Category]])-1)</f>
        <v>games</v>
      </c>
      <c r="V2127" t="str">
        <f>RIGHT(Table1[[#This Row],[Category and Sub-Category]],LEN(Table1[[#This Row],[Category and Sub-Category]])-FIND("/",Table1[[#This Row],[Category and Sub-Category]]))</f>
        <v>video games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 s="12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>((Table1[[#This Row],[deadline]]/60)/60/24)+DATE(1970,1,1)</f>
        <v>41981.973229166666</v>
      </c>
      <c r="K2128">
        <v>1415488887</v>
      </c>
      <c r="L2128" s="11">
        <f>((Table1[[#This Row],[launched_at]]/60)/60/24)+DATE(1970,1,1)</f>
        <v>41951.973229166666</v>
      </c>
      <c r="M2128">
        <f>MONTH(Table1[[#This Row],[Date Created Conversion]])</f>
        <v>11</v>
      </c>
      <c r="N2128">
        <f>YEAR(Table1[[#This Row],[Date Created Conversion]])</f>
        <v>2014</v>
      </c>
      <c r="O2128" t="b">
        <v>0</v>
      </c>
      <c r="P2128">
        <v>2</v>
      </c>
      <c r="Q2128" t="b">
        <v>0</v>
      </c>
      <c r="R2128" t="s">
        <v>8282</v>
      </c>
      <c r="S2128" s="6">
        <f>Table1[[#This Row],[pledged]]/Table1[[#This Row],[goal]]</f>
        <v>5.0000000000000001E-4</v>
      </c>
      <c r="T2128" s="8">
        <f>IF(Table1[[#This Row],[pledged]]=0,"no backers",Table1[[#This Row],[pledged]]/Table1[[#This Row],[backers_count]])</f>
        <v>5</v>
      </c>
      <c r="U2128" t="str">
        <f>LEFT(Table1[[#This Row],[Category and Sub-Category]],FIND("/",Table1[[#This Row],[Category and Sub-Category]])-1)</f>
        <v>games</v>
      </c>
      <c r="V2128" t="str">
        <f>RIGHT(Table1[[#This Row],[Category and Sub-Category]],LEN(Table1[[#This Row],[Category and Sub-Category]])-FIND("/",Table1[[#This Row],[Category and Sub-Category]]))</f>
        <v>video games</v>
      </c>
    </row>
    <row r="2129" spans="1:22" ht="28.8" x14ac:dyDescent="0.3">
      <c r="A2129">
        <v>2127</v>
      </c>
      <c r="B2129" s="3" t="s">
        <v>2128</v>
      </c>
      <c r="C2129" s="3" t="s">
        <v>6237</v>
      </c>
      <c r="D2129" s="12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>((Table1[[#This Row],[deadline]]/60)/60/24)+DATE(1970,1,1)</f>
        <v>42075.463692129633</v>
      </c>
      <c r="K2129">
        <v>1423570063</v>
      </c>
      <c r="L2129" s="11">
        <f>((Table1[[#This Row],[launched_at]]/60)/60/24)+DATE(1970,1,1)</f>
        <v>42045.50535879629</v>
      </c>
      <c r="M2129">
        <f>MONTH(Table1[[#This Row],[Date Created Conversion]])</f>
        <v>2</v>
      </c>
      <c r="N2129">
        <f>YEAR(Table1[[#This Row],[Date Created Conversion]])</f>
        <v>2015</v>
      </c>
      <c r="O2129" t="b">
        <v>0</v>
      </c>
      <c r="P2129">
        <v>236</v>
      </c>
      <c r="Q2129" t="b">
        <v>0</v>
      </c>
      <c r="R2129" t="s">
        <v>8282</v>
      </c>
      <c r="S2129" s="6">
        <f>Table1[[#This Row],[pledged]]/Table1[[#This Row],[goal]]</f>
        <v>0.28842857142857142</v>
      </c>
      <c r="T2129" s="8">
        <f>IF(Table1[[#This Row],[pledged]]=0,"no backers",Table1[[#This Row],[pledged]]/Table1[[#This Row],[backers_count]])</f>
        <v>34.220338983050844</v>
      </c>
      <c r="U2129" t="str">
        <f>LEFT(Table1[[#This Row],[Category and Sub-Category]],FIND("/",Table1[[#This Row],[Category and Sub-Category]])-1)</f>
        <v>games</v>
      </c>
      <c r="V2129" t="str">
        <f>RIGHT(Table1[[#This Row],[Category and Sub-Category]],LEN(Table1[[#This Row],[Category and Sub-Category]])-FIND("/",Table1[[#This Row],[Category and Sub-Category]]))</f>
        <v>video games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 s="12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>((Table1[[#This Row],[deadline]]/60)/60/24)+DATE(1970,1,1)</f>
        <v>41903.772789351853</v>
      </c>
      <c r="K2130">
        <v>1406140369</v>
      </c>
      <c r="L2130" s="11">
        <f>((Table1[[#This Row],[launched_at]]/60)/60/24)+DATE(1970,1,1)</f>
        <v>41843.772789351853</v>
      </c>
      <c r="M2130">
        <f>MONTH(Table1[[#This Row],[Date Created Conversion]])</f>
        <v>7</v>
      </c>
      <c r="N2130">
        <f>YEAR(Table1[[#This Row],[Date Created Conversion]])</f>
        <v>2014</v>
      </c>
      <c r="O2130" t="b">
        <v>0</v>
      </c>
      <c r="P2130">
        <v>1</v>
      </c>
      <c r="Q2130" t="b">
        <v>0</v>
      </c>
      <c r="R2130" t="s">
        <v>8282</v>
      </c>
      <c r="S2130" s="6">
        <f>Table1[[#This Row],[pledged]]/Table1[[#This Row],[goal]]</f>
        <v>1.6666666666666668E-3</v>
      </c>
      <c r="T2130" s="8">
        <f>IF(Table1[[#This Row],[pledged]]=0,"no backers",Table1[[#This Row],[pledged]]/Table1[[#This Row],[backers_count]])</f>
        <v>25</v>
      </c>
      <c r="U2130" t="str">
        <f>LEFT(Table1[[#This Row],[Category and Sub-Category]],FIND("/",Table1[[#This Row],[Category and Sub-Category]])-1)</f>
        <v>games</v>
      </c>
      <c r="V2130" t="str">
        <f>RIGHT(Table1[[#This Row],[Category and Sub-Category]],LEN(Table1[[#This Row],[Category and Sub-Category]])-FIND("/",Table1[[#This Row],[Category and Sub-Category]]))</f>
        <v>video games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 s="12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>((Table1[[#This Row],[deadline]]/60)/60/24)+DATE(1970,1,1)</f>
        <v>42439.024305555555</v>
      </c>
      <c r="K2131">
        <v>1454978100</v>
      </c>
      <c r="L2131" s="11">
        <f>((Table1[[#This Row],[launched_at]]/60)/60/24)+DATE(1970,1,1)</f>
        <v>42409.024305555555</v>
      </c>
      <c r="M2131">
        <f>MONTH(Table1[[#This Row],[Date Created Conversion]])</f>
        <v>2</v>
      </c>
      <c r="N2131">
        <f>YEAR(Table1[[#This Row],[Date Created Conversion]])</f>
        <v>2016</v>
      </c>
      <c r="O2131" t="b">
        <v>0</v>
      </c>
      <c r="P2131">
        <v>12</v>
      </c>
      <c r="Q2131" t="b">
        <v>0</v>
      </c>
      <c r="R2131" t="s">
        <v>8282</v>
      </c>
      <c r="S2131" s="6">
        <f>Table1[[#This Row],[pledged]]/Table1[[#This Row],[goal]]</f>
        <v>0.11799999999999999</v>
      </c>
      <c r="T2131" s="8">
        <f>IF(Table1[[#This Row],[pledged]]=0,"no backers",Table1[[#This Row],[pledged]]/Table1[[#This Row],[backers_count]])</f>
        <v>19.666666666666668</v>
      </c>
      <c r="U2131" t="str">
        <f>LEFT(Table1[[#This Row],[Category and Sub-Category]],FIND("/",Table1[[#This Row],[Category and Sub-Category]])-1)</f>
        <v>games</v>
      </c>
      <c r="V2131" t="str">
        <f>RIGHT(Table1[[#This Row],[Category and Sub-Category]],LEN(Table1[[#This Row],[Category and Sub-Category]])-FIND("/",Table1[[#This Row],[Category and Sub-Category]]))</f>
        <v>video games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 s="1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>((Table1[[#This Row],[deadline]]/60)/60/24)+DATE(1970,1,1)</f>
        <v>41867.086377314816</v>
      </c>
      <c r="K2132">
        <v>1405130663</v>
      </c>
      <c r="L2132" s="11">
        <f>((Table1[[#This Row],[launched_at]]/60)/60/24)+DATE(1970,1,1)</f>
        <v>41832.086377314816</v>
      </c>
      <c r="M2132">
        <f>MONTH(Table1[[#This Row],[Date Created Conversion]])</f>
        <v>7</v>
      </c>
      <c r="N2132">
        <f>YEAR(Table1[[#This Row],[Date Created Conversion]])</f>
        <v>2014</v>
      </c>
      <c r="O2132" t="b">
        <v>0</v>
      </c>
      <c r="P2132">
        <v>4</v>
      </c>
      <c r="Q2132" t="b">
        <v>0</v>
      </c>
      <c r="R2132" t="s">
        <v>8282</v>
      </c>
      <c r="S2132" s="6">
        <f>Table1[[#This Row],[pledged]]/Table1[[#This Row],[goal]]</f>
        <v>2.0238095238095236E-3</v>
      </c>
      <c r="T2132" s="8">
        <f>IF(Table1[[#This Row],[pledged]]=0,"no backers",Table1[[#This Row],[pledged]]/Table1[[#This Row],[backers_count]])</f>
        <v>21.25</v>
      </c>
      <c r="U2132" t="str">
        <f>LEFT(Table1[[#This Row],[Category and Sub-Category]],FIND("/",Table1[[#This Row],[Category and Sub-Category]])-1)</f>
        <v>games</v>
      </c>
      <c r="V2132" t="str">
        <f>RIGHT(Table1[[#This Row],[Category and Sub-Category]],LEN(Table1[[#This Row],[Category and Sub-Category]])-FIND("/",Table1[[#This Row],[Category and Sub-Category]]))</f>
        <v>video games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 s="12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>((Table1[[#This Row],[deadline]]/60)/60/24)+DATE(1970,1,1)</f>
        <v>42197.207071759258</v>
      </c>
      <c r="K2133">
        <v>1434085091</v>
      </c>
      <c r="L2133" s="11">
        <f>((Table1[[#This Row],[launched_at]]/60)/60/24)+DATE(1970,1,1)</f>
        <v>42167.207071759258</v>
      </c>
      <c r="M2133">
        <f>MONTH(Table1[[#This Row],[Date Created Conversion]])</f>
        <v>6</v>
      </c>
      <c r="N2133">
        <f>YEAR(Table1[[#This Row],[Date Created Conversion]])</f>
        <v>2015</v>
      </c>
      <c r="O2133" t="b">
        <v>0</v>
      </c>
      <c r="P2133">
        <v>3</v>
      </c>
      <c r="Q2133" t="b">
        <v>0</v>
      </c>
      <c r="R2133" t="s">
        <v>8282</v>
      </c>
      <c r="S2133" s="6">
        <f>Table1[[#This Row],[pledged]]/Table1[[#This Row],[goal]]</f>
        <v>0.05</v>
      </c>
      <c r="T2133" s="8">
        <f>IF(Table1[[#This Row],[pledged]]=0,"no backers",Table1[[#This Row],[pledged]]/Table1[[#This Row],[backers_count]])</f>
        <v>8.3333333333333339</v>
      </c>
      <c r="U2133" t="str">
        <f>LEFT(Table1[[#This Row],[Category and Sub-Category]],FIND("/",Table1[[#This Row],[Category and Sub-Category]])-1)</f>
        <v>games</v>
      </c>
      <c r="V2133" t="str">
        <f>RIGHT(Table1[[#This Row],[Category and Sub-Category]],LEN(Table1[[#This Row],[Category and Sub-Category]])-FIND("/",Table1[[#This Row],[Category and Sub-Category]]))</f>
        <v>video games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 s="12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>((Table1[[#This Row],[deadline]]/60)/60/24)+DATE(1970,1,1)</f>
        <v>41673.487175925926</v>
      </c>
      <c r="K2134">
        <v>1388835692</v>
      </c>
      <c r="L2134" s="11">
        <f>((Table1[[#This Row],[launched_at]]/60)/60/24)+DATE(1970,1,1)</f>
        <v>41643.487175925926</v>
      </c>
      <c r="M2134">
        <f>MONTH(Table1[[#This Row],[Date Created Conversion]])</f>
        <v>1</v>
      </c>
      <c r="N2134">
        <f>YEAR(Table1[[#This Row],[Date Created Conversion]])</f>
        <v>2014</v>
      </c>
      <c r="O2134" t="b">
        <v>0</v>
      </c>
      <c r="P2134">
        <v>99</v>
      </c>
      <c r="Q2134" t="b">
        <v>0</v>
      </c>
      <c r="R2134" t="s">
        <v>8282</v>
      </c>
      <c r="S2134" s="6">
        <f>Table1[[#This Row],[pledged]]/Table1[[#This Row],[goal]]</f>
        <v>2.1129899999999997E-2</v>
      </c>
      <c r="T2134" s="8">
        <f>IF(Table1[[#This Row],[pledged]]=0,"no backers",Table1[[#This Row],[pledged]]/Table1[[#This Row],[backers_count]])</f>
        <v>21.34333333333333</v>
      </c>
      <c r="U2134" t="str">
        <f>LEFT(Table1[[#This Row],[Category and Sub-Category]],FIND("/",Table1[[#This Row],[Category and Sub-Category]])-1)</f>
        <v>games</v>
      </c>
      <c r="V2134" t="str">
        <f>RIGHT(Table1[[#This Row],[Category and Sub-Category]],LEN(Table1[[#This Row],[Category and Sub-Category]])-FIND("/",Table1[[#This Row],[Category and Sub-Category]]))</f>
        <v>video games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 s="12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>((Table1[[#This Row],[deadline]]/60)/60/24)+DATE(1970,1,1)</f>
        <v>40657.290972222225</v>
      </c>
      <c r="K2135">
        <v>1300328399</v>
      </c>
      <c r="L2135" s="11">
        <f>((Table1[[#This Row],[launched_at]]/60)/60/24)+DATE(1970,1,1)</f>
        <v>40619.097210648149</v>
      </c>
      <c r="M2135">
        <f>MONTH(Table1[[#This Row],[Date Created Conversion]])</f>
        <v>3</v>
      </c>
      <c r="N2135">
        <f>YEAR(Table1[[#This Row],[Date Created Conversion]])</f>
        <v>2011</v>
      </c>
      <c r="O2135" t="b">
        <v>0</v>
      </c>
      <c r="P2135">
        <v>3</v>
      </c>
      <c r="Q2135" t="b">
        <v>0</v>
      </c>
      <c r="R2135" t="s">
        <v>8282</v>
      </c>
      <c r="S2135" s="6">
        <f>Table1[[#This Row],[pledged]]/Table1[[#This Row],[goal]]</f>
        <v>1.6E-2</v>
      </c>
      <c r="T2135" s="8">
        <f>IF(Table1[[#This Row],[pledged]]=0,"no backers",Table1[[#This Row],[pledged]]/Table1[[#This Row],[backers_count]])</f>
        <v>5.333333333333333</v>
      </c>
      <c r="U2135" t="str">
        <f>LEFT(Table1[[#This Row],[Category and Sub-Category]],FIND("/",Table1[[#This Row],[Category and Sub-Category]])-1)</f>
        <v>games</v>
      </c>
      <c r="V2135" t="str">
        <f>RIGHT(Table1[[#This Row],[Category and Sub-Category]],LEN(Table1[[#This Row],[Category and Sub-Category]])-FIND("/",Table1[[#This Row],[Category and Sub-Category]]))</f>
        <v>video games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 s="12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>((Table1[[#This Row],[deadline]]/60)/60/24)+DATE(1970,1,1)</f>
        <v>41391.886469907404</v>
      </c>
      <c r="K2136">
        <v>1364505391</v>
      </c>
      <c r="L2136" s="11">
        <f>((Table1[[#This Row],[launched_at]]/60)/60/24)+DATE(1970,1,1)</f>
        <v>41361.886469907404</v>
      </c>
      <c r="M2136">
        <f>MONTH(Table1[[#This Row],[Date Created Conversion]])</f>
        <v>3</v>
      </c>
      <c r="N2136">
        <f>YEAR(Table1[[#This Row],[Date Created Conversion]])</f>
        <v>2013</v>
      </c>
      <c r="O2136" t="b">
        <v>0</v>
      </c>
      <c r="P2136">
        <v>3</v>
      </c>
      <c r="Q2136" t="b">
        <v>0</v>
      </c>
      <c r="R2136" t="s">
        <v>8282</v>
      </c>
      <c r="S2136" s="6">
        <f>Table1[[#This Row],[pledged]]/Table1[[#This Row],[goal]]</f>
        <v>1.7333333333333333E-2</v>
      </c>
      <c r="T2136" s="8">
        <f>IF(Table1[[#This Row],[pledged]]=0,"no backers",Table1[[#This Row],[pledged]]/Table1[[#This Row],[backers_count]])</f>
        <v>34.666666666666664</v>
      </c>
      <c r="U2136" t="str">
        <f>LEFT(Table1[[#This Row],[Category and Sub-Category]],FIND("/",Table1[[#This Row],[Category and Sub-Category]])-1)</f>
        <v>games</v>
      </c>
      <c r="V2136" t="str">
        <f>RIGHT(Table1[[#This Row],[Category and Sub-Category]],LEN(Table1[[#This Row],[Category and Sub-Category]])-FIND("/",Table1[[#This Row],[Category and Sub-Category]]))</f>
        <v>video games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 s="12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>((Table1[[#This Row],[deadline]]/60)/60/24)+DATE(1970,1,1)</f>
        <v>41186.963344907403</v>
      </c>
      <c r="K2137">
        <v>1346800033</v>
      </c>
      <c r="L2137" s="11">
        <f>((Table1[[#This Row],[launched_at]]/60)/60/24)+DATE(1970,1,1)</f>
        <v>41156.963344907403</v>
      </c>
      <c r="M2137">
        <f>MONTH(Table1[[#This Row],[Date Created Conversion]])</f>
        <v>9</v>
      </c>
      <c r="N2137">
        <f>YEAR(Table1[[#This Row],[Date Created Conversion]])</f>
        <v>2012</v>
      </c>
      <c r="O2137" t="b">
        <v>0</v>
      </c>
      <c r="P2137">
        <v>22</v>
      </c>
      <c r="Q2137" t="b">
        <v>0</v>
      </c>
      <c r="R2137" t="s">
        <v>8282</v>
      </c>
      <c r="S2137" s="6">
        <f>Table1[[#This Row],[pledged]]/Table1[[#This Row],[goal]]</f>
        <v>9.5600000000000004E-2</v>
      </c>
      <c r="T2137" s="8">
        <f>IF(Table1[[#This Row],[pledged]]=0,"no backers",Table1[[#This Row],[pledged]]/Table1[[#This Row],[backers_count]])</f>
        <v>21.727272727272727</v>
      </c>
      <c r="U2137" t="str">
        <f>LEFT(Table1[[#This Row],[Category and Sub-Category]],FIND("/",Table1[[#This Row],[Category and Sub-Category]])-1)</f>
        <v>games</v>
      </c>
      <c r="V2137" t="str">
        <f>RIGHT(Table1[[#This Row],[Category and Sub-Category]],LEN(Table1[[#This Row],[Category and Sub-Category]])-FIND("/",Table1[[#This Row],[Category and Sub-Category]]))</f>
        <v>video games</v>
      </c>
    </row>
    <row r="2138" spans="1:22" ht="43.2" x14ac:dyDescent="0.3">
      <c r="A2138">
        <v>2136</v>
      </c>
      <c r="B2138" s="3" t="s">
        <v>2137</v>
      </c>
      <c r="C2138" s="3" t="s">
        <v>6246</v>
      </c>
      <c r="D2138" s="12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>((Table1[[#This Row],[deadline]]/60)/60/24)+DATE(1970,1,1)</f>
        <v>41566.509097222224</v>
      </c>
      <c r="K2138">
        <v>1379592786</v>
      </c>
      <c r="L2138" s="11">
        <f>((Table1[[#This Row],[launched_at]]/60)/60/24)+DATE(1970,1,1)</f>
        <v>41536.509097222224</v>
      </c>
      <c r="M2138">
        <f>MONTH(Table1[[#This Row],[Date Created Conversion]])</f>
        <v>9</v>
      </c>
      <c r="N2138">
        <f>YEAR(Table1[[#This Row],[Date Created Conversion]])</f>
        <v>2013</v>
      </c>
      <c r="O2138" t="b">
        <v>0</v>
      </c>
      <c r="P2138">
        <v>4</v>
      </c>
      <c r="Q2138" t="b">
        <v>0</v>
      </c>
      <c r="R2138" t="s">
        <v>8282</v>
      </c>
      <c r="S2138" s="6">
        <f>Table1[[#This Row],[pledged]]/Table1[[#This Row],[goal]]</f>
        <v>5.9612499999999998E-4</v>
      </c>
      <c r="T2138" s="8">
        <f>IF(Table1[[#This Row],[pledged]]=0,"no backers",Table1[[#This Row],[pledged]]/Table1[[#This Row],[backers_count]])</f>
        <v>11.922499999999999</v>
      </c>
      <c r="U2138" t="str">
        <f>LEFT(Table1[[#This Row],[Category and Sub-Category]],FIND("/",Table1[[#This Row],[Category and Sub-Category]])-1)</f>
        <v>games</v>
      </c>
      <c r="V2138" t="str">
        <f>RIGHT(Table1[[#This Row],[Category and Sub-Category]],LEN(Table1[[#This Row],[Category and Sub-Category]])-FIND("/",Table1[[#This Row],[Category and Sub-Category]]))</f>
        <v>video games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 s="12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>((Table1[[#This Row],[deadline]]/60)/60/24)+DATE(1970,1,1)</f>
        <v>41978.771168981482</v>
      </c>
      <c r="K2139">
        <v>1415212229</v>
      </c>
      <c r="L2139" s="11">
        <f>((Table1[[#This Row],[launched_at]]/60)/60/24)+DATE(1970,1,1)</f>
        <v>41948.771168981482</v>
      </c>
      <c r="M2139">
        <f>MONTH(Table1[[#This Row],[Date Created Conversion]])</f>
        <v>11</v>
      </c>
      <c r="N2139">
        <f>YEAR(Table1[[#This Row],[Date Created Conversion]])</f>
        <v>2014</v>
      </c>
      <c r="O2139" t="b">
        <v>0</v>
      </c>
      <c r="P2139">
        <v>534</v>
      </c>
      <c r="Q2139" t="b">
        <v>0</v>
      </c>
      <c r="R2139" t="s">
        <v>8282</v>
      </c>
      <c r="S2139" s="6">
        <f>Table1[[#This Row],[pledged]]/Table1[[#This Row],[goal]]</f>
        <v>0.28405999999999998</v>
      </c>
      <c r="T2139" s="8">
        <f>IF(Table1[[#This Row],[pledged]]=0,"no backers",Table1[[#This Row],[pledged]]/Table1[[#This Row],[backers_count]])</f>
        <v>26.59737827715356</v>
      </c>
      <c r="U2139" t="str">
        <f>LEFT(Table1[[#This Row],[Category and Sub-Category]],FIND("/",Table1[[#This Row],[Category and Sub-Category]])-1)</f>
        <v>games</v>
      </c>
      <c r="V2139" t="str">
        <f>RIGHT(Table1[[#This Row],[Category and Sub-Category]],LEN(Table1[[#This Row],[Category and Sub-Category]])-FIND("/",Table1[[#This Row],[Category and Sub-Category]]))</f>
        <v>video games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 s="12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>((Table1[[#This Row],[deadline]]/60)/60/24)+DATE(1970,1,1)</f>
        <v>41587.054849537039</v>
      </c>
      <c r="K2140">
        <v>1381364339</v>
      </c>
      <c r="L2140" s="11">
        <f>((Table1[[#This Row],[launched_at]]/60)/60/24)+DATE(1970,1,1)</f>
        <v>41557.013182870374</v>
      </c>
      <c r="M2140">
        <f>MONTH(Table1[[#This Row],[Date Created Conversion]])</f>
        <v>10</v>
      </c>
      <c r="N2140">
        <f>YEAR(Table1[[#This Row],[Date Created Conversion]])</f>
        <v>2013</v>
      </c>
      <c r="O2140" t="b">
        <v>0</v>
      </c>
      <c r="P2140">
        <v>12</v>
      </c>
      <c r="Q2140" t="b">
        <v>0</v>
      </c>
      <c r="R2140" t="s">
        <v>8282</v>
      </c>
      <c r="S2140" s="6">
        <f>Table1[[#This Row],[pledged]]/Table1[[#This Row],[goal]]</f>
        <v>0.128</v>
      </c>
      <c r="T2140" s="8">
        <f>IF(Table1[[#This Row],[pledged]]=0,"no backers",Table1[[#This Row],[pledged]]/Table1[[#This Row],[backers_count]])</f>
        <v>10.666666666666666</v>
      </c>
      <c r="U2140" t="str">
        <f>LEFT(Table1[[#This Row],[Category and Sub-Category]],FIND("/",Table1[[#This Row],[Category and Sub-Category]])-1)</f>
        <v>games</v>
      </c>
      <c r="V2140" t="str">
        <f>RIGHT(Table1[[#This Row],[Category and Sub-Category]],LEN(Table1[[#This Row],[Category and Sub-Category]])-FIND("/",Table1[[#This Row],[Category and Sub-Category]]))</f>
        <v>video games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 s="12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>((Table1[[#This Row],[deadline]]/60)/60/24)+DATE(1970,1,1)</f>
        <v>42677.750092592592</v>
      </c>
      <c r="K2141">
        <v>1475604008</v>
      </c>
      <c r="L2141" s="11">
        <f>((Table1[[#This Row],[launched_at]]/60)/60/24)+DATE(1970,1,1)</f>
        <v>42647.750092592592</v>
      </c>
      <c r="M2141">
        <f>MONTH(Table1[[#This Row],[Date Created Conversion]])</f>
        <v>10</v>
      </c>
      <c r="N2141">
        <f>YEAR(Table1[[#This Row],[Date Created Conversion]])</f>
        <v>2016</v>
      </c>
      <c r="O2141" t="b">
        <v>0</v>
      </c>
      <c r="P2141">
        <v>56</v>
      </c>
      <c r="Q2141" t="b">
        <v>0</v>
      </c>
      <c r="R2141" t="s">
        <v>8282</v>
      </c>
      <c r="S2141" s="6">
        <f>Table1[[#This Row],[pledged]]/Table1[[#This Row],[goal]]</f>
        <v>5.4199999999999998E-2</v>
      </c>
      <c r="T2141" s="8">
        <f>IF(Table1[[#This Row],[pledged]]=0,"no backers",Table1[[#This Row],[pledged]]/Table1[[#This Row],[backers_count]])</f>
        <v>29.035714285714285</v>
      </c>
      <c r="U2141" t="str">
        <f>LEFT(Table1[[#This Row],[Category and Sub-Category]],FIND("/",Table1[[#This Row],[Category and Sub-Category]])-1)</f>
        <v>games</v>
      </c>
      <c r="V2141" t="str">
        <f>RIGHT(Table1[[#This Row],[Category and Sub-Category]],LEN(Table1[[#This Row],[Category and Sub-Category]])-FIND("/",Table1[[#This Row],[Category and Sub-Category]]))</f>
        <v>video games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 s="1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>((Table1[[#This Row],[deadline]]/60)/60/24)+DATE(1970,1,1)</f>
        <v>41285.833611111113</v>
      </c>
      <c r="K2142">
        <v>1355342424</v>
      </c>
      <c r="L2142" s="11">
        <f>((Table1[[#This Row],[launched_at]]/60)/60/24)+DATE(1970,1,1)</f>
        <v>41255.833611111113</v>
      </c>
      <c r="M2142">
        <f>MONTH(Table1[[#This Row],[Date Created Conversion]])</f>
        <v>12</v>
      </c>
      <c r="N2142">
        <f>YEAR(Table1[[#This Row],[Date Created Conversion]])</f>
        <v>2012</v>
      </c>
      <c r="O2142" t="b">
        <v>0</v>
      </c>
      <c r="P2142">
        <v>11</v>
      </c>
      <c r="Q2142" t="b">
        <v>0</v>
      </c>
      <c r="R2142" t="s">
        <v>8282</v>
      </c>
      <c r="S2142" s="6">
        <f>Table1[[#This Row],[pledged]]/Table1[[#This Row],[goal]]</f>
        <v>1.1199999999999999E-3</v>
      </c>
      <c r="T2142" s="8">
        <f>IF(Table1[[#This Row],[pledged]]=0,"no backers",Table1[[#This Row],[pledged]]/Table1[[#This Row],[backers_count]])</f>
        <v>50.909090909090907</v>
      </c>
      <c r="U2142" t="str">
        <f>LEFT(Table1[[#This Row],[Category and Sub-Category]],FIND("/",Table1[[#This Row],[Category and Sub-Category]])-1)</f>
        <v>games</v>
      </c>
      <c r="V2142" t="str">
        <f>RIGHT(Table1[[#This Row],[Category and Sub-Category]],LEN(Table1[[#This Row],[Category and Sub-Category]])-FIND("/",Table1[[#This Row],[Category and Sub-Category]]))</f>
        <v>video games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 s="12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>((Table1[[#This Row],[deadline]]/60)/60/24)+DATE(1970,1,1)</f>
        <v>41957.277303240742</v>
      </c>
      <c r="K2143">
        <v>1413351559</v>
      </c>
      <c r="L2143" s="11">
        <f>((Table1[[#This Row],[launched_at]]/60)/60/24)+DATE(1970,1,1)</f>
        <v>41927.235636574071</v>
      </c>
      <c r="M2143">
        <f>MONTH(Table1[[#This Row],[Date Created Conversion]])</f>
        <v>10</v>
      </c>
      <c r="N2143">
        <f>YEAR(Table1[[#This Row],[Date Created Conversion]])</f>
        <v>2014</v>
      </c>
      <c r="O2143" t="b">
        <v>0</v>
      </c>
      <c r="P2143">
        <v>0</v>
      </c>
      <c r="Q2143" t="b">
        <v>0</v>
      </c>
      <c r="R2143" t="s">
        <v>8282</v>
      </c>
      <c r="S2143" s="6">
        <f>Table1[[#This Row],[pledged]]/Table1[[#This Row],[goal]]</f>
        <v>0</v>
      </c>
      <c r="T2143" s="8" t="str">
        <f>IF(Table1[[#This Row],[pledged]]=0,"no backers",Table1[[#This Row],[pledged]]/Table1[[#This Row],[backers_count]])</f>
        <v>no backers</v>
      </c>
      <c r="U2143" t="str">
        <f>LEFT(Table1[[#This Row],[Category and Sub-Category]],FIND("/",Table1[[#This Row],[Category and Sub-Category]])-1)</f>
        <v>games</v>
      </c>
      <c r="V2143" t="str">
        <f>RIGHT(Table1[[#This Row],[Category and Sub-Category]],LEN(Table1[[#This Row],[Category and Sub-Category]])-FIND("/",Table1[[#This Row],[Category and Sub-Category]]))</f>
        <v>video games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 s="12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>((Table1[[#This Row],[deadline]]/60)/60/24)+DATE(1970,1,1)</f>
        <v>42368.701504629629</v>
      </c>
      <c r="K2144">
        <v>1449075010</v>
      </c>
      <c r="L2144" s="11">
        <f>((Table1[[#This Row],[launched_at]]/60)/60/24)+DATE(1970,1,1)</f>
        <v>42340.701504629629</v>
      </c>
      <c r="M2144">
        <f>MONTH(Table1[[#This Row],[Date Created Conversion]])</f>
        <v>12</v>
      </c>
      <c r="N2144">
        <f>YEAR(Table1[[#This Row],[Date Created Conversion]])</f>
        <v>2015</v>
      </c>
      <c r="O2144" t="b">
        <v>0</v>
      </c>
      <c r="P2144">
        <v>12</v>
      </c>
      <c r="Q2144" t="b">
        <v>0</v>
      </c>
      <c r="R2144" t="s">
        <v>8282</v>
      </c>
      <c r="S2144" s="6">
        <f>Table1[[#This Row],[pledged]]/Table1[[#This Row],[goal]]</f>
        <v>5.7238095238095241E-2</v>
      </c>
      <c r="T2144" s="8">
        <f>IF(Table1[[#This Row],[pledged]]=0,"no backers",Table1[[#This Row],[pledged]]/Table1[[#This Row],[backers_count]])</f>
        <v>50.083333333333336</v>
      </c>
      <c r="U2144" t="str">
        <f>LEFT(Table1[[#This Row],[Category and Sub-Category]],FIND("/",Table1[[#This Row],[Category and Sub-Category]])-1)</f>
        <v>games</v>
      </c>
      <c r="V2144" t="str">
        <f>RIGHT(Table1[[#This Row],[Category and Sub-Category]],LEN(Table1[[#This Row],[Category and Sub-Category]])-FIND("/",Table1[[#This Row],[Category and Sub-Category]]))</f>
        <v>video games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 s="12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>((Table1[[#This Row],[deadline]]/60)/60/24)+DATE(1970,1,1)</f>
        <v>40380.791666666664</v>
      </c>
      <c r="K2145">
        <v>1275599812</v>
      </c>
      <c r="L2145" s="11">
        <f>((Table1[[#This Row],[launched_at]]/60)/60/24)+DATE(1970,1,1)</f>
        <v>40332.886712962965</v>
      </c>
      <c r="M2145">
        <f>MONTH(Table1[[#This Row],[Date Created Conversion]])</f>
        <v>6</v>
      </c>
      <c r="N2145">
        <f>YEAR(Table1[[#This Row],[Date Created Conversion]])</f>
        <v>2010</v>
      </c>
      <c r="O2145" t="b">
        <v>0</v>
      </c>
      <c r="P2145">
        <v>5</v>
      </c>
      <c r="Q2145" t="b">
        <v>0</v>
      </c>
      <c r="R2145" t="s">
        <v>8282</v>
      </c>
      <c r="S2145" s="6">
        <f>Table1[[#This Row],[pledged]]/Table1[[#This Row],[goal]]</f>
        <v>0.1125</v>
      </c>
      <c r="T2145" s="8">
        <f>IF(Table1[[#This Row],[pledged]]=0,"no backers",Table1[[#This Row],[pledged]]/Table1[[#This Row],[backers_count]])</f>
        <v>45</v>
      </c>
      <c r="U2145" t="str">
        <f>LEFT(Table1[[#This Row],[Category and Sub-Category]],FIND("/",Table1[[#This Row],[Category and Sub-Category]])-1)</f>
        <v>games</v>
      </c>
      <c r="V2145" t="str">
        <f>RIGHT(Table1[[#This Row],[Category and Sub-Category]],LEN(Table1[[#This Row],[Category and Sub-Category]])-FIND("/",Table1[[#This Row],[Category and Sub-Category]]))</f>
        <v>video games</v>
      </c>
    </row>
    <row r="2146" spans="1:22" ht="43.2" x14ac:dyDescent="0.3">
      <c r="A2146">
        <v>2144</v>
      </c>
      <c r="B2146" s="3" t="s">
        <v>2145</v>
      </c>
      <c r="C2146" s="3" t="s">
        <v>6254</v>
      </c>
      <c r="D2146" s="12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>((Table1[[#This Row],[deadline]]/60)/60/24)+DATE(1970,1,1)</f>
        <v>41531.546759259261</v>
      </c>
      <c r="K2146">
        <v>1376399240</v>
      </c>
      <c r="L2146" s="11">
        <f>((Table1[[#This Row],[launched_at]]/60)/60/24)+DATE(1970,1,1)</f>
        <v>41499.546759259261</v>
      </c>
      <c r="M2146">
        <f>MONTH(Table1[[#This Row],[Date Created Conversion]])</f>
        <v>8</v>
      </c>
      <c r="N2146">
        <f>YEAR(Table1[[#This Row],[Date Created Conversion]])</f>
        <v>2013</v>
      </c>
      <c r="O2146" t="b">
        <v>0</v>
      </c>
      <c r="P2146">
        <v>24</v>
      </c>
      <c r="Q2146" t="b">
        <v>0</v>
      </c>
      <c r="R2146" t="s">
        <v>8282</v>
      </c>
      <c r="S2146" s="6">
        <f>Table1[[#This Row],[pledged]]/Table1[[#This Row],[goal]]</f>
        <v>1.7098591549295775E-2</v>
      </c>
      <c r="T2146" s="8">
        <f>IF(Table1[[#This Row],[pledged]]=0,"no backers",Table1[[#This Row],[pledged]]/Table1[[#This Row],[backers_count]])</f>
        <v>25.291666666666668</v>
      </c>
      <c r="U2146" t="str">
        <f>LEFT(Table1[[#This Row],[Category and Sub-Category]],FIND("/",Table1[[#This Row],[Category and Sub-Category]])-1)</f>
        <v>games</v>
      </c>
      <c r="V2146" t="str">
        <f>RIGHT(Table1[[#This Row],[Category and Sub-Category]],LEN(Table1[[#This Row],[Category and Sub-Category]])-FIND("/",Table1[[#This Row],[Category and Sub-Category]]))</f>
        <v>video games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 s="12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>((Table1[[#This Row],[deadline]]/60)/60/24)+DATE(1970,1,1)</f>
        <v>41605.279097222221</v>
      </c>
      <c r="K2147">
        <v>1382938914</v>
      </c>
      <c r="L2147" s="11">
        <f>((Table1[[#This Row],[launched_at]]/60)/60/24)+DATE(1970,1,1)</f>
        <v>41575.237430555557</v>
      </c>
      <c r="M2147">
        <f>MONTH(Table1[[#This Row],[Date Created Conversion]])</f>
        <v>10</v>
      </c>
      <c r="N2147">
        <f>YEAR(Table1[[#This Row],[Date Created Conversion]])</f>
        <v>2013</v>
      </c>
      <c r="O2147" t="b">
        <v>0</v>
      </c>
      <c r="P2147">
        <v>89</v>
      </c>
      <c r="Q2147" t="b">
        <v>0</v>
      </c>
      <c r="R2147" t="s">
        <v>8282</v>
      </c>
      <c r="S2147" s="6">
        <f>Table1[[#This Row],[pledged]]/Table1[[#This Row],[goal]]</f>
        <v>0.30433333333333334</v>
      </c>
      <c r="T2147" s="8">
        <f>IF(Table1[[#This Row],[pledged]]=0,"no backers",Table1[[#This Row],[pledged]]/Table1[[#This Row],[backers_count]])</f>
        <v>51.292134831460672</v>
      </c>
      <c r="U2147" t="str">
        <f>LEFT(Table1[[#This Row],[Category and Sub-Category]],FIND("/",Table1[[#This Row],[Category and Sub-Category]])-1)</f>
        <v>games</v>
      </c>
      <c r="V2147" t="str">
        <f>RIGHT(Table1[[#This Row],[Category and Sub-Category]],LEN(Table1[[#This Row],[Category and Sub-Category]])-FIND("/",Table1[[#This Row],[Category and Sub-Category]]))</f>
        <v>video games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 s="12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>((Table1[[#This Row],[deadline]]/60)/60/24)+DATE(1970,1,1)</f>
        <v>42411.679513888885</v>
      </c>
      <c r="K2148">
        <v>1453997910</v>
      </c>
      <c r="L2148" s="11">
        <f>((Table1[[#This Row],[launched_at]]/60)/60/24)+DATE(1970,1,1)</f>
        <v>42397.679513888885</v>
      </c>
      <c r="M2148">
        <f>MONTH(Table1[[#This Row],[Date Created Conversion]])</f>
        <v>1</v>
      </c>
      <c r="N2148">
        <f>YEAR(Table1[[#This Row],[Date Created Conversion]])</f>
        <v>2016</v>
      </c>
      <c r="O2148" t="b">
        <v>0</v>
      </c>
      <c r="P2148">
        <v>1</v>
      </c>
      <c r="Q2148" t="b">
        <v>0</v>
      </c>
      <c r="R2148" t="s">
        <v>8282</v>
      </c>
      <c r="S2148" s="6">
        <f>Table1[[#This Row],[pledged]]/Table1[[#This Row],[goal]]</f>
        <v>2.0000000000000001E-4</v>
      </c>
      <c r="T2148" s="8">
        <f>IF(Table1[[#This Row],[pledged]]=0,"no backers",Table1[[#This Row],[pledged]]/Table1[[#This Row],[backers_count]])</f>
        <v>1</v>
      </c>
      <c r="U2148" t="str">
        <f>LEFT(Table1[[#This Row],[Category and Sub-Category]],FIND("/",Table1[[#This Row],[Category and Sub-Category]])-1)</f>
        <v>games</v>
      </c>
      <c r="V2148" t="str">
        <f>RIGHT(Table1[[#This Row],[Category and Sub-Category]],LEN(Table1[[#This Row],[Category and Sub-Category]])-FIND("/",Table1[[#This Row],[Category and Sub-Category]]))</f>
        <v>video games</v>
      </c>
    </row>
    <row r="2149" spans="1:22" x14ac:dyDescent="0.3">
      <c r="A2149">
        <v>2147</v>
      </c>
      <c r="B2149" s="3" t="s">
        <v>2148</v>
      </c>
      <c r="C2149" s="3" t="s">
        <v>6257</v>
      </c>
      <c r="D2149" s="12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>((Table1[[#This Row],[deadline]]/60)/60/24)+DATE(1970,1,1)</f>
        <v>41959.337361111116</v>
      </c>
      <c r="K2149">
        <v>1413356748</v>
      </c>
      <c r="L2149" s="11">
        <f>((Table1[[#This Row],[launched_at]]/60)/60/24)+DATE(1970,1,1)</f>
        <v>41927.295694444445</v>
      </c>
      <c r="M2149">
        <f>MONTH(Table1[[#This Row],[Date Created Conversion]])</f>
        <v>10</v>
      </c>
      <c r="N2149">
        <f>YEAR(Table1[[#This Row],[Date Created Conversion]])</f>
        <v>2014</v>
      </c>
      <c r="O2149" t="b">
        <v>0</v>
      </c>
      <c r="P2149">
        <v>55</v>
      </c>
      <c r="Q2149" t="b">
        <v>0</v>
      </c>
      <c r="R2149" t="s">
        <v>8282</v>
      </c>
      <c r="S2149" s="6">
        <f>Table1[[#This Row],[pledged]]/Table1[[#This Row],[goal]]</f>
        <v>6.9641025641025639E-3</v>
      </c>
      <c r="T2149" s="8">
        <f>IF(Table1[[#This Row],[pledged]]=0,"no backers",Table1[[#This Row],[pledged]]/Table1[[#This Row],[backers_count]])</f>
        <v>49.381818181818183</v>
      </c>
      <c r="U2149" t="str">
        <f>LEFT(Table1[[#This Row],[Category and Sub-Category]],FIND("/",Table1[[#This Row],[Category and Sub-Category]])-1)</f>
        <v>games</v>
      </c>
      <c r="V2149" t="str">
        <f>RIGHT(Table1[[#This Row],[Category and Sub-Category]],LEN(Table1[[#This Row],[Category and Sub-Category]])-FIND("/",Table1[[#This Row],[Category and Sub-Category]]))</f>
        <v>video games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 s="12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>((Table1[[#This Row],[deadline]]/60)/60/24)+DATE(1970,1,1)</f>
        <v>42096.691921296297</v>
      </c>
      <c r="K2150">
        <v>1425404182</v>
      </c>
      <c r="L2150" s="11">
        <f>((Table1[[#This Row],[launched_at]]/60)/60/24)+DATE(1970,1,1)</f>
        <v>42066.733587962968</v>
      </c>
      <c r="M2150">
        <f>MONTH(Table1[[#This Row],[Date Created Conversion]])</f>
        <v>3</v>
      </c>
      <c r="N2150">
        <f>YEAR(Table1[[#This Row],[Date Created Conversion]])</f>
        <v>2015</v>
      </c>
      <c r="O2150" t="b">
        <v>0</v>
      </c>
      <c r="P2150">
        <v>2</v>
      </c>
      <c r="Q2150" t="b">
        <v>0</v>
      </c>
      <c r="R2150" t="s">
        <v>8282</v>
      </c>
      <c r="S2150" s="6">
        <f>Table1[[#This Row],[pledged]]/Table1[[#This Row],[goal]]</f>
        <v>0.02</v>
      </c>
      <c r="T2150" s="8">
        <f>IF(Table1[[#This Row],[pledged]]=0,"no backers",Table1[[#This Row],[pledged]]/Table1[[#This Row],[backers_count]])</f>
        <v>1</v>
      </c>
      <c r="U2150" t="str">
        <f>LEFT(Table1[[#This Row],[Category and Sub-Category]],FIND("/",Table1[[#This Row],[Category and Sub-Category]])-1)</f>
        <v>games</v>
      </c>
      <c r="V2150" t="str">
        <f>RIGHT(Table1[[#This Row],[Category and Sub-Category]],LEN(Table1[[#This Row],[Category and Sub-Category]])-FIND("/",Table1[[#This Row],[Category and Sub-Category]]))</f>
        <v>video games</v>
      </c>
    </row>
    <row r="2151" spans="1:22" ht="57.6" x14ac:dyDescent="0.3">
      <c r="A2151">
        <v>2149</v>
      </c>
      <c r="B2151" s="3" t="s">
        <v>2150</v>
      </c>
      <c r="C2151" s="3" t="s">
        <v>6259</v>
      </c>
      <c r="D2151" s="12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>((Table1[[#This Row],[deadline]]/60)/60/24)+DATE(1970,1,1)</f>
        <v>40390</v>
      </c>
      <c r="K2151">
        <v>1277512556</v>
      </c>
      <c r="L2151" s="11">
        <f>((Table1[[#This Row],[launched_at]]/60)/60/24)+DATE(1970,1,1)</f>
        <v>40355.024953703702</v>
      </c>
      <c r="M2151">
        <f>MONTH(Table1[[#This Row],[Date Created Conversion]])</f>
        <v>6</v>
      </c>
      <c r="N2151">
        <f>YEAR(Table1[[#This Row],[Date Created Conversion]])</f>
        <v>2010</v>
      </c>
      <c r="O2151" t="b">
        <v>0</v>
      </c>
      <c r="P2151">
        <v>0</v>
      </c>
      <c r="Q2151" t="b">
        <v>0</v>
      </c>
      <c r="R2151" t="s">
        <v>8282</v>
      </c>
      <c r="S2151" s="6">
        <f>Table1[[#This Row],[pledged]]/Table1[[#This Row],[goal]]</f>
        <v>0</v>
      </c>
      <c r="T2151" s="8" t="str">
        <f>IF(Table1[[#This Row],[pledged]]=0,"no backers",Table1[[#This Row],[pledged]]/Table1[[#This Row],[backers_count]])</f>
        <v>no backers</v>
      </c>
      <c r="U2151" t="str">
        <f>LEFT(Table1[[#This Row],[Category and Sub-Category]],FIND("/",Table1[[#This Row],[Category and Sub-Category]])-1)</f>
        <v>games</v>
      </c>
      <c r="V2151" t="str">
        <f>RIGHT(Table1[[#This Row],[Category and Sub-Category]],LEN(Table1[[#This Row],[Category and Sub-Category]])-FIND("/",Table1[[#This Row],[Category and Sub-Category]]))</f>
        <v>video games</v>
      </c>
    </row>
    <row r="2152" spans="1:22" x14ac:dyDescent="0.3">
      <c r="A2152">
        <v>2150</v>
      </c>
      <c r="B2152" s="3" t="s">
        <v>2151</v>
      </c>
      <c r="C2152" s="3" t="s">
        <v>6260</v>
      </c>
      <c r="D2152" s="1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>((Table1[[#This Row],[deadline]]/60)/60/24)+DATE(1970,1,1)</f>
        <v>42564.284710648149</v>
      </c>
      <c r="K2152">
        <v>1465800599</v>
      </c>
      <c r="L2152" s="11">
        <f>((Table1[[#This Row],[launched_at]]/60)/60/24)+DATE(1970,1,1)</f>
        <v>42534.284710648149</v>
      </c>
      <c r="M2152">
        <f>MONTH(Table1[[#This Row],[Date Created Conversion]])</f>
        <v>6</v>
      </c>
      <c r="N2152">
        <f>YEAR(Table1[[#This Row],[Date Created Conversion]])</f>
        <v>2016</v>
      </c>
      <c r="O2152" t="b">
        <v>0</v>
      </c>
      <c r="P2152">
        <v>4</v>
      </c>
      <c r="Q2152" t="b">
        <v>0</v>
      </c>
      <c r="R2152" t="s">
        <v>8282</v>
      </c>
      <c r="S2152" s="6">
        <f>Table1[[#This Row],[pledged]]/Table1[[#This Row],[goal]]</f>
        <v>8.0999999999999996E-3</v>
      </c>
      <c r="T2152" s="8">
        <f>IF(Table1[[#This Row],[pledged]]=0,"no backers",Table1[[#This Row],[pledged]]/Table1[[#This Row],[backers_count]])</f>
        <v>101.25</v>
      </c>
      <c r="U2152" t="str">
        <f>LEFT(Table1[[#This Row],[Category and Sub-Category]],FIND("/",Table1[[#This Row],[Category and Sub-Category]])-1)</f>
        <v>games</v>
      </c>
      <c r="V2152" t="str">
        <f>RIGHT(Table1[[#This Row],[Category and Sub-Category]],LEN(Table1[[#This Row],[Category and Sub-Category]])-FIND("/",Table1[[#This Row],[Category and Sub-Category]]))</f>
        <v>video games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 s="12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>((Table1[[#This Row],[deadline]]/60)/60/24)+DATE(1970,1,1)</f>
        <v>42550.847384259265</v>
      </c>
      <c r="K2153">
        <v>1464639614</v>
      </c>
      <c r="L2153" s="11">
        <f>((Table1[[#This Row],[launched_at]]/60)/60/24)+DATE(1970,1,1)</f>
        <v>42520.847384259265</v>
      </c>
      <c r="M2153">
        <f>MONTH(Table1[[#This Row],[Date Created Conversion]])</f>
        <v>5</v>
      </c>
      <c r="N2153">
        <f>YEAR(Table1[[#This Row],[Date Created Conversion]])</f>
        <v>2016</v>
      </c>
      <c r="O2153" t="b">
        <v>0</v>
      </c>
      <c r="P2153">
        <v>6</v>
      </c>
      <c r="Q2153" t="b">
        <v>0</v>
      </c>
      <c r="R2153" t="s">
        <v>8282</v>
      </c>
      <c r="S2153" s="6">
        <f>Table1[[#This Row],[pledged]]/Table1[[#This Row],[goal]]</f>
        <v>2.6222222222222224E-3</v>
      </c>
      <c r="T2153" s="8">
        <f>IF(Table1[[#This Row],[pledged]]=0,"no backers",Table1[[#This Row],[pledged]]/Table1[[#This Row],[backers_count]])</f>
        <v>19.666666666666668</v>
      </c>
      <c r="U2153" t="str">
        <f>LEFT(Table1[[#This Row],[Category and Sub-Category]],FIND("/",Table1[[#This Row],[Category and Sub-Category]])-1)</f>
        <v>games</v>
      </c>
      <c r="V2153" t="str">
        <f>RIGHT(Table1[[#This Row],[Category and Sub-Category]],LEN(Table1[[#This Row],[Category and Sub-Category]])-FIND("/",Table1[[#This Row],[Category and Sub-Category]]))</f>
        <v>video games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 s="12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>((Table1[[#This Row],[deadline]]/60)/60/24)+DATE(1970,1,1)</f>
        <v>41713.790613425925</v>
      </c>
      <c r="K2154">
        <v>1392321509</v>
      </c>
      <c r="L2154" s="11">
        <f>((Table1[[#This Row],[launched_at]]/60)/60/24)+DATE(1970,1,1)</f>
        <v>41683.832280092596</v>
      </c>
      <c r="M2154">
        <f>MONTH(Table1[[#This Row],[Date Created Conversion]])</f>
        <v>2</v>
      </c>
      <c r="N2154">
        <f>YEAR(Table1[[#This Row],[Date Created Conversion]])</f>
        <v>2014</v>
      </c>
      <c r="O2154" t="b">
        <v>0</v>
      </c>
      <c r="P2154">
        <v>4</v>
      </c>
      <c r="Q2154" t="b">
        <v>0</v>
      </c>
      <c r="R2154" t="s">
        <v>8282</v>
      </c>
      <c r="S2154" s="6">
        <f>Table1[[#This Row],[pledged]]/Table1[[#This Row],[goal]]</f>
        <v>1.6666666666666668E-3</v>
      </c>
      <c r="T2154" s="8">
        <f>IF(Table1[[#This Row],[pledged]]=0,"no backers",Table1[[#This Row],[pledged]]/Table1[[#This Row],[backers_count]])</f>
        <v>12.5</v>
      </c>
      <c r="U2154" t="str">
        <f>LEFT(Table1[[#This Row],[Category and Sub-Category]],FIND("/",Table1[[#This Row],[Category and Sub-Category]])-1)</f>
        <v>games</v>
      </c>
      <c r="V2154" t="str">
        <f>RIGHT(Table1[[#This Row],[Category and Sub-Category]],LEN(Table1[[#This Row],[Category and Sub-Category]])-FIND("/",Table1[[#This Row],[Category and Sub-Category]]))</f>
        <v>video games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 s="12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>((Table1[[#This Row],[deadline]]/60)/60/24)+DATE(1970,1,1)</f>
        <v>42014.332638888889</v>
      </c>
      <c r="K2155">
        <v>1417470718</v>
      </c>
      <c r="L2155" s="11">
        <f>((Table1[[#This Row],[launched_at]]/60)/60/24)+DATE(1970,1,1)</f>
        <v>41974.911087962959</v>
      </c>
      <c r="M2155">
        <f>MONTH(Table1[[#This Row],[Date Created Conversion]])</f>
        <v>12</v>
      </c>
      <c r="N2155">
        <f>YEAR(Table1[[#This Row],[Date Created Conversion]])</f>
        <v>2014</v>
      </c>
      <c r="O2155" t="b">
        <v>0</v>
      </c>
      <c r="P2155">
        <v>4</v>
      </c>
      <c r="Q2155" t="b">
        <v>0</v>
      </c>
      <c r="R2155" t="s">
        <v>8282</v>
      </c>
      <c r="S2155" s="6">
        <f>Table1[[#This Row],[pledged]]/Table1[[#This Row],[goal]]</f>
        <v>9.1244548809124457E-5</v>
      </c>
      <c r="T2155" s="8">
        <f>IF(Table1[[#This Row],[pledged]]=0,"no backers",Table1[[#This Row],[pledged]]/Table1[[#This Row],[backers_count]])</f>
        <v>8.5</v>
      </c>
      <c r="U2155" t="str">
        <f>LEFT(Table1[[#This Row],[Category and Sub-Category]],FIND("/",Table1[[#This Row],[Category and Sub-Category]])-1)</f>
        <v>games</v>
      </c>
      <c r="V2155" t="str">
        <f>RIGHT(Table1[[#This Row],[Category and Sub-Category]],LEN(Table1[[#This Row],[Category and Sub-Category]])-FIND("/",Table1[[#This Row],[Category and Sub-Category]]))</f>
        <v>video games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 s="12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>((Table1[[#This Row],[deadline]]/60)/60/24)+DATE(1970,1,1)</f>
        <v>41667.632256944446</v>
      </c>
      <c r="K2156">
        <v>1389193827</v>
      </c>
      <c r="L2156" s="11">
        <f>((Table1[[#This Row],[launched_at]]/60)/60/24)+DATE(1970,1,1)</f>
        <v>41647.632256944446</v>
      </c>
      <c r="M2156">
        <f>MONTH(Table1[[#This Row],[Date Created Conversion]])</f>
        <v>1</v>
      </c>
      <c r="N2156">
        <f>YEAR(Table1[[#This Row],[Date Created Conversion]])</f>
        <v>2014</v>
      </c>
      <c r="O2156" t="b">
        <v>0</v>
      </c>
      <c r="P2156">
        <v>2</v>
      </c>
      <c r="Q2156" t="b">
        <v>0</v>
      </c>
      <c r="R2156" t="s">
        <v>8282</v>
      </c>
      <c r="S2156" s="6">
        <f>Table1[[#This Row],[pledged]]/Table1[[#This Row],[goal]]</f>
        <v>8.0000000000000002E-3</v>
      </c>
      <c r="T2156" s="8">
        <f>IF(Table1[[#This Row],[pledged]]=0,"no backers",Table1[[#This Row],[pledged]]/Table1[[#This Row],[backers_count]])</f>
        <v>1</v>
      </c>
      <c r="U2156" t="str">
        <f>LEFT(Table1[[#This Row],[Category and Sub-Category]],FIND("/",Table1[[#This Row],[Category and Sub-Category]])-1)</f>
        <v>games</v>
      </c>
      <c r="V2156" t="str">
        <f>RIGHT(Table1[[#This Row],[Category and Sub-Category]],LEN(Table1[[#This Row],[Category and Sub-Category]])-FIND("/",Table1[[#This Row],[Category and Sub-Category]]))</f>
        <v>video games</v>
      </c>
    </row>
    <row r="2157" spans="1:22" ht="43.2" x14ac:dyDescent="0.3">
      <c r="A2157">
        <v>2155</v>
      </c>
      <c r="B2157" s="3" t="s">
        <v>2156</v>
      </c>
      <c r="C2157" s="3" t="s">
        <v>6265</v>
      </c>
      <c r="D2157" s="12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>((Table1[[#This Row],[deadline]]/60)/60/24)+DATE(1970,1,1)</f>
        <v>42460.70584490741</v>
      </c>
      <c r="K2157">
        <v>1456854985</v>
      </c>
      <c r="L2157" s="11">
        <f>((Table1[[#This Row],[launched_at]]/60)/60/24)+DATE(1970,1,1)</f>
        <v>42430.747511574074</v>
      </c>
      <c r="M2157">
        <f>MONTH(Table1[[#This Row],[Date Created Conversion]])</f>
        <v>3</v>
      </c>
      <c r="N2157">
        <f>YEAR(Table1[[#This Row],[Date Created Conversion]])</f>
        <v>2016</v>
      </c>
      <c r="O2157" t="b">
        <v>0</v>
      </c>
      <c r="P2157">
        <v>5</v>
      </c>
      <c r="Q2157" t="b">
        <v>0</v>
      </c>
      <c r="R2157" t="s">
        <v>8282</v>
      </c>
      <c r="S2157" s="6">
        <f>Table1[[#This Row],[pledged]]/Table1[[#This Row],[goal]]</f>
        <v>2.3E-2</v>
      </c>
      <c r="T2157" s="8">
        <f>IF(Table1[[#This Row],[pledged]]=0,"no backers",Table1[[#This Row],[pledged]]/Table1[[#This Row],[backers_count]])</f>
        <v>23</v>
      </c>
      <c r="U2157" t="str">
        <f>LEFT(Table1[[#This Row],[Category and Sub-Category]],FIND("/",Table1[[#This Row],[Category and Sub-Category]])-1)</f>
        <v>games</v>
      </c>
      <c r="V2157" t="str">
        <f>RIGHT(Table1[[#This Row],[Category and Sub-Category]],LEN(Table1[[#This Row],[Category and Sub-Category]])-FIND("/",Table1[[#This Row],[Category and Sub-Category]]))</f>
        <v>video games</v>
      </c>
    </row>
    <row r="2158" spans="1:22" ht="43.2" x14ac:dyDescent="0.3">
      <c r="A2158">
        <v>2156</v>
      </c>
      <c r="B2158" s="3" t="s">
        <v>2157</v>
      </c>
      <c r="C2158" s="3" t="s">
        <v>6266</v>
      </c>
      <c r="D2158" s="12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>((Table1[[#This Row],[deadline]]/60)/60/24)+DATE(1970,1,1)</f>
        <v>41533.85423611111</v>
      </c>
      <c r="K2158">
        <v>1375475406</v>
      </c>
      <c r="L2158" s="11">
        <f>((Table1[[#This Row],[launched_at]]/60)/60/24)+DATE(1970,1,1)</f>
        <v>41488.85423611111</v>
      </c>
      <c r="M2158">
        <f>MONTH(Table1[[#This Row],[Date Created Conversion]])</f>
        <v>8</v>
      </c>
      <c r="N2158">
        <f>YEAR(Table1[[#This Row],[Date Created Conversion]])</f>
        <v>2013</v>
      </c>
      <c r="O2158" t="b">
        <v>0</v>
      </c>
      <c r="P2158">
        <v>83</v>
      </c>
      <c r="Q2158" t="b">
        <v>0</v>
      </c>
      <c r="R2158" t="s">
        <v>8282</v>
      </c>
      <c r="S2158" s="6">
        <f>Table1[[#This Row],[pledged]]/Table1[[#This Row],[goal]]</f>
        <v>2.6660714285714284E-2</v>
      </c>
      <c r="T2158" s="8">
        <f>IF(Table1[[#This Row],[pledged]]=0,"no backers",Table1[[#This Row],[pledged]]/Table1[[#This Row],[backers_count]])</f>
        <v>17.987951807228917</v>
      </c>
      <c r="U2158" t="str">
        <f>LEFT(Table1[[#This Row],[Category and Sub-Category]],FIND("/",Table1[[#This Row],[Category and Sub-Category]])-1)</f>
        <v>games</v>
      </c>
      <c r="V2158" t="str">
        <f>RIGHT(Table1[[#This Row],[Category and Sub-Category]],LEN(Table1[[#This Row],[Category and Sub-Category]])-FIND("/",Table1[[#This Row],[Category and Sub-Category]]))</f>
        <v>video games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 s="12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>((Table1[[#This Row],[deadline]]/60)/60/24)+DATE(1970,1,1)</f>
        <v>42727.332638888889</v>
      </c>
      <c r="K2159">
        <v>1479684783</v>
      </c>
      <c r="L2159" s="11">
        <f>((Table1[[#This Row],[launched_at]]/60)/60/24)+DATE(1970,1,1)</f>
        <v>42694.98128472222</v>
      </c>
      <c r="M2159">
        <f>MONTH(Table1[[#This Row],[Date Created Conversion]])</f>
        <v>11</v>
      </c>
      <c r="N2159">
        <f>YEAR(Table1[[#This Row],[Date Created Conversion]])</f>
        <v>2016</v>
      </c>
      <c r="O2159" t="b">
        <v>0</v>
      </c>
      <c r="P2159">
        <v>57</v>
      </c>
      <c r="Q2159" t="b">
        <v>0</v>
      </c>
      <c r="R2159" t="s">
        <v>8282</v>
      </c>
      <c r="S2159" s="6">
        <f>Table1[[#This Row],[pledged]]/Table1[[#This Row],[goal]]</f>
        <v>0.28192</v>
      </c>
      <c r="T2159" s="8">
        <f>IF(Table1[[#This Row],[pledged]]=0,"no backers",Table1[[#This Row],[pledged]]/Table1[[#This Row],[backers_count]])</f>
        <v>370.94736842105266</v>
      </c>
      <c r="U2159" t="str">
        <f>LEFT(Table1[[#This Row],[Category and Sub-Category]],FIND("/",Table1[[#This Row],[Category and Sub-Category]])-1)</f>
        <v>games</v>
      </c>
      <c r="V2159" t="str">
        <f>RIGHT(Table1[[#This Row],[Category and Sub-Category]],LEN(Table1[[#This Row],[Category and Sub-Category]])-FIND("/",Table1[[#This Row],[Category and Sub-Category]]))</f>
        <v>video games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 s="12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>((Table1[[#This Row],[deadline]]/60)/60/24)+DATE(1970,1,1)</f>
        <v>41309.853865740741</v>
      </c>
      <c r="K2160">
        <v>1356121774</v>
      </c>
      <c r="L2160" s="11">
        <f>((Table1[[#This Row],[launched_at]]/60)/60/24)+DATE(1970,1,1)</f>
        <v>41264.853865740741</v>
      </c>
      <c r="M2160">
        <f>MONTH(Table1[[#This Row],[Date Created Conversion]])</f>
        <v>12</v>
      </c>
      <c r="N2160">
        <f>YEAR(Table1[[#This Row],[Date Created Conversion]])</f>
        <v>2012</v>
      </c>
      <c r="O2160" t="b">
        <v>0</v>
      </c>
      <c r="P2160">
        <v>311</v>
      </c>
      <c r="Q2160" t="b">
        <v>0</v>
      </c>
      <c r="R2160" t="s">
        <v>8282</v>
      </c>
      <c r="S2160" s="6">
        <f>Table1[[#This Row],[pledged]]/Table1[[#This Row],[goal]]</f>
        <v>6.5900366666666668E-2</v>
      </c>
      <c r="T2160" s="8">
        <f>IF(Table1[[#This Row],[pledged]]=0,"no backers",Table1[[#This Row],[pledged]]/Table1[[#This Row],[backers_count]])</f>
        <v>63.569485530546629</v>
      </c>
      <c r="U2160" t="str">
        <f>LEFT(Table1[[#This Row],[Category and Sub-Category]],FIND("/",Table1[[#This Row],[Category and Sub-Category]])-1)</f>
        <v>games</v>
      </c>
      <c r="V2160" t="str">
        <f>RIGHT(Table1[[#This Row],[Category and Sub-Category]],LEN(Table1[[#This Row],[Category and Sub-Category]])-FIND("/",Table1[[#This Row],[Category and Sub-Category]]))</f>
        <v>video games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 s="12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>((Table1[[#This Row],[deadline]]/60)/60/24)+DATE(1970,1,1)</f>
        <v>40740.731180555551</v>
      </c>
      <c r="K2161">
        <v>1308245574</v>
      </c>
      <c r="L2161" s="11">
        <f>((Table1[[#This Row],[launched_at]]/60)/60/24)+DATE(1970,1,1)</f>
        <v>40710.731180555551</v>
      </c>
      <c r="M2161">
        <f>MONTH(Table1[[#This Row],[Date Created Conversion]])</f>
        <v>6</v>
      </c>
      <c r="N2161">
        <f>YEAR(Table1[[#This Row],[Date Created Conversion]])</f>
        <v>2011</v>
      </c>
      <c r="O2161" t="b">
        <v>0</v>
      </c>
      <c r="P2161">
        <v>2</v>
      </c>
      <c r="Q2161" t="b">
        <v>0</v>
      </c>
      <c r="R2161" t="s">
        <v>8282</v>
      </c>
      <c r="S2161" s="6">
        <f>Table1[[#This Row],[pledged]]/Table1[[#This Row],[goal]]</f>
        <v>7.2222222222222219E-3</v>
      </c>
      <c r="T2161" s="8">
        <f>IF(Table1[[#This Row],[pledged]]=0,"no backers",Table1[[#This Row],[pledged]]/Table1[[#This Row],[backers_count]])</f>
        <v>13</v>
      </c>
      <c r="U2161" t="str">
        <f>LEFT(Table1[[#This Row],[Category and Sub-Category]],FIND("/",Table1[[#This Row],[Category and Sub-Category]])-1)</f>
        <v>games</v>
      </c>
      <c r="V2161" t="str">
        <f>RIGHT(Table1[[#This Row],[Category and Sub-Category]],LEN(Table1[[#This Row],[Category and Sub-Category]])-FIND("/",Table1[[#This Row],[Category and Sub-Category]]))</f>
        <v>video games</v>
      </c>
    </row>
    <row r="2162" spans="1:22" ht="43.2" x14ac:dyDescent="0.3">
      <c r="A2162">
        <v>2160</v>
      </c>
      <c r="B2162" s="3" t="s">
        <v>2161</v>
      </c>
      <c r="C2162" s="3" t="s">
        <v>6270</v>
      </c>
      <c r="D2162" s="1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>((Table1[[#This Row],[deadline]]/60)/60/24)+DATE(1970,1,1)</f>
        <v>41048.711863425924</v>
      </c>
      <c r="K2162">
        <v>1334855105</v>
      </c>
      <c r="L2162" s="11">
        <f>((Table1[[#This Row],[launched_at]]/60)/60/24)+DATE(1970,1,1)</f>
        <v>41018.711863425924</v>
      </c>
      <c r="M2162">
        <f>MONTH(Table1[[#This Row],[Date Created Conversion]])</f>
        <v>4</v>
      </c>
      <c r="N2162">
        <f>YEAR(Table1[[#This Row],[Date Created Conversion]])</f>
        <v>2012</v>
      </c>
      <c r="O2162" t="b">
        <v>0</v>
      </c>
      <c r="P2162">
        <v>16</v>
      </c>
      <c r="Q2162" t="b">
        <v>0</v>
      </c>
      <c r="R2162" t="s">
        <v>8282</v>
      </c>
      <c r="S2162" s="6">
        <f>Table1[[#This Row],[pledged]]/Table1[[#This Row],[goal]]</f>
        <v>8.5000000000000006E-3</v>
      </c>
      <c r="T2162" s="8">
        <f>IF(Table1[[#This Row],[pledged]]=0,"no backers",Table1[[#This Row],[pledged]]/Table1[[#This Row],[backers_count]])</f>
        <v>5.3125</v>
      </c>
      <c r="U2162" t="str">
        <f>LEFT(Table1[[#This Row],[Category and Sub-Category]],FIND("/",Table1[[#This Row],[Category and Sub-Category]])-1)</f>
        <v>games</v>
      </c>
      <c r="V2162" t="str">
        <f>RIGHT(Table1[[#This Row],[Category and Sub-Category]],LEN(Table1[[#This Row],[Category and Sub-Category]])-FIND("/",Table1[[#This Row],[Category and Sub-Category]]))</f>
        <v>video games</v>
      </c>
    </row>
    <row r="2163" spans="1:22" ht="28.8" x14ac:dyDescent="0.3">
      <c r="A2163">
        <v>2161</v>
      </c>
      <c r="B2163" s="3" t="s">
        <v>2162</v>
      </c>
      <c r="C2163" s="3" t="s">
        <v>6271</v>
      </c>
      <c r="D2163" s="12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>((Table1[[#This Row],[deadline]]/60)/60/24)+DATE(1970,1,1)</f>
        <v>42270.852534722217</v>
      </c>
      <c r="K2163">
        <v>1440448059</v>
      </c>
      <c r="L2163" s="11">
        <f>((Table1[[#This Row],[launched_at]]/60)/60/24)+DATE(1970,1,1)</f>
        <v>42240.852534722217</v>
      </c>
      <c r="M2163">
        <f>MONTH(Table1[[#This Row],[Date Created Conversion]])</f>
        <v>8</v>
      </c>
      <c r="N2163">
        <f>YEAR(Table1[[#This Row],[Date Created Conversion]])</f>
        <v>2015</v>
      </c>
      <c r="O2163" t="b">
        <v>0</v>
      </c>
      <c r="P2163">
        <v>13</v>
      </c>
      <c r="Q2163" t="b">
        <v>1</v>
      </c>
      <c r="R2163" t="s">
        <v>8276</v>
      </c>
      <c r="S2163" s="6">
        <f>Table1[[#This Row],[pledged]]/Table1[[#This Row],[goal]]</f>
        <v>1.1575</v>
      </c>
      <c r="T2163" s="8">
        <f>IF(Table1[[#This Row],[pledged]]=0,"no backers",Table1[[#This Row],[pledged]]/Table1[[#This Row],[backers_count]])</f>
        <v>35.615384615384613</v>
      </c>
      <c r="U2163" t="str">
        <f>LEFT(Table1[[#This Row],[Category and Sub-Category]],FIND("/",Table1[[#This Row],[Category and Sub-Category]])-1)</f>
        <v>music</v>
      </c>
      <c r="V2163" t="str">
        <f>RIGHT(Table1[[#This Row],[Category and Sub-Category]],LEN(Table1[[#This Row],[Category and Sub-Category]])-FIND("/",Table1[[#This Row],[Category and Sub-Category]]))</f>
        <v>rock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 s="12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>((Table1[[#This Row],[deadline]]/60)/60/24)+DATE(1970,1,1)</f>
        <v>41844.766099537039</v>
      </c>
      <c r="K2164">
        <v>1403547791</v>
      </c>
      <c r="L2164" s="11">
        <f>((Table1[[#This Row],[launched_at]]/60)/60/24)+DATE(1970,1,1)</f>
        <v>41813.766099537039</v>
      </c>
      <c r="M2164">
        <f>MONTH(Table1[[#This Row],[Date Created Conversion]])</f>
        <v>6</v>
      </c>
      <c r="N2164">
        <f>YEAR(Table1[[#This Row],[Date Created Conversion]])</f>
        <v>2014</v>
      </c>
      <c r="O2164" t="b">
        <v>0</v>
      </c>
      <c r="P2164">
        <v>58</v>
      </c>
      <c r="Q2164" t="b">
        <v>1</v>
      </c>
      <c r="R2164" t="s">
        <v>8276</v>
      </c>
      <c r="S2164" s="6">
        <f>Table1[[#This Row],[pledged]]/Table1[[#This Row],[goal]]</f>
        <v>1.1226666666666667</v>
      </c>
      <c r="T2164" s="8">
        <f>IF(Table1[[#This Row],[pledged]]=0,"no backers",Table1[[#This Row],[pledged]]/Table1[[#This Row],[backers_count]])</f>
        <v>87.103448275862064</v>
      </c>
      <c r="U2164" t="str">
        <f>LEFT(Table1[[#This Row],[Category and Sub-Category]],FIND("/",Table1[[#This Row],[Category and Sub-Category]])-1)</f>
        <v>music</v>
      </c>
      <c r="V2164" t="str">
        <f>RIGHT(Table1[[#This Row],[Category and Sub-Category]],LEN(Table1[[#This Row],[Category and Sub-Category]])-FIND("/",Table1[[#This Row],[Category and Sub-Category]]))</f>
        <v>rock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 s="12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>((Table1[[#This Row],[deadline]]/60)/60/24)+DATE(1970,1,1)</f>
        <v>42163.159722222219</v>
      </c>
      <c r="K2165">
        <v>1429306520</v>
      </c>
      <c r="L2165" s="11">
        <f>((Table1[[#This Row],[launched_at]]/60)/60/24)+DATE(1970,1,1)</f>
        <v>42111.899537037039</v>
      </c>
      <c r="M2165">
        <f>MONTH(Table1[[#This Row],[Date Created Conversion]])</f>
        <v>4</v>
      </c>
      <c r="N2165">
        <f>YEAR(Table1[[#This Row],[Date Created Conversion]])</f>
        <v>2015</v>
      </c>
      <c r="O2165" t="b">
        <v>0</v>
      </c>
      <c r="P2165">
        <v>44</v>
      </c>
      <c r="Q2165" t="b">
        <v>1</v>
      </c>
      <c r="R2165" t="s">
        <v>8276</v>
      </c>
      <c r="S2165" s="6">
        <f>Table1[[#This Row],[pledged]]/Table1[[#This Row],[goal]]</f>
        <v>1.3220000000000001</v>
      </c>
      <c r="T2165" s="8">
        <f>IF(Table1[[#This Row],[pledged]]=0,"no backers",Table1[[#This Row],[pledged]]/Table1[[#This Row],[backers_count]])</f>
        <v>75.11363636363636</v>
      </c>
      <c r="U2165" t="str">
        <f>LEFT(Table1[[#This Row],[Category and Sub-Category]],FIND("/",Table1[[#This Row],[Category and Sub-Category]])-1)</f>
        <v>music</v>
      </c>
      <c r="V2165" t="str">
        <f>RIGHT(Table1[[#This Row],[Category and Sub-Category]],LEN(Table1[[#This Row],[Category and Sub-Category]])-FIND("/",Table1[[#This Row],[Category and Sub-Category]]))</f>
        <v>rock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 s="12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>((Table1[[#This Row],[deadline]]/60)/60/24)+DATE(1970,1,1)</f>
        <v>42546.165972222225</v>
      </c>
      <c r="K2166">
        <v>1464196414</v>
      </c>
      <c r="L2166" s="11">
        <f>((Table1[[#This Row],[launched_at]]/60)/60/24)+DATE(1970,1,1)</f>
        <v>42515.71775462963</v>
      </c>
      <c r="M2166">
        <f>MONTH(Table1[[#This Row],[Date Created Conversion]])</f>
        <v>5</v>
      </c>
      <c r="N2166">
        <f>YEAR(Table1[[#This Row],[Date Created Conversion]])</f>
        <v>2016</v>
      </c>
      <c r="O2166" t="b">
        <v>0</v>
      </c>
      <c r="P2166">
        <v>83</v>
      </c>
      <c r="Q2166" t="b">
        <v>1</v>
      </c>
      <c r="R2166" t="s">
        <v>8276</v>
      </c>
      <c r="S2166" s="6">
        <f>Table1[[#This Row],[pledged]]/Table1[[#This Row],[goal]]</f>
        <v>1.0263636363636364</v>
      </c>
      <c r="T2166" s="8">
        <f>IF(Table1[[#This Row],[pledged]]=0,"no backers",Table1[[#This Row],[pledged]]/Table1[[#This Row],[backers_count]])</f>
        <v>68.01204819277109</v>
      </c>
      <c r="U2166" t="str">
        <f>LEFT(Table1[[#This Row],[Category and Sub-Category]],FIND("/",Table1[[#This Row],[Category and Sub-Category]])-1)</f>
        <v>music</v>
      </c>
      <c r="V2166" t="str">
        <f>RIGHT(Table1[[#This Row],[Category and Sub-Category]],LEN(Table1[[#This Row],[Category and Sub-Category]])-FIND("/",Table1[[#This Row],[Category and Sub-Category]]))</f>
        <v>rock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 s="12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>((Table1[[#This Row],[deadline]]/60)/60/24)+DATE(1970,1,1)</f>
        <v>42468.625405092593</v>
      </c>
      <c r="K2167">
        <v>1457539235</v>
      </c>
      <c r="L2167" s="11">
        <f>((Table1[[#This Row],[launched_at]]/60)/60/24)+DATE(1970,1,1)</f>
        <v>42438.667071759264</v>
      </c>
      <c r="M2167">
        <f>MONTH(Table1[[#This Row],[Date Created Conversion]])</f>
        <v>3</v>
      </c>
      <c r="N2167">
        <f>YEAR(Table1[[#This Row],[Date Created Conversion]])</f>
        <v>2016</v>
      </c>
      <c r="O2167" t="b">
        <v>0</v>
      </c>
      <c r="P2167">
        <v>117</v>
      </c>
      <c r="Q2167" t="b">
        <v>1</v>
      </c>
      <c r="R2167" t="s">
        <v>8276</v>
      </c>
      <c r="S2167" s="6">
        <f>Table1[[#This Row],[pledged]]/Table1[[#This Row],[goal]]</f>
        <v>1.3864000000000001</v>
      </c>
      <c r="T2167" s="8">
        <f>IF(Table1[[#This Row],[pledged]]=0,"no backers",Table1[[#This Row],[pledged]]/Table1[[#This Row],[backers_count]])</f>
        <v>29.623931623931625</v>
      </c>
      <c r="U2167" t="str">
        <f>LEFT(Table1[[#This Row],[Category and Sub-Category]],FIND("/",Table1[[#This Row],[Category and Sub-Category]])-1)</f>
        <v>music</v>
      </c>
      <c r="V2167" t="str">
        <f>RIGHT(Table1[[#This Row],[Category and Sub-Category]],LEN(Table1[[#This Row],[Category and Sub-Category]])-FIND("/",Table1[[#This Row],[Category and Sub-Category]]))</f>
        <v>rock</v>
      </c>
    </row>
    <row r="2168" spans="1:22" ht="57.6" x14ac:dyDescent="0.3">
      <c r="A2168">
        <v>2166</v>
      </c>
      <c r="B2168" s="3" t="s">
        <v>2167</v>
      </c>
      <c r="C2168" s="3" t="s">
        <v>6276</v>
      </c>
      <c r="D2168" s="12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>((Table1[[#This Row],[deadline]]/60)/60/24)+DATE(1970,1,1)</f>
        <v>41978.879837962959</v>
      </c>
      <c r="K2168">
        <v>1413922018</v>
      </c>
      <c r="L2168" s="11">
        <f>((Table1[[#This Row],[launched_at]]/60)/60/24)+DATE(1970,1,1)</f>
        <v>41933.838171296295</v>
      </c>
      <c r="M2168">
        <f>MONTH(Table1[[#This Row],[Date Created Conversion]])</f>
        <v>10</v>
      </c>
      <c r="N2168">
        <f>YEAR(Table1[[#This Row],[Date Created Conversion]])</f>
        <v>2014</v>
      </c>
      <c r="O2168" t="b">
        <v>0</v>
      </c>
      <c r="P2168">
        <v>32</v>
      </c>
      <c r="Q2168" t="b">
        <v>1</v>
      </c>
      <c r="R2168" t="s">
        <v>8276</v>
      </c>
      <c r="S2168" s="6">
        <f>Table1[[#This Row],[pledged]]/Table1[[#This Row],[goal]]</f>
        <v>1.466</v>
      </c>
      <c r="T2168" s="8">
        <f>IF(Table1[[#This Row],[pledged]]=0,"no backers",Table1[[#This Row],[pledged]]/Table1[[#This Row],[backers_count]])</f>
        <v>91.625</v>
      </c>
      <c r="U2168" t="str">
        <f>LEFT(Table1[[#This Row],[Category and Sub-Category]],FIND("/",Table1[[#This Row],[Category and Sub-Category]])-1)</f>
        <v>music</v>
      </c>
      <c r="V2168" t="str">
        <f>RIGHT(Table1[[#This Row],[Category and Sub-Category]],LEN(Table1[[#This Row],[Category and Sub-Category]])-FIND("/",Table1[[#This Row],[Category and Sub-Category]]))</f>
        <v>rock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 s="12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>((Table1[[#This Row],[deadline]]/60)/60/24)+DATE(1970,1,1)</f>
        <v>41167.066400462965</v>
      </c>
      <c r="K2169">
        <v>1346463337</v>
      </c>
      <c r="L2169" s="11">
        <f>((Table1[[#This Row],[launched_at]]/60)/60/24)+DATE(1970,1,1)</f>
        <v>41153.066400462965</v>
      </c>
      <c r="M2169">
        <f>MONTH(Table1[[#This Row],[Date Created Conversion]])</f>
        <v>9</v>
      </c>
      <c r="N2169">
        <f>YEAR(Table1[[#This Row],[Date Created Conversion]])</f>
        <v>2012</v>
      </c>
      <c r="O2169" t="b">
        <v>0</v>
      </c>
      <c r="P2169">
        <v>8</v>
      </c>
      <c r="Q2169" t="b">
        <v>1</v>
      </c>
      <c r="R2169" t="s">
        <v>8276</v>
      </c>
      <c r="S2169" s="6">
        <f>Table1[[#This Row],[pledged]]/Table1[[#This Row],[goal]]</f>
        <v>1.2</v>
      </c>
      <c r="T2169" s="8">
        <f>IF(Table1[[#This Row],[pledged]]=0,"no backers",Table1[[#This Row],[pledged]]/Table1[[#This Row],[backers_count]])</f>
        <v>22.5</v>
      </c>
      <c r="U2169" t="str">
        <f>LEFT(Table1[[#This Row],[Category and Sub-Category]],FIND("/",Table1[[#This Row],[Category and Sub-Category]])-1)</f>
        <v>music</v>
      </c>
      <c r="V2169" t="str">
        <f>RIGHT(Table1[[#This Row],[Category and Sub-Category]],LEN(Table1[[#This Row],[Category and Sub-Category]])-FIND("/",Table1[[#This Row],[Category and Sub-Category]]))</f>
        <v>rock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 s="12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>((Table1[[#This Row],[deadline]]/60)/60/24)+DATE(1970,1,1)</f>
        <v>42776.208333333328</v>
      </c>
      <c r="K2170">
        <v>1484058261</v>
      </c>
      <c r="L2170" s="11">
        <f>((Table1[[#This Row],[launched_at]]/60)/60/24)+DATE(1970,1,1)</f>
        <v>42745.600243055553</v>
      </c>
      <c r="M2170">
        <f>MONTH(Table1[[#This Row],[Date Created Conversion]])</f>
        <v>1</v>
      </c>
      <c r="N2170">
        <f>YEAR(Table1[[#This Row],[Date Created Conversion]])</f>
        <v>2017</v>
      </c>
      <c r="O2170" t="b">
        <v>0</v>
      </c>
      <c r="P2170">
        <v>340</v>
      </c>
      <c r="Q2170" t="b">
        <v>1</v>
      </c>
      <c r="R2170" t="s">
        <v>8276</v>
      </c>
      <c r="S2170" s="6">
        <f>Table1[[#This Row],[pledged]]/Table1[[#This Row],[goal]]</f>
        <v>1.215816111111111</v>
      </c>
      <c r="T2170" s="8">
        <f>IF(Table1[[#This Row],[pledged]]=0,"no backers",Table1[[#This Row],[pledged]]/Table1[[#This Row],[backers_count]])</f>
        <v>64.366735294117646</v>
      </c>
      <c r="U2170" t="str">
        <f>LEFT(Table1[[#This Row],[Category and Sub-Category]],FIND("/",Table1[[#This Row],[Category and Sub-Category]])-1)</f>
        <v>music</v>
      </c>
      <c r="V2170" t="str">
        <f>RIGHT(Table1[[#This Row],[Category and Sub-Category]],LEN(Table1[[#This Row],[Category and Sub-Category]])-FIND("/",Table1[[#This Row],[Category and Sub-Category]]))</f>
        <v>rock</v>
      </c>
    </row>
    <row r="2171" spans="1:22" ht="57.6" x14ac:dyDescent="0.3">
      <c r="A2171">
        <v>2169</v>
      </c>
      <c r="B2171" s="3" t="s">
        <v>2170</v>
      </c>
      <c r="C2171" s="3" t="s">
        <v>6279</v>
      </c>
      <c r="D2171" s="12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>((Table1[[#This Row],[deadline]]/60)/60/24)+DATE(1970,1,1)</f>
        <v>42796.700821759259</v>
      </c>
      <c r="K2171">
        <v>1488214151</v>
      </c>
      <c r="L2171" s="11">
        <f>((Table1[[#This Row],[launched_at]]/60)/60/24)+DATE(1970,1,1)</f>
        <v>42793.700821759259</v>
      </c>
      <c r="M2171">
        <f>MONTH(Table1[[#This Row],[Date Created Conversion]])</f>
        <v>2</v>
      </c>
      <c r="N2171">
        <f>YEAR(Table1[[#This Row],[Date Created Conversion]])</f>
        <v>2017</v>
      </c>
      <c r="O2171" t="b">
        <v>0</v>
      </c>
      <c r="P2171">
        <v>7</v>
      </c>
      <c r="Q2171" t="b">
        <v>1</v>
      </c>
      <c r="R2171" t="s">
        <v>8276</v>
      </c>
      <c r="S2171" s="6">
        <f>Table1[[#This Row],[pledged]]/Table1[[#This Row],[goal]]</f>
        <v>1</v>
      </c>
      <c r="T2171" s="8">
        <f>IF(Table1[[#This Row],[pledged]]=0,"no backers",Table1[[#This Row],[pledged]]/Table1[[#This Row],[backers_count]])</f>
        <v>21.857142857142858</v>
      </c>
      <c r="U2171" t="str">
        <f>LEFT(Table1[[#This Row],[Category and Sub-Category]],FIND("/",Table1[[#This Row],[Category and Sub-Category]])-1)</f>
        <v>music</v>
      </c>
      <c r="V2171" t="str">
        <f>RIGHT(Table1[[#This Row],[Category and Sub-Category]],LEN(Table1[[#This Row],[Category and Sub-Category]])-FIND("/",Table1[[#This Row],[Category and Sub-Category]]))</f>
        <v>rock</v>
      </c>
    </row>
    <row r="2172" spans="1:22" ht="43.2" x14ac:dyDescent="0.3">
      <c r="A2172">
        <v>2170</v>
      </c>
      <c r="B2172" s="3" t="s">
        <v>2171</v>
      </c>
      <c r="C2172" s="3" t="s">
        <v>6280</v>
      </c>
      <c r="D2172" s="1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>((Table1[[#This Row],[deadline]]/60)/60/24)+DATE(1970,1,1)</f>
        <v>42238.750254629631</v>
      </c>
      <c r="K2172">
        <v>1436810422</v>
      </c>
      <c r="L2172" s="11">
        <f>((Table1[[#This Row],[launched_at]]/60)/60/24)+DATE(1970,1,1)</f>
        <v>42198.750254629631</v>
      </c>
      <c r="M2172">
        <f>MONTH(Table1[[#This Row],[Date Created Conversion]])</f>
        <v>7</v>
      </c>
      <c r="N2172">
        <f>YEAR(Table1[[#This Row],[Date Created Conversion]])</f>
        <v>2015</v>
      </c>
      <c r="O2172" t="b">
        <v>0</v>
      </c>
      <c r="P2172">
        <v>19</v>
      </c>
      <c r="Q2172" t="b">
        <v>1</v>
      </c>
      <c r="R2172" t="s">
        <v>8276</v>
      </c>
      <c r="S2172" s="6">
        <f>Table1[[#This Row],[pledged]]/Table1[[#This Row],[goal]]</f>
        <v>1.8085714285714285</v>
      </c>
      <c r="T2172" s="8">
        <f>IF(Table1[[#This Row],[pledged]]=0,"no backers",Table1[[#This Row],[pledged]]/Table1[[#This Row],[backers_count]])</f>
        <v>33.315789473684212</v>
      </c>
      <c r="U2172" t="str">
        <f>LEFT(Table1[[#This Row],[Category and Sub-Category]],FIND("/",Table1[[#This Row],[Category and Sub-Category]])-1)</f>
        <v>music</v>
      </c>
      <c r="V2172" t="str">
        <f>RIGHT(Table1[[#This Row],[Category and Sub-Category]],LEN(Table1[[#This Row],[Category and Sub-Category]])-FIND("/",Table1[[#This Row],[Category and Sub-Category]]))</f>
        <v>rock</v>
      </c>
    </row>
    <row r="2173" spans="1:22" ht="43.2" x14ac:dyDescent="0.3">
      <c r="A2173">
        <v>2171</v>
      </c>
      <c r="B2173" s="3" t="s">
        <v>2172</v>
      </c>
      <c r="C2173" s="3" t="s">
        <v>6281</v>
      </c>
      <c r="D2173" s="12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>((Table1[[#This Row],[deadline]]/60)/60/24)+DATE(1970,1,1)</f>
        <v>42177.208333333328</v>
      </c>
      <c r="K2173">
        <v>1431903495</v>
      </c>
      <c r="L2173" s="11">
        <f>((Table1[[#This Row],[launched_at]]/60)/60/24)+DATE(1970,1,1)</f>
        <v>42141.95711805555</v>
      </c>
      <c r="M2173">
        <f>MONTH(Table1[[#This Row],[Date Created Conversion]])</f>
        <v>5</v>
      </c>
      <c r="N2173">
        <f>YEAR(Table1[[#This Row],[Date Created Conversion]])</f>
        <v>2015</v>
      </c>
      <c r="O2173" t="b">
        <v>0</v>
      </c>
      <c r="P2173">
        <v>47</v>
      </c>
      <c r="Q2173" t="b">
        <v>1</v>
      </c>
      <c r="R2173" t="s">
        <v>8276</v>
      </c>
      <c r="S2173" s="6">
        <f>Table1[[#This Row],[pledged]]/Table1[[#This Row],[goal]]</f>
        <v>1.0607500000000001</v>
      </c>
      <c r="T2173" s="8">
        <f>IF(Table1[[#This Row],[pledged]]=0,"no backers",Table1[[#This Row],[pledged]]/Table1[[#This Row],[backers_count]])</f>
        <v>90.276595744680847</v>
      </c>
      <c r="U2173" t="str">
        <f>LEFT(Table1[[#This Row],[Category and Sub-Category]],FIND("/",Table1[[#This Row],[Category and Sub-Category]])-1)</f>
        <v>music</v>
      </c>
      <c r="V2173" t="str">
        <f>RIGHT(Table1[[#This Row],[Category and Sub-Category]],LEN(Table1[[#This Row],[Category and Sub-Category]])-FIND("/",Table1[[#This Row],[Category and Sub-Category]]))</f>
        <v>rock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 s="12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>((Table1[[#This Row],[deadline]]/60)/60/24)+DATE(1970,1,1)</f>
        <v>42112.580092592587</v>
      </c>
      <c r="K2174">
        <v>1426773320</v>
      </c>
      <c r="L2174" s="11">
        <f>((Table1[[#This Row],[launched_at]]/60)/60/24)+DATE(1970,1,1)</f>
        <v>42082.580092592587</v>
      </c>
      <c r="M2174">
        <f>MONTH(Table1[[#This Row],[Date Created Conversion]])</f>
        <v>3</v>
      </c>
      <c r="N2174">
        <f>YEAR(Table1[[#This Row],[Date Created Conversion]])</f>
        <v>2015</v>
      </c>
      <c r="O2174" t="b">
        <v>0</v>
      </c>
      <c r="P2174">
        <v>13</v>
      </c>
      <c r="Q2174" t="b">
        <v>1</v>
      </c>
      <c r="R2174" t="s">
        <v>8276</v>
      </c>
      <c r="S2174" s="6">
        <f>Table1[[#This Row],[pledged]]/Table1[[#This Row],[goal]]</f>
        <v>1</v>
      </c>
      <c r="T2174" s="8">
        <f>IF(Table1[[#This Row],[pledged]]=0,"no backers",Table1[[#This Row],[pledged]]/Table1[[#This Row],[backers_count]])</f>
        <v>76.92307692307692</v>
      </c>
      <c r="U2174" t="str">
        <f>LEFT(Table1[[#This Row],[Category and Sub-Category]],FIND("/",Table1[[#This Row],[Category and Sub-Category]])-1)</f>
        <v>music</v>
      </c>
      <c r="V2174" t="str">
        <f>RIGHT(Table1[[#This Row],[Category and Sub-Category]],LEN(Table1[[#This Row],[Category and Sub-Category]])-FIND("/",Table1[[#This Row],[Category and Sub-Category]]))</f>
        <v>rock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 s="12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>((Table1[[#This Row],[deadline]]/60)/60/24)+DATE(1970,1,1)</f>
        <v>41527.165972222225</v>
      </c>
      <c r="K2175">
        <v>1376066243</v>
      </c>
      <c r="L2175" s="11">
        <f>((Table1[[#This Row],[launched_at]]/60)/60/24)+DATE(1970,1,1)</f>
        <v>41495.692627314813</v>
      </c>
      <c r="M2175">
        <f>MONTH(Table1[[#This Row],[Date Created Conversion]])</f>
        <v>8</v>
      </c>
      <c r="N2175">
        <f>YEAR(Table1[[#This Row],[Date Created Conversion]])</f>
        <v>2013</v>
      </c>
      <c r="O2175" t="b">
        <v>0</v>
      </c>
      <c r="P2175">
        <v>90</v>
      </c>
      <c r="Q2175" t="b">
        <v>1</v>
      </c>
      <c r="R2175" t="s">
        <v>8276</v>
      </c>
      <c r="S2175" s="6">
        <f>Table1[[#This Row],[pledged]]/Table1[[#This Row],[goal]]</f>
        <v>1.2692857142857144</v>
      </c>
      <c r="T2175" s="8">
        <f>IF(Table1[[#This Row],[pledged]]=0,"no backers",Table1[[#This Row],[pledged]]/Table1[[#This Row],[backers_count]])</f>
        <v>59.233333333333334</v>
      </c>
      <c r="U2175" t="str">
        <f>LEFT(Table1[[#This Row],[Category and Sub-Category]],FIND("/",Table1[[#This Row],[Category and Sub-Category]])-1)</f>
        <v>music</v>
      </c>
      <c r="V2175" t="str">
        <f>RIGHT(Table1[[#This Row],[Category and Sub-Category]],LEN(Table1[[#This Row],[Category and Sub-Category]])-FIND("/",Table1[[#This Row],[Category and Sub-Category]]))</f>
        <v>rock</v>
      </c>
    </row>
    <row r="2176" spans="1:22" ht="57.6" x14ac:dyDescent="0.3">
      <c r="A2176">
        <v>2174</v>
      </c>
      <c r="B2176" s="3" t="s">
        <v>2175</v>
      </c>
      <c r="C2176" s="3" t="s">
        <v>6284</v>
      </c>
      <c r="D2176" s="12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>((Table1[[#This Row],[deadline]]/60)/60/24)+DATE(1970,1,1)</f>
        <v>42495.542905092589</v>
      </c>
      <c r="K2176">
        <v>1459861307</v>
      </c>
      <c r="L2176" s="11">
        <f>((Table1[[#This Row],[launched_at]]/60)/60/24)+DATE(1970,1,1)</f>
        <v>42465.542905092589</v>
      </c>
      <c r="M2176">
        <f>MONTH(Table1[[#This Row],[Date Created Conversion]])</f>
        <v>4</v>
      </c>
      <c r="N2176">
        <f>YEAR(Table1[[#This Row],[Date Created Conversion]])</f>
        <v>2016</v>
      </c>
      <c r="O2176" t="b">
        <v>0</v>
      </c>
      <c r="P2176">
        <v>63</v>
      </c>
      <c r="Q2176" t="b">
        <v>1</v>
      </c>
      <c r="R2176" t="s">
        <v>8276</v>
      </c>
      <c r="S2176" s="6">
        <f>Table1[[#This Row],[pledged]]/Table1[[#This Row],[goal]]</f>
        <v>1.0297499999999999</v>
      </c>
      <c r="T2176" s="8">
        <f>IF(Table1[[#This Row],[pledged]]=0,"no backers",Table1[[#This Row],[pledged]]/Table1[[#This Row],[backers_count]])</f>
        <v>65.38095238095238</v>
      </c>
      <c r="U2176" t="str">
        <f>LEFT(Table1[[#This Row],[Category and Sub-Category]],FIND("/",Table1[[#This Row],[Category and Sub-Category]])-1)</f>
        <v>music</v>
      </c>
      <c r="V2176" t="str">
        <f>RIGHT(Table1[[#This Row],[Category and Sub-Category]],LEN(Table1[[#This Row],[Category and Sub-Category]])-FIND("/",Table1[[#This Row],[Category and Sub-Category]]))</f>
        <v>rock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 s="12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>((Table1[[#This Row],[deadline]]/60)/60/24)+DATE(1970,1,1)</f>
        <v>42572.009097222224</v>
      </c>
      <c r="K2177">
        <v>1468455186</v>
      </c>
      <c r="L2177" s="11">
        <f>((Table1[[#This Row],[launched_at]]/60)/60/24)+DATE(1970,1,1)</f>
        <v>42565.009097222224</v>
      </c>
      <c r="M2177">
        <f>MONTH(Table1[[#This Row],[Date Created Conversion]])</f>
        <v>7</v>
      </c>
      <c r="N2177">
        <f>YEAR(Table1[[#This Row],[Date Created Conversion]])</f>
        <v>2016</v>
      </c>
      <c r="O2177" t="b">
        <v>0</v>
      </c>
      <c r="P2177">
        <v>26</v>
      </c>
      <c r="Q2177" t="b">
        <v>1</v>
      </c>
      <c r="R2177" t="s">
        <v>8276</v>
      </c>
      <c r="S2177" s="6">
        <f>Table1[[#This Row],[pledged]]/Table1[[#This Row],[goal]]</f>
        <v>2.5</v>
      </c>
      <c r="T2177" s="8">
        <f>IF(Table1[[#This Row],[pledged]]=0,"no backers",Table1[[#This Row],[pledged]]/Table1[[#This Row],[backers_count]])</f>
        <v>67.307692307692307</v>
      </c>
      <c r="U2177" t="str">
        <f>LEFT(Table1[[#This Row],[Category and Sub-Category]],FIND("/",Table1[[#This Row],[Category and Sub-Category]])-1)</f>
        <v>music</v>
      </c>
      <c r="V2177" t="str">
        <f>RIGHT(Table1[[#This Row],[Category and Sub-Category]],LEN(Table1[[#This Row],[Category and Sub-Category]])-FIND("/",Table1[[#This Row],[Category and Sub-Category]]))</f>
        <v>rock</v>
      </c>
    </row>
    <row r="2178" spans="1:22" ht="43.2" x14ac:dyDescent="0.3">
      <c r="A2178">
        <v>2176</v>
      </c>
      <c r="B2178" s="3" t="s">
        <v>2177</v>
      </c>
      <c r="C2178" s="3" t="s">
        <v>6286</v>
      </c>
      <c r="D2178" s="12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>((Table1[[#This Row],[deadline]]/60)/60/24)+DATE(1970,1,1)</f>
        <v>42126.633206018523</v>
      </c>
      <c r="K2178">
        <v>1427987509</v>
      </c>
      <c r="L2178" s="11">
        <f>((Table1[[#This Row],[launched_at]]/60)/60/24)+DATE(1970,1,1)</f>
        <v>42096.633206018523</v>
      </c>
      <c r="M2178">
        <f>MONTH(Table1[[#This Row],[Date Created Conversion]])</f>
        <v>4</v>
      </c>
      <c r="N2178">
        <f>YEAR(Table1[[#This Row],[Date Created Conversion]])</f>
        <v>2015</v>
      </c>
      <c r="O2178" t="b">
        <v>0</v>
      </c>
      <c r="P2178">
        <v>71</v>
      </c>
      <c r="Q2178" t="b">
        <v>1</v>
      </c>
      <c r="R2178" t="s">
        <v>8276</v>
      </c>
      <c r="S2178" s="6">
        <f>Table1[[#This Row],[pledged]]/Table1[[#This Row],[goal]]</f>
        <v>1.2602</v>
      </c>
      <c r="T2178" s="8">
        <f>IF(Table1[[#This Row],[pledged]]=0,"no backers",Table1[[#This Row],[pledged]]/Table1[[#This Row],[backers_count]])</f>
        <v>88.74647887323944</v>
      </c>
      <c r="U2178" t="str">
        <f>LEFT(Table1[[#This Row],[Category and Sub-Category]],FIND("/",Table1[[#This Row],[Category and Sub-Category]])-1)</f>
        <v>music</v>
      </c>
      <c r="V2178" t="str">
        <f>RIGHT(Table1[[#This Row],[Category and Sub-Category]],LEN(Table1[[#This Row],[Category and Sub-Category]])-FIND("/",Table1[[#This Row],[Category and Sub-Category]]))</f>
        <v>rock</v>
      </c>
    </row>
    <row r="2179" spans="1:22" ht="72" x14ac:dyDescent="0.3">
      <c r="A2179">
        <v>2177</v>
      </c>
      <c r="B2179" s="3" t="s">
        <v>2178</v>
      </c>
      <c r="C2179" s="3" t="s">
        <v>6287</v>
      </c>
      <c r="D2179" s="12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>((Table1[[#This Row],[deadline]]/60)/60/24)+DATE(1970,1,1)</f>
        <v>42527.250775462962</v>
      </c>
      <c r="K2179">
        <v>1463032867</v>
      </c>
      <c r="L2179" s="11">
        <f>((Table1[[#This Row],[launched_at]]/60)/60/24)+DATE(1970,1,1)</f>
        <v>42502.250775462962</v>
      </c>
      <c r="M2179">
        <f>MONTH(Table1[[#This Row],[Date Created Conversion]])</f>
        <v>5</v>
      </c>
      <c r="N2179">
        <f>YEAR(Table1[[#This Row],[Date Created Conversion]])</f>
        <v>2016</v>
      </c>
      <c r="O2179" t="b">
        <v>0</v>
      </c>
      <c r="P2179">
        <v>38</v>
      </c>
      <c r="Q2179" t="b">
        <v>1</v>
      </c>
      <c r="R2179" t="s">
        <v>8276</v>
      </c>
      <c r="S2179" s="6">
        <f>Table1[[#This Row],[pledged]]/Table1[[#This Row],[goal]]</f>
        <v>1.0012000000000001</v>
      </c>
      <c r="T2179" s="8">
        <f>IF(Table1[[#This Row],[pledged]]=0,"no backers",Table1[[#This Row],[pledged]]/Table1[[#This Row],[backers_count]])</f>
        <v>65.868421052631575</v>
      </c>
      <c r="U2179" t="str">
        <f>LEFT(Table1[[#This Row],[Category and Sub-Category]],FIND("/",Table1[[#This Row],[Category and Sub-Category]])-1)</f>
        <v>music</v>
      </c>
      <c r="V2179" t="str">
        <f>RIGHT(Table1[[#This Row],[Category and Sub-Category]],LEN(Table1[[#This Row],[Category and Sub-Category]])-FIND("/",Table1[[#This Row],[Category and Sub-Category]]))</f>
        <v>rock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 s="12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>((Table1[[#This Row],[deadline]]/60)/60/24)+DATE(1970,1,1)</f>
        <v>42753.63653935185</v>
      </c>
      <c r="K2180">
        <v>1482160597</v>
      </c>
      <c r="L2180" s="11">
        <f>((Table1[[#This Row],[launched_at]]/60)/60/24)+DATE(1970,1,1)</f>
        <v>42723.63653935185</v>
      </c>
      <c r="M2180">
        <f>MONTH(Table1[[#This Row],[Date Created Conversion]])</f>
        <v>12</v>
      </c>
      <c r="N2180">
        <f>YEAR(Table1[[#This Row],[Date Created Conversion]])</f>
        <v>2016</v>
      </c>
      <c r="O2180" t="b">
        <v>0</v>
      </c>
      <c r="P2180">
        <v>859</v>
      </c>
      <c r="Q2180" t="b">
        <v>1</v>
      </c>
      <c r="R2180" t="s">
        <v>8276</v>
      </c>
      <c r="S2180" s="6">
        <f>Table1[[#This Row],[pledged]]/Table1[[#This Row],[goal]]</f>
        <v>1.3864000000000001</v>
      </c>
      <c r="T2180" s="8">
        <f>IF(Table1[[#This Row],[pledged]]=0,"no backers",Table1[[#This Row],[pledged]]/Table1[[#This Row],[backers_count]])</f>
        <v>40.349243306169967</v>
      </c>
      <c r="U2180" t="str">
        <f>LEFT(Table1[[#This Row],[Category and Sub-Category]],FIND("/",Table1[[#This Row],[Category and Sub-Category]])-1)</f>
        <v>music</v>
      </c>
      <c r="V2180" t="str">
        <f>RIGHT(Table1[[#This Row],[Category and Sub-Category]],LEN(Table1[[#This Row],[Category and Sub-Category]])-FIND("/",Table1[[#This Row],[Category and Sub-Category]]))</f>
        <v>rock</v>
      </c>
    </row>
    <row r="2181" spans="1:22" ht="43.2" x14ac:dyDescent="0.3">
      <c r="A2181">
        <v>2179</v>
      </c>
      <c r="B2181" s="3" t="s">
        <v>2180</v>
      </c>
      <c r="C2181" s="3" t="s">
        <v>6289</v>
      </c>
      <c r="D2181" s="12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>((Table1[[#This Row],[deadline]]/60)/60/24)+DATE(1970,1,1)</f>
        <v>42105.171203703707</v>
      </c>
      <c r="K2181">
        <v>1426133192</v>
      </c>
      <c r="L2181" s="11">
        <f>((Table1[[#This Row],[launched_at]]/60)/60/24)+DATE(1970,1,1)</f>
        <v>42075.171203703707</v>
      </c>
      <c r="M2181">
        <f>MONTH(Table1[[#This Row],[Date Created Conversion]])</f>
        <v>3</v>
      </c>
      <c r="N2181">
        <f>YEAR(Table1[[#This Row],[Date Created Conversion]])</f>
        <v>2015</v>
      </c>
      <c r="O2181" t="b">
        <v>0</v>
      </c>
      <c r="P2181">
        <v>21</v>
      </c>
      <c r="Q2181" t="b">
        <v>1</v>
      </c>
      <c r="R2181" t="s">
        <v>8276</v>
      </c>
      <c r="S2181" s="6">
        <f>Table1[[#This Row],[pledged]]/Table1[[#This Row],[goal]]</f>
        <v>1.6140000000000001</v>
      </c>
      <c r="T2181" s="8">
        <f>IF(Table1[[#This Row],[pledged]]=0,"no backers",Table1[[#This Row],[pledged]]/Table1[[#This Row],[backers_count]])</f>
        <v>76.857142857142861</v>
      </c>
      <c r="U2181" t="str">
        <f>LEFT(Table1[[#This Row],[Category and Sub-Category]],FIND("/",Table1[[#This Row],[Category and Sub-Category]])-1)</f>
        <v>music</v>
      </c>
      <c r="V2181" t="str">
        <f>RIGHT(Table1[[#This Row],[Category and Sub-Category]],LEN(Table1[[#This Row],[Category and Sub-Category]])-FIND("/",Table1[[#This Row],[Category and Sub-Category]]))</f>
        <v>rock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 s="1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>((Table1[[#This Row],[deadline]]/60)/60/24)+DATE(1970,1,1)</f>
        <v>42321.711435185185</v>
      </c>
      <c r="K2182">
        <v>1443801868</v>
      </c>
      <c r="L2182" s="11">
        <f>((Table1[[#This Row],[launched_at]]/60)/60/24)+DATE(1970,1,1)</f>
        <v>42279.669768518521</v>
      </c>
      <c r="M2182">
        <f>MONTH(Table1[[#This Row],[Date Created Conversion]])</f>
        <v>10</v>
      </c>
      <c r="N2182">
        <f>YEAR(Table1[[#This Row],[Date Created Conversion]])</f>
        <v>2015</v>
      </c>
      <c r="O2182" t="b">
        <v>0</v>
      </c>
      <c r="P2182">
        <v>78</v>
      </c>
      <c r="Q2182" t="b">
        <v>1</v>
      </c>
      <c r="R2182" t="s">
        <v>8276</v>
      </c>
      <c r="S2182" s="6">
        <f>Table1[[#This Row],[pledged]]/Table1[[#This Row],[goal]]</f>
        <v>1.071842</v>
      </c>
      <c r="T2182" s="8">
        <f>IF(Table1[[#This Row],[pledged]]=0,"no backers",Table1[[#This Row],[pledged]]/Table1[[#This Row],[backers_count]])</f>
        <v>68.707820512820518</v>
      </c>
      <c r="U2182" t="str">
        <f>LEFT(Table1[[#This Row],[Category and Sub-Category]],FIND("/",Table1[[#This Row],[Category and Sub-Category]])-1)</f>
        <v>music</v>
      </c>
      <c r="V2182" t="str">
        <f>RIGHT(Table1[[#This Row],[Category and Sub-Category]],LEN(Table1[[#This Row],[Category and Sub-Category]])-FIND("/",Table1[[#This Row],[Category and Sub-Category]]))</f>
        <v>rock</v>
      </c>
    </row>
    <row r="2183" spans="1:22" ht="57.6" x14ac:dyDescent="0.3">
      <c r="A2183">
        <v>2181</v>
      </c>
      <c r="B2183" s="3" t="s">
        <v>2182</v>
      </c>
      <c r="C2183" s="3" t="s">
        <v>6291</v>
      </c>
      <c r="D2183" s="12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>((Table1[[#This Row],[deadline]]/60)/60/24)+DATE(1970,1,1)</f>
        <v>42787.005243055552</v>
      </c>
      <c r="K2183">
        <v>1486426053</v>
      </c>
      <c r="L2183" s="11">
        <f>((Table1[[#This Row],[launched_at]]/60)/60/24)+DATE(1970,1,1)</f>
        <v>42773.005243055552</v>
      </c>
      <c r="M2183">
        <f>MONTH(Table1[[#This Row],[Date Created Conversion]])</f>
        <v>2</v>
      </c>
      <c r="N2183">
        <f>YEAR(Table1[[#This Row],[Date Created Conversion]])</f>
        <v>2017</v>
      </c>
      <c r="O2183" t="b">
        <v>0</v>
      </c>
      <c r="P2183">
        <v>53</v>
      </c>
      <c r="Q2183" t="b">
        <v>1</v>
      </c>
      <c r="R2183" t="s">
        <v>8297</v>
      </c>
      <c r="S2183" s="6">
        <f>Table1[[#This Row],[pledged]]/Table1[[#This Row],[goal]]</f>
        <v>1.5309999999999999</v>
      </c>
      <c r="T2183" s="8">
        <f>IF(Table1[[#This Row],[pledged]]=0,"no backers",Table1[[#This Row],[pledged]]/Table1[[#This Row],[backers_count]])</f>
        <v>57.773584905660378</v>
      </c>
      <c r="U2183" t="str">
        <f>LEFT(Table1[[#This Row],[Category and Sub-Category]],FIND("/",Table1[[#This Row],[Category and Sub-Category]])-1)</f>
        <v>games</v>
      </c>
      <c r="V2183" t="str">
        <f>RIGHT(Table1[[#This Row],[Category and Sub-Category]],LEN(Table1[[#This Row],[Category and Sub-Category]])-FIND("/",Table1[[#This Row],[Category and Sub-Category]]))</f>
        <v>tabletop games</v>
      </c>
    </row>
    <row r="2184" spans="1:22" ht="43.2" x14ac:dyDescent="0.3">
      <c r="A2184">
        <v>2182</v>
      </c>
      <c r="B2184" s="3" t="s">
        <v>2183</v>
      </c>
      <c r="C2184" s="3" t="s">
        <v>6292</v>
      </c>
      <c r="D2184" s="12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>((Table1[[#This Row],[deadline]]/60)/60/24)+DATE(1970,1,1)</f>
        <v>41914.900752314818</v>
      </c>
      <c r="K2184">
        <v>1409261825</v>
      </c>
      <c r="L2184" s="11">
        <f>((Table1[[#This Row],[launched_at]]/60)/60/24)+DATE(1970,1,1)</f>
        <v>41879.900752314818</v>
      </c>
      <c r="M2184">
        <f>MONTH(Table1[[#This Row],[Date Created Conversion]])</f>
        <v>8</v>
      </c>
      <c r="N2184">
        <f>YEAR(Table1[[#This Row],[Date Created Conversion]])</f>
        <v>2014</v>
      </c>
      <c r="O2184" t="b">
        <v>0</v>
      </c>
      <c r="P2184">
        <v>356</v>
      </c>
      <c r="Q2184" t="b">
        <v>1</v>
      </c>
      <c r="R2184" t="s">
        <v>8297</v>
      </c>
      <c r="S2184" s="6">
        <f>Table1[[#This Row],[pledged]]/Table1[[#This Row],[goal]]</f>
        <v>5.2416666666666663</v>
      </c>
      <c r="T2184" s="8">
        <f>IF(Table1[[#This Row],[pledged]]=0,"no backers",Table1[[#This Row],[pledged]]/Table1[[#This Row],[backers_count]])</f>
        <v>44.171348314606739</v>
      </c>
      <c r="U2184" t="str">
        <f>LEFT(Table1[[#This Row],[Category and Sub-Category]],FIND("/",Table1[[#This Row],[Category and Sub-Category]])-1)</f>
        <v>games</v>
      </c>
      <c r="V2184" t="str">
        <f>RIGHT(Table1[[#This Row],[Category and Sub-Category]],LEN(Table1[[#This Row],[Category and Sub-Category]])-FIND("/",Table1[[#This Row],[Category and Sub-Category]]))</f>
        <v>tabletop games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 s="12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>((Table1[[#This Row],[deadline]]/60)/60/24)+DATE(1970,1,1)</f>
        <v>42775.208333333328</v>
      </c>
      <c r="K2185">
        <v>1484037977</v>
      </c>
      <c r="L2185" s="11">
        <f>((Table1[[#This Row],[launched_at]]/60)/60/24)+DATE(1970,1,1)</f>
        <v>42745.365474537044</v>
      </c>
      <c r="M2185">
        <f>MONTH(Table1[[#This Row],[Date Created Conversion]])</f>
        <v>1</v>
      </c>
      <c r="N2185">
        <f>YEAR(Table1[[#This Row],[Date Created Conversion]])</f>
        <v>2017</v>
      </c>
      <c r="O2185" t="b">
        <v>0</v>
      </c>
      <c r="P2185">
        <v>279</v>
      </c>
      <c r="Q2185" t="b">
        <v>1</v>
      </c>
      <c r="R2185" t="s">
        <v>8297</v>
      </c>
      <c r="S2185" s="6">
        <f>Table1[[#This Row],[pledged]]/Table1[[#This Row],[goal]]</f>
        <v>4.8927777777777779</v>
      </c>
      <c r="T2185" s="8">
        <f>IF(Table1[[#This Row],[pledged]]=0,"no backers",Table1[[#This Row],[pledged]]/Table1[[#This Row],[backers_count]])</f>
        <v>31.566308243727597</v>
      </c>
      <c r="U2185" t="str">
        <f>LEFT(Table1[[#This Row],[Category and Sub-Category]],FIND("/",Table1[[#This Row],[Category and Sub-Category]])-1)</f>
        <v>games</v>
      </c>
      <c r="V2185" t="str">
        <f>RIGHT(Table1[[#This Row],[Category and Sub-Category]],LEN(Table1[[#This Row],[Category and Sub-Category]])-FIND("/",Table1[[#This Row],[Category and Sub-Category]]))</f>
        <v>tabletop games</v>
      </c>
    </row>
    <row r="2186" spans="1:22" ht="57.6" x14ac:dyDescent="0.3">
      <c r="A2186">
        <v>2184</v>
      </c>
      <c r="B2186" s="3" t="s">
        <v>2185</v>
      </c>
      <c r="C2186" s="3" t="s">
        <v>6294</v>
      </c>
      <c r="D2186" s="12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>((Table1[[#This Row],[deadline]]/60)/60/24)+DATE(1970,1,1)</f>
        <v>42394.666666666672</v>
      </c>
      <c r="K2186">
        <v>1452530041</v>
      </c>
      <c r="L2186" s="11">
        <f>((Table1[[#This Row],[launched_at]]/60)/60/24)+DATE(1970,1,1)</f>
        <v>42380.690289351856</v>
      </c>
      <c r="M2186">
        <f>MONTH(Table1[[#This Row],[Date Created Conversion]])</f>
        <v>1</v>
      </c>
      <c r="N2186">
        <f>YEAR(Table1[[#This Row],[Date Created Conversion]])</f>
        <v>2016</v>
      </c>
      <c r="O2186" t="b">
        <v>1</v>
      </c>
      <c r="P2186">
        <v>266</v>
      </c>
      <c r="Q2186" t="b">
        <v>1</v>
      </c>
      <c r="R2186" t="s">
        <v>8297</v>
      </c>
      <c r="S2186" s="6">
        <f>Table1[[#This Row],[pledged]]/Table1[[#This Row],[goal]]</f>
        <v>2.8473999999999999</v>
      </c>
      <c r="T2186" s="8">
        <f>IF(Table1[[#This Row],[pledged]]=0,"no backers",Table1[[#This Row],[pledged]]/Table1[[#This Row],[backers_count]])</f>
        <v>107.04511278195488</v>
      </c>
      <c r="U2186" t="str">
        <f>LEFT(Table1[[#This Row],[Category and Sub-Category]],FIND("/",Table1[[#This Row],[Category and Sub-Category]])-1)</f>
        <v>games</v>
      </c>
      <c r="V2186" t="str">
        <f>RIGHT(Table1[[#This Row],[Category and Sub-Category]],LEN(Table1[[#This Row],[Category and Sub-Category]])-FIND("/",Table1[[#This Row],[Category and Sub-Category]]))</f>
        <v>tabletop games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 s="12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>((Table1[[#This Row],[deadline]]/60)/60/24)+DATE(1970,1,1)</f>
        <v>41359.349988425929</v>
      </c>
      <c r="K2187">
        <v>1360830239</v>
      </c>
      <c r="L2187" s="11">
        <f>((Table1[[#This Row],[launched_at]]/60)/60/24)+DATE(1970,1,1)</f>
        <v>41319.349988425929</v>
      </c>
      <c r="M2187">
        <f>MONTH(Table1[[#This Row],[Date Created Conversion]])</f>
        <v>2</v>
      </c>
      <c r="N2187">
        <f>YEAR(Table1[[#This Row],[Date Created Conversion]])</f>
        <v>2013</v>
      </c>
      <c r="O2187" t="b">
        <v>0</v>
      </c>
      <c r="P2187">
        <v>623</v>
      </c>
      <c r="Q2187" t="b">
        <v>1</v>
      </c>
      <c r="R2187" t="s">
        <v>8297</v>
      </c>
      <c r="S2187" s="6">
        <f>Table1[[#This Row],[pledged]]/Table1[[#This Row],[goal]]</f>
        <v>18.569700000000001</v>
      </c>
      <c r="T2187" s="8">
        <f>IF(Table1[[#This Row],[pledged]]=0,"no backers",Table1[[#This Row],[pledged]]/Table1[[#This Row],[backers_count]])</f>
        <v>149.03451043338683</v>
      </c>
      <c r="U2187" t="str">
        <f>LEFT(Table1[[#This Row],[Category and Sub-Category]],FIND("/",Table1[[#This Row],[Category and Sub-Category]])-1)</f>
        <v>games</v>
      </c>
      <c r="V2187" t="str">
        <f>RIGHT(Table1[[#This Row],[Category and Sub-Category]],LEN(Table1[[#This Row],[Category and Sub-Category]])-FIND("/",Table1[[#This Row],[Category and Sub-Category]]))</f>
        <v>tabletop games</v>
      </c>
    </row>
    <row r="2188" spans="1:22" ht="43.2" x14ac:dyDescent="0.3">
      <c r="A2188">
        <v>2186</v>
      </c>
      <c r="B2188" s="3" t="s">
        <v>2187</v>
      </c>
      <c r="C2188" s="3" t="s">
        <v>6296</v>
      </c>
      <c r="D2188" s="12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>((Table1[[#This Row],[deadline]]/60)/60/24)+DATE(1970,1,1)</f>
        <v>42620.083333333328</v>
      </c>
      <c r="K2188">
        <v>1470062743</v>
      </c>
      <c r="L2188" s="11">
        <f>((Table1[[#This Row],[launched_at]]/60)/60/24)+DATE(1970,1,1)</f>
        <v>42583.615081018521</v>
      </c>
      <c r="M2188">
        <f>MONTH(Table1[[#This Row],[Date Created Conversion]])</f>
        <v>8</v>
      </c>
      <c r="N2188">
        <f>YEAR(Table1[[#This Row],[Date Created Conversion]])</f>
        <v>2016</v>
      </c>
      <c r="O2188" t="b">
        <v>0</v>
      </c>
      <c r="P2188">
        <v>392</v>
      </c>
      <c r="Q2188" t="b">
        <v>1</v>
      </c>
      <c r="R2188" t="s">
        <v>8297</v>
      </c>
      <c r="S2188" s="6">
        <f>Table1[[#This Row],[pledged]]/Table1[[#This Row],[goal]]</f>
        <v>1.0967499999999999</v>
      </c>
      <c r="T2188" s="8">
        <f>IF(Table1[[#This Row],[pledged]]=0,"no backers",Table1[[#This Row],[pledged]]/Table1[[#This Row],[backers_count]])</f>
        <v>55.956632653061227</v>
      </c>
      <c r="U2188" t="str">
        <f>LEFT(Table1[[#This Row],[Category and Sub-Category]],FIND("/",Table1[[#This Row],[Category and Sub-Category]])-1)</f>
        <v>games</v>
      </c>
      <c r="V2188" t="str">
        <f>RIGHT(Table1[[#This Row],[Category and Sub-Category]],LEN(Table1[[#This Row],[Category and Sub-Category]])-FIND("/",Table1[[#This Row],[Category and Sub-Category]]))</f>
        <v>tabletop games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 s="12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>((Table1[[#This Row],[deadline]]/60)/60/24)+DATE(1970,1,1)</f>
        <v>42097.165972222225</v>
      </c>
      <c r="K2189">
        <v>1425531666</v>
      </c>
      <c r="L2189" s="11">
        <f>((Table1[[#This Row],[launched_at]]/60)/60/24)+DATE(1970,1,1)</f>
        <v>42068.209097222221</v>
      </c>
      <c r="M2189">
        <f>MONTH(Table1[[#This Row],[Date Created Conversion]])</f>
        <v>3</v>
      </c>
      <c r="N2189">
        <f>YEAR(Table1[[#This Row],[Date Created Conversion]])</f>
        <v>2015</v>
      </c>
      <c r="O2189" t="b">
        <v>1</v>
      </c>
      <c r="P2189">
        <v>3562</v>
      </c>
      <c r="Q2189" t="b">
        <v>1</v>
      </c>
      <c r="R2189" t="s">
        <v>8297</v>
      </c>
      <c r="S2189" s="6">
        <f>Table1[[#This Row],[pledged]]/Table1[[#This Row],[goal]]</f>
        <v>10.146425000000001</v>
      </c>
      <c r="T2189" s="8">
        <f>IF(Table1[[#This Row],[pledged]]=0,"no backers",Table1[[#This Row],[pledged]]/Table1[[#This Row],[backers_count]])</f>
        <v>56.970381807973048</v>
      </c>
      <c r="U2189" t="str">
        <f>LEFT(Table1[[#This Row],[Category and Sub-Category]],FIND("/",Table1[[#This Row],[Category and Sub-Category]])-1)</f>
        <v>games</v>
      </c>
      <c r="V2189" t="str">
        <f>RIGHT(Table1[[#This Row],[Category and Sub-Category]],LEN(Table1[[#This Row],[Category and Sub-Category]])-FIND("/",Table1[[#This Row],[Category and Sub-Category]]))</f>
        <v>tabletop games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 s="12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>((Table1[[#This Row],[deadline]]/60)/60/24)+DATE(1970,1,1)</f>
        <v>42668.708333333328</v>
      </c>
      <c r="K2190">
        <v>1474380241</v>
      </c>
      <c r="L2190" s="11">
        <f>((Table1[[#This Row],[launched_at]]/60)/60/24)+DATE(1970,1,1)</f>
        <v>42633.586122685185</v>
      </c>
      <c r="M2190">
        <f>MONTH(Table1[[#This Row],[Date Created Conversion]])</f>
        <v>9</v>
      </c>
      <c r="N2190">
        <f>YEAR(Table1[[#This Row],[Date Created Conversion]])</f>
        <v>2016</v>
      </c>
      <c r="O2190" t="b">
        <v>0</v>
      </c>
      <c r="P2190">
        <v>514</v>
      </c>
      <c r="Q2190" t="b">
        <v>1</v>
      </c>
      <c r="R2190" t="s">
        <v>8297</v>
      </c>
      <c r="S2190" s="6">
        <f>Table1[[#This Row],[pledged]]/Table1[[#This Row],[goal]]</f>
        <v>4.1217692027666546</v>
      </c>
      <c r="T2190" s="8">
        <f>IF(Table1[[#This Row],[pledged]]=0,"no backers",Table1[[#This Row],[pledged]]/Table1[[#This Row],[backers_count]])</f>
        <v>44.056420233463037</v>
      </c>
      <c r="U2190" t="str">
        <f>LEFT(Table1[[#This Row],[Category and Sub-Category]],FIND("/",Table1[[#This Row],[Category and Sub-Category]])-1)</f>
        <v>games</v>
      </c>
      <c r="V2190" t="str">
        <f>RIGHT(Table1[[#This Row],[Category and Sub-Category]],LEN(Table1[[#This Row],[Category and Sub-Category]])-FIND("/",Table1[[#This Row],[Category and Sub-Category]]))</f>
        <v>tabletop games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 s="12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>((Table1[[#This Row],[deadline]]/60)/60/24)+DATE(1970,1,1)</f>
        <v>42481.916666666672</v>
      </c>
      <c r="K2191">
        <v>1460055300</v>
      </c>
      <c r="L2191" s="11">
        <f>((Table1[[#This Row],[launched_at]]/60)/60/24)+DATE(1970,1,1)</f>
        <v>42467.788194444445</v>
      </c>
      <c r="M2191">
        <f>MONTH(Table1[[#This Row],[Date Created Conversion]])</f>
        <v>4</v>
      </c>
      <c r="N2191">
        <f>YEAR(Table1[[#This Row],[Date Created Conversion]])</f>
        <v>2016</v>
      </c>
      <c r="O2191" t="b">
        <v>0</v>
      </c>
      <c r="P2191">
        <v>88</v>
      </c>
      <c r="Q2191" t="b">
        <v>1</v>
      </c>
      <c r="R2191" t="s">
        <v>8297</v>
      </c>
      <c r="S2191" s="6">
        <f>Table1[[#This Row],[pledged]]/Table1[[#This Row],[goal]]</f>
        <v>5.0324999999999998</v>
      </c>
      <c r="T2191" s="8">
        <f>IF(Table1[[#This Row],[pledged]]=0,"no backers",Table1[[#This Row],[pledged]]/Table1[[#This Row],[backers_count]])</f>
        <v>68.625</v>
      </c>
      <c r="U2191" t="str">
        <f>LEFT(Table1[[#This Row],[Category and Sub-Category]],FIND("/",Table1[[#This Row],[Category and Sub-Category]])-1)</f>
        <v>games</v>
      </c>
      <c r="V2191" t="str">
        <f>RIGHT(Table1[[#This Row],[Category and Sub-Category]],LEN(Table1[[#This Row],[Category and Sub-Category]])-FIND("/",Table1[[#This Row],[Category and Sub-Category]]))</f>
        <v>tabletop games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 s="1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>((Table1[[#This Row],[deadline]]/60)/60/24)+DATE(1970,1,1)</f>
        <v>42452.290972222225</v>
      </c>
      <c r="K2192">
        <v>1455721204</v>
      </c>
      <c r="L2192" s="11">
        <f>((Table1[[#This Row],[launched_at]]/60)/60/24)+DATE(1970,1,1)</f>
        <v>42417.625046296293</v>
      </c>
      <c r="M2192">
        <f>MONTH(Table1[[#This Row],[Date Created Conversion]])</f>
        <v>2</v>
      </c>
      <c r="N2192">
        <f>YEAR(Table1[[#This Row],[Date Created Conversion]])</f>
        <v>2016</v>
      </c>
      <c r="O2192" t="b">
        <v>0</v>
      </c>
      <c r="P2192">
        <v>537</v>
      </c>
      <c r="Q2192" t="b">
        <v>1</v>
      </c>
      <c r="R2192" t="s">
        <v>8297</v>
      </c>
      <c r="S2192" s="6">
        <f>Table1[[#This Row],[pledged]]/Table1[[#This Row],[goal]]</f>
        <v>1.8461052631578947</v>
      </c>
      <c r="T2192" s="8">
        <f>IF(Table1[[#This Row],[pledged]]=0,"no backers",Table1[[#This Row],[pledged]]/Table1[[#This Row],[backers_count]])</f>
        <v>65.318435754189949</v>
      </c>
      <c r="U2192" t="str">
        <f>LEFT(Table1[[#This Row],[Category and Sub-Category]],FIND("/",Table1[[#This Row],[Category and Sub-Category]])-1)</f>
        <v>games</v>
      </c>
      <c r="V2192" t="str">
        <f>RIGHT(Table1[[#This Row],[Category and Sub-Category]],LEN(Table1[[#This Row],[Category and Sub-Category]])-FIND("/",Table1[[#This Row],[Category and Sub-Category]]))</f>
        <v>tabletop games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 s="12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>((Table1[[#This Row],[deadline]]/60)/60/24)+DATE(1970,1,1)</f>
        <v>42780.833645833336</v>
      </c>
      <c r="K2193">
        <v>1486065627</v>
      </c>
      <c r="L2193" s="11">
        <f>((Table1[[#This Row],[launched_at]]/60)/60/24)+DATE(1970,1,1)</f>
        <v>42768.833645833336</v>
      </c>
      <c r="M2193">
        <f>MONTH(Table1[[#This Row],[Date Created Conversion]])</f>
        <v>2</v>
      </c>
      <c r="N2193">
        <f>YEAR(Table1[[#This Row],[Date Created Conversion]])</f>
        <v>2017</v>
      </c>
      <c r="O2193" t="b">
        <v>0</v>
      </c>
      <c r="P2193">
        <v>25</v>
      </c>
      <c r="Q2193" t="b">
        <v>1</v>
      </c>
      <c r="R2193" t="s">
        <v>8297</v>
      </c>
      <c r="S2193" s="6">
        <f>Table1[[#This Row],[pledged]]/Table1[[#This Row],[goal]]</f>
        <v>1.1973333333333334</v>
      </c>
      <c r="T2193" s="8">
        <f>IF(Table1[[#This Row],[pledged]]=0,"no backers",Table1[[#This Row],[pledged]]/Table1[[#This Row],[backers_count]])</f>
        <v>35.92</v>
      </c>
      <c r="U2193" t="str">
        <f>LEFT(Table1[[#This Row],[Category and Sub-Category]],FIND("/",Table1[[#This Row],[Category and Sub-Category]])-1)</f>
        <v>games</v>
      </c>
      <c r="V2193" t="str">
        <f>RIGHT(Table1[[#This Row],[Category and Sub-Category]],LEN(Table1[[#This Row],[Category and Sub-Category]])-FIND("/",Table1[[#This Row],[Category and Sub-Category]]))</f>
        <v>tabletop games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 s="12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>((Table1[[#This Row],[deadline]]/60)/60/24)+DATE(1970,1,1)</f>
        <v>42719.958333333328</v>
      </c>
      <c r="K2194">
        <v>1479414344</v>
      </c>
      <c r="L2194" s="11">
        <f>((Table1[[#This Row],[launched_at]]/60)/60/24)+DATE(1970,1,1)</f>
        <v>42691.8512037037</v>
      </c>
      <c r="M2194">
        <f>MONTH(Table1[[#This Row],[Date Created Conversion]])</f>
        <v>11</v>
      </c>
      <c r="N2194">
        <f>YEAR(Table1[[#This Row],[Date Created Conversion]])</f>
        <v>2016</v>
      </c>
      <c r="O2194" t="b">
        <v>0</v>
      </c>
      <c r="P2194">
        <v>3238</v>
      </c>
      <c r="Q2194" t="b">
        <v>1</v>
      </c>
      <c r="R2194" t="s">
        <v>8297</v>
      </c>
      <c r="S2194" s="6">
        <f>Table1[[#This Row],[pledged]]/Table1[[#This Row],[goal]]</f>
        <v>10.812401666666668</v>
      </c>
      <c r="T2194" s="8">
        <f>IF(Table1[[#This Row],[pledged]]=0,"no backers",Table1[[#This Row],[pledged]]/Table1[[#This Row],[backers_count]])</f>
        <v>40.070667078443485</v>
      </c>
      <c r="U2194" t="str">
        <f>LEFT(Table1[[#This Row],[Category and Sub-Category]],FIND("/",Table1[[#This Row],[Category and Sub-Category]])-1)</f>
        <v>games</v>
      </c>
      <c r="V2194" t="str">
        <f>RIGHT(Table1[[#This Row],[Category and Sub-Category]],LEN(Table1[[#This Row],[Category and Sub-Category]])-FIND("/",Table1[[#This Row],[Category and Sub-Category]]))</f>
        <v>tabletop games</v>
      </c>
    </row>
    <row r="2195" spans="1:22" ht="57.6" x14ac:dyDescent="0.3">
      <c r="A2195">
        <v>2193</v>
      </c>
      <c r="B2195" s="3" t="s">
        <v>2194</v>
      </c>
      <c r="C2195" s="3" t="s">
        <v>6303</v>
      </c>
      <c r="D2195" s="12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>((Table1[[#This Row],[deadline]]/60)/60/24)+DATE(1970,1,1)</f>
        <v>42695.207638888889</v>
      </c>
      <c r="K2195">
        <v>1477043072</v>
      </c>
      <c r="L2195" s="11">
        <f>((Table1[[#This Row],[launched_at]]/60)/60/24)+DATE(1970,1,1)</f>
        <v>42664.405925925923</v>
      </c>
      <c r="M2195">
        <f>MONTH(Table1[[#This Row],[Date Created Conversion]])</f>
        <v>10</v>
      </c>
      <c r="N2195">
        <f>YEAR(Table1[[#This Row],[Date Created Conversion]])</f>
        <v>2016</v>
      </c>
      <c r="O2195" t="b">
        <v>0</v>
      </c>
      <c r="P2195">
        <v>897</v>
      </c>
      <c r="Q2195" t="b">
        <v>1</v>
      </c>
      <c r="R2195" t="s">
        <v>8297</v>
      </c>
      <c r="S2195" s="6">
        <f>Table1[[#This Row],[pledged]]/Table1[[#This Row],[goal]]</f>
        <v>4.5237333333333334</v>
      </c>
      <c r="T2195" s="8">
        <f>IF(Table1[[#This Row],[pledged]]=0,"no backers",Table1[[#This Row],[pledged]]/Table1[[#This Row],[backers_count]])</f>
        <v>75.647714604236342</v>
      </c>
      <c r="U2195" t="str">
        <f>LEFT(Table1[[#This Row],[Category and Sub-Category]],FIND("/",Table1[[#This Row],[Category and Sub-Category]])-1)</f>
        <v>games</v>
      </c>
      <c r="V2195" t="str">
        <f>RIGHT(Table1[[#This Row],[Category and Sub-Category]],LEN(Table1[[#This Row],[Category and Sub-Category]])-FIND("/",Table1[[#This Row],[Category and Sub-Category]]))</f>
        <v>tabletop games</v>
      </c>
    </row>
    <row r="2196" spans="1:22" ht="57.6" x14ac:dyDescent="0.3">
      <c r="A2196">
        <v>2194</v>
      </c>
      <c r="B2196" s="3" t="s">
        <v>2195</v>
      </c>
      <c r="C2196" s="3" t="s">
        <v>6304</v>
      </c>
      <c r="D2196" s="12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>((Table1[[#This Row],[deadline]]/60)/60/24)+DATE(1970,1,1)</f>
        <v>42455.716319444444</v>
      </c>
      <c r="K2196">
        <v>1456423890</v>
      </c>
      <c r="L2196" s="11">
        <f>((Table1[[#This Row],[launched_at]]/60)/60/24)+DATE(1970,1,1)</f>
        <v>42425.757986111115</v>
      </c>
      <c r="M2196">
        <f>MONTH(Table1[[#This Row],[Date Created Conversion]])</f>
        <v>2</v>
      </c>
      <c r="N2196">
        <f>YEAR(Table1[[#This Row],[Date Created Conversion]])</f>
        <v>2016</v>
      </c>
      <c r="O2196" t="b">
        <v>0</v>
      </c>
      <c r="P2196">
        <v>878</v>
      </c>
      <c r="Q2196" t="b">
        <v>1</v>
      </c>
      <c r="R2196" t="s">
        <v>8297</v>
      </c>
      <c r="S2196" s="6">
        <f>Table1[[#This Row],[pledged]]/Table1[[#This Row],[goal]]</f>
        <v>5.3737000000000004</v>
      </c>
      <c r="T2196" s="8">
        <f>IF(Table1[[#This Row],[pledged]]=0,"no backers",Table1[[#This Row],[pledged]]/Table1[[#This Row],[backers_count]])</f>
        <v>61.203872437357631</v>
      </c>
      <c r="U2196" t="str">
        <f>LEFT(Table1[[#This Row],[Category and Sub-Category]],FIND("/",Table1[[#This Row],[Category and Sub-Category]])-1)</f>
        <v>games</v>
      </c>
      <c r="V2196" t="str">
        <f>RIGHT(Table1[[#This Row],[Category and Sub-Category]],LEN(Table1[[#This Row],[Category and Sub-Category]])-FIND("/",Table1[[#This Row],[Category and Sub-Category]]))</f>
        <v>tabletop games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 s="12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>((Table1[[#This Row],[deadline]]/60)/60/24)+DATE(1970,1,1)</f>
        <v>42227.771990740745</v>
      </c>
      <c r="K2197">
        <v>1436725900</v>
      </c>
      <c r="L2197" s="11">
        <f>((Table1[[#This Row],[launched_at]]/60)/60/24)+DATE(1970,1,1)</f>
        <v>42197.771990740745</v>
      </c>
      <c r="M2197">
        <f>MONTH(Table1[[#This Row],[Date Created Conversion]])</f>
        <v>7</v>
      </c>
      <c r="N2197">
        <f>YEAR(Table1[[#This Row],[Date Created Conversion]])</f>
        <v>2015</v>
      </c>
      <c r="O2197" t="b">
        <v>0</v>
      </c>
      <c r="P2197">
        <v>115</v>
      </c>
      <c r="Q2197" t="b">
        <v>1</v>
      </c>
      <c r="R2197" t="s">
        <v>8297</v>
      </c>
      <c r="S2197" s="6">
        <f>Table1[[#This Row],[pledged]]/Table1[[#This Row],[goal]]</f>
        <v>1.2032608695652174</v>
      </c>
      <c r="T2197" s="8">
        <f>IF(Table1[[#This Row],[pledged]]=0,"no backers",Table1[[#This Row],[pledged]]/Table1[[#This Row],[backers_count]])</f>
        <v>48.130434782608695</v>
      </c>
      <c r="U2197" t="str">
        <f>LEFT(Table1[[#This Row],[Category and Sub-Category]],FIND("/",Table1[[#This Row],[Category and Sub-Category]])-1)</f>
        <v>games</v>
      </c>
      <c r="V2197" t="str">
        <f>RIGHT(Table1[[#This Row],[Category and Sub-Category]],LEN(Table1[[#This Row],[Category and Sub-Category]])-FIND("/",Table1[[#This Row],[Category and Sub-Category]]))</f>
        <v>tabletop games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 s="12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>((Table1[[#This Row],[deadline]]/60)/60/24)+DATE(1970,1,1)</f>
        <v>42706.291666666672</v>
      </c>
      <c r="K2198">
        <v>1478000502</v>
      </c>
      <c r="L2198" s="11">
        <f>((Table1[[#This Row],[launched_at]]/60)/60/24)+DATE(1970,1,1)</f>
        <v>42675.487291666665</v>
      </c>
      <c r="M2198">
        <f>MONTH(Table1[[#This Row],[Date Created Conversion]])</f>
        <v>11</v>
      </c>
      <c r="N2198">
        <f>YEAR(Table1[[#This Row],[Date Created Conversion]])</f>
        <v>2016</v>
      </c>
      <c r="O2198" t="b">
        <v>0</v>
      </c>
      <c r="P2198">
        <v>234</v>
      </c>
      <c r="Q2198" t="b">
        <v>1</v>
      </c>
      <c r="R2198" t="s">
        <v>8297</v>
      </c>
      <c r="S2198" s="6">
        <f>Table1[[#This Row],[pledged]]/Table1[[#This Row],[goal]]</f>
        <v>1.1383571428571428</v>
      </c>
      <c r="T2198" s="8">
        <f>IF(Table1[[#This Row],[pledged]]=0,"no backers",Table1[[#This Row],[pledged]]/Table1[[#This Row],[backers_count]])</f>
        <v>68.106837606837601</v>
      </c>
      <c r="U2198" t="str">
        <f>LEFT(Table1[[#This Row],[Category and Sub-Category]],FIND("/",Table1[[#This Row],[Category and Sub-Category]])-1)</f>
        <v>games</v>
      </c>
      <c r="V2198" t="str">
        <f>RIGHT(Table1[[#This Row],[Category and Sub-Category]],LEN(Table1[[#This Row],[Category and Sub-Category]])-FIND("/",Table1[[#This Row],[Category and Sub-Category]]))</f>
        <v>tabletop games</v>
      </c>
    </row>
    <row r="2199" spans="1:22" ht="43.2" x14ac:dyDescent="0.3">
      <c r="A2199">
        <v>2197</v>
      </c>
      <c r="B2199" s="3" t="s">
        <v>2198</v>
      </c>
      <c r="C2199" s="3" t="s">
        <v>6307</v>
      </c>
      <c r="D2199" s="12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>((Table1[[#This Row],[deadline]]/60)/60/24)+DATE(1970,1,1)</f>
        <v>42063.584016203706</v>
      </c>
      <c r="K2199">
        <v>1422540059</v>
      </c>
      <c r="L2199" s="11">
        <f>((Table1[[#This Row],[launched_at]]/60)/60/24)+DATE(1970,1,1)</f>
        <v>42033.584016203706</v>
      </c>
      <c r="M2199">
        <f>MONTH(Table1[[#This Row],[Date Created Conversion]])</f>
        <v>1</v>
      </c>
      <c r="N2199">
        <f>YEAR(Table1[[#This Row],[Date Created Conversion]])</f>
        <v>2015</v>
      </c>
      <c r="O2199" t="b">
        <v>0</v>
      </c>
      <c r="P2199">
        <v>4330</v>
      </c>
      <c r="Q2199" t="b">
        <v>1</v>
      </c>
      <c r="R2199" t="s">
        <v>8297</v>
      </c>
      <c r="S2199" s="6">
        <f>Table1[[#This Row],[pledged]]/Table1[[#This Row],[goal]]</f>
        <v>9.5103109999999997</v>
      </c>
      <c r="T2199" s="8">
        <f>IF(Table1[[#This Row],[pledged]]=0,"no backers",Table1[[#This Row],[pledged]]/Table1[[#This Row],[backers_count]])</f>
        <v>65.891300230946882</v>
      </c>
      <c r="U2199" t="str">
        <f>LEFT(Table1[[#This Row],[Category and Sub-Category]],FIND("/",Table1[[#This Row],[Category and Sub-Category]])-1)</f>
        <v>games</v>
      </c>
      <c r="V2199" t="str">
        <f>RIGHT(Table1[[#This Row],[Category and Sub-Category]],LEN(Table1[[#This Row],[Category and Sub-Category]])-FIND("/",Table1[[#This Row],[Category and Sub-Category]]))</f>
        <v>tabletop games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 s="12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>((Table1[[#This Row],[deadline]]/60)/60/24)+DATE(1970,1,1)</f>
        <v>42322.555555555555</v>
      </c>
      <c r="K2200">
        <v>1444911600</v>
      </c>
      <c r="L2200" s="11">
        <f>((Table1[[#This Row],[launched_at]]/60)/60/24)+DATE(1970,1,1)</f>
        <v>42292.513888888891</v>
      </c>
      <c r="M2200">
        <f>MONTH(Table1[[#This Row],[Date Created Conversion]])</f>
        <v>10</v>
      </c>
      <c r="N2200">
        <f>YEAR(Table1[[#This Row],[Date Created Conversion]])</f>
        <v>2015</v>
      </c>
      <c r="O2200" t="b">
        <v>0</v>
      </c>
      <c r="P2200">
        <v>651</v>
      </c>
      <c r="Q2200" t="b">
        <v>1</v>
      </c>
      <c r="R2200" t="s">
        <v>8297</v>
      </c>
      <c r="S2200" s="6">
        <f>Table1[[#This Row],[pledged]]/Table1[[#This Row],[goal]]</f>
        <v>1.3289249999999999</v>
      </c>
      <c r="T2200" s="8">
        <f>IF(Table1[[#This Row],[pledged]]=0,"no backers",Table1[[#This Row],[pledged]]/Table1[[#This Row],[backers_count]])</f>
        <v>81.654377880184327</v>
      </c>
      <c r="U2200" t="str">
        <f>LEFT(Table1[[#This Row],[Category and Sub-Category]],FIND("/",Table1[[#This Row],[Category and Sub-Category]])-1)</f>
        <v>games</v>
      </c>
      <c r="V2200" t="str">
        <f>RIGHT(Table1[[#This Row],[Category and Sub-Category]],LEN(Table1[[#This Row],[Category and Sub-Category]])-FIND("/",Table1[[#This Row],[Category and Sub-Category]]))</f>
        <v>tabletop games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 s="12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>((Table1[[#This Row],[deadline]]/60)/60/24)+DATE(1970,1,1)</f>
        <v>42292.416643518518</v>
      </c>
      <c r="K2201">
        <v>1442311198</v>
      </c>
      <c r="L2201" s="11">
        <f>((Table1[[#This Row],[launched_at]]/60)/60/24)+DATE(1970,1,1)</f>
        <v>42262.416643518518</v>
      </c>
      <c r="M2201">
        <f>MONTH(Table1[[#This Row],[Date Created Conversion]])</f>
        <v>9</v>
      </c>
      <c r="N2201">
        <f>YEAR(Table1[[#This Row],[Date Created Conversion]])</f>
        <v>2015</v>
      </c>
      <c r="O2201" t="b">
        <v>1</v>
      </c>
      <c r="P2201">
        <v>251</v>
      </c>
      <c r="Q2201" t="b">
        <v>1</v>
      </c>
      <c r="R2201" t="s">
        <v>8297</v>
      </c>
      <c r="S2201" s="6">
        <f>Table1[[#This Row],[pledged]]/Table1[[#This Row],[goal]]</f>
        <v>1.4697777777777778</v>
      </c>
      <c r="T2201" s="8">
        <f>IF(Table1[[#This Row],[pledged]]=0,"no backers",Table1[[#This Row],[pledged]]/Table1[[#This Row],[backers_count]])</f>
        <v>52.701195219123505</v>
      </c>
      <c r="U2201" t="str">
        <f>LEFT(Table1[[#This Row],[Category and Sub-Category]],FIND("/",Table1[[#This Row],[Category and Sub-Category]])-1)</f>
        <v>games</v>
      </c>
      <c r="V2201" t="str">
        <f>RIGHT(Table1[[#This Row],[Category and Sub-Category]],LEN(Table1[[#This Row],[Category and Sub-Category]])-FIND("/",Table1[[#This Row],[Category and Sub-Category]]))</f>
        <v>tabletop games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 s="1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>((Table1[[#This Row],[deadline]]/60)/60/24)+DATE(1970,1,1)</f>
        <v>42191.125</v>
      </c>
      <c r="K2202">
        <v>1433775668</v>
      </c>
      <c r="L2202" s="11">
        <f>((Table1[[#This Row],[launched_at]]/60)/60/24)+DATE(1970,1,1)</f>
        <v>42163.625787037032</v>
      </c>
      <c r="M2202">
        <f>MONTH(Table1[[#This Row],[Date Created Conversion]])</f>
        <v>6</v>
      </c>
      <c r="N2202">
        <f>YEAR(Table1[[#This Row],[Date Created Conversion]])</f>
        <v>2015</v>
      </c>
      <c r="O2202" t="b">
        <v>0</v>
      </c>
      <c r="P2202">
        <v>263</v>
      </c>
      <c r="Q2202" t="b">
        <v>1</v>
      </c>
      <c r="R2202" t="s">
        <v>8297</v>
      </c>
      <c r="S2202" s="6">
        <f>Table1[[#This Row],[pledged]]/Table1[[#This Row],[goal]]</f>
        <v>5.4215</v>
      </c>
      <c r="T2202" s="8">
        <f>IF(Table1[[#This Row],[pledged]]=0,"no backers",Table1[[#This Row],[pledged]]/Table1[[#This Row],[backers_count]])</f>
        <v>41.228136882129277</v>
      </c>
      <c r="U2202" t="str">
        <f>LEFT(Table1[[#This Row],[Category and Sub-Category]],FIND("/",Table1[[#This Row],[Category and Sub-Category]])-1)</f>
        <v>games</v>
      </c>
      <c r="V2202" t="str">
        <f>RIGHT(Table1[[#This Row],[Category and Sub-Category]],LEN(Table1[[#This Row],[Category and Sub-Category]])-FIND("/",Table1[[#This Row],[Category and Sub-Category]]))</f>
        <v>tabletop games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 s="12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>((Table1[[#This Row],[deadline]]/60)/60/24)+DATE(1970,1,1)</f>
        <v>41290.846817129634</v>
      </c>
      <c r="K2203">
        <v>1357157965</v>
      </c>
      <c r="L2203" s="11">
        <f>((Table1[[#This Row],[launched_at]]/60)/60/24)+DATE(1970,1,1)</f>
        <v>41276.846817129634</v>
      </c>
      <c r="M2203">
        <f>MONTH(Table1[[#This Row],[Date Created Conversion]])</f>
        <v>1</v>
      </c>
      <c r="N2203">
        <f>YEAR(Table1[[#This Row],[Date Created Conversion]])</f>
        <v>2013</v>
      </c>
      <c r="O2203" t="b">
        <v>0</v>
      </c>
      <c r="P2203">
        <v>28</v>
      </c>
      <c r="Q2203" t="b">
        <v>1</v>
      </c>
      <c r="R2203" t="s">
        <v>8280</v>
      </c>
      <c r="S2203" s="6">
        <f>Table1[[#This Row],[pledged]]/Table1[[#This Row],[goal]]</f>
        <v>3.8271818181818182</v>
      </c>
      <c r="T2203" s="8">
        <f>IF(Table1[[#This Row],[pledged]]=0,"no backers",Table1[[#This Row],[pledged]]/Table1[[#This Row],[backers_count]])</f>
        <v>15.035357142857142</v>
      </c>
      <c r="U2203" t="str">
        <f>LEFT(Table1[[#This Row],[Category and Sub-Category]],FIND("/",Table1[[#This Row],[Category and Sub-Category]])-1)</f>
        <v>music</v>
      </c>
      <c r="V2203" t="str">
        <f>RIGHT(Table1[[#This Row],[Category and Sub-Category]],LEN(Table1[[#This Row],[Category and Sub-Category]])-FIND("/",Table1[[#This Row],[Category and Sub-Category]]))</f>
        <v>electronic music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 s="12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>((Table1[[#This Row],[deadline]]/60)/60/24)+DATE(1970,1,1)</f>
        <v>41214.849166666667</v>
      </c>
      <c r="K2204">
        <v>1349209368</v>
      </c>
      <c r="L2204" s="11">
        <f>((Table1[[#This Row],[launched_at]]/60)/60/24)+DATE(1970,1,1)</f>
        <v>41184.849166666667</v>
      </c>
      <c r="M2204">
        <f>MONTH(Table1[[#This Row],[Date Created Conversion]])</f>
        <v>10</v>
      </c>
      <c r="N2204">
        <f>YEAR(Table1[[#This Row],[Date Created Conversion]])</f>
        <v>2012</v>
      </c>
      <c r="O2204" t="b">
        <v>0</v>
      </c>
      <c r="P2204">
        <v>721</v>
      </c>
      <c r="Q2204" t="b">
        <v>1</v>
      </c>
      <c r="R2204" t="s">
        <v>8280</v>
      </c>
      <c r="S2204" s="6">
        <f>Table1[[#This Row],[pledged]]/Table1[[#This Row],[goal]]</f>
        <v>7.0418124999999998</v>
      </c>
      <c r="T2204" s="8">
        <f>IF(Table1[[#This Row],[pledged]]=0,"no backers",Table1[[#This Row],[pledged]]/Table1[[#This Row],[backers_count]])</f>
        <v>39.066920943134534</v>
      </c>
      <c r="U2204" t="str">
        <f>LEFT(Table1[[#This Row],[Category and Sub-Category]],FIND("/",Table1[[#This Row],[Category and Sub-Category]])-1)</f>
        <v>music</v>
      </c>
      <c r="V2204" t="str">
        <f>RIGHT(Table1[[#This Row],[Category and Sub-Category]],LEN(Table1[[#This Row],[Category and Sub-Category]])-FIND("/",Table1[[#This Row],[Category and Sub-Category]]))</f>
        <v>electronic music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 s="12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>((Table1[[#This Row],[deadline]]/60)/60/24)+DATE(1970,1,1)</f>
        <v>42271.85974537037</v>
      </c>
      <c r="K2205">
        <v>1440535082</v>
      </c>
      <c r="L2205" s="11">
        <f>((Table1[[#This Row],[launched_at]]/60)/60/24)+DATE(1970,1,1)</f>
        <v>42241.85974537037</v>
      </c>
      <c r="M2205">
        <f>MONTH(Table1[[#This Row],[Date Created Conversion]])</f>
        <v>8</v>
      </c>
      <c r="N2205">
        <f>YEAR(Table1[[#This Row],[Date Created Conversion]])</f>
        <v>2015</v>
      </c>
      <c r="O2205" t="b">
        <v>0</v>
      </c>
      <c r="P2205">
        <v>50</v>
      </c>
      <c r="Q2205" t="b">
        <v>1</v>
      </c>
      <c r="R2205" t="s">
        <v>8280</v>
      </c>
      <c r="S2205" s="6">
        <f>Table1[[#This Row],[pledged]]/Table1[[#This Row],[goal]]</f>
        <v>1.0954999999999999</v>
      </c>
      <c r="T2205" s="8">
        <f>IF(Table1[[#This Row],[pledged]]=0,"no backers",Table1[[#This Row],[pledged]]/Table1[[#This Row],[backers_count]])</f>
        <v>43.82</v>
      </c>
      <c r="U2205" t="str">
        <f>LEFT(Table1[[#This Row],[Category and Sub-Category]],FIND("/",Table1[[#This Row],[Category and Sub-Category]])-1)</f>
        <v>music</v>
      </c>
      <c r="V2205" t="str">
        <f>RIGHT(Table1[[#This Row],[Category and Sub-Category]],LEN(Table1[[#This Row],[Category and Sub-Category]])-FIND("/",Table1[[#This Row],[Category and Sub-Category]]))</f>
        <v>electronic music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 s="12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>((Table1[[#This Row],[deadline]]/60)/60/24)+DATE(1970,1,1)</f>
        <v>41342.311562499999</v>
      </c>
      <c r="K2206">
        <v>1360222119</v>
      </c>
      <c r="L2206" s="11">
        <f>((Table1[[#This Row],[launched_at]]/60)/60/24)+DATE(1970,1,1)</f>
        <v>41312.311562499999</v>
      </c>
      <c r="M2206">
        <f>MONTH(Table1[[#This Row],[Date Created Conversion]])</f>
        <v>2</v>
      </c>
      <c r="N2206">
        <f>YEAR(Table1[[#This Row],[Date Created Conversion]])</f>
        <v>2013</v>
      </c>
      <c r="O2206" t="b">
        <v>0</v>
      </c>
      <c r="P2206">
        <v>73</v>
      </c>
      <c r="Q2206" t="b">
        <v>1</v>
      </c>
      <c r="R2206" t="s">
        <v>8280</v>
      </c>
      <c r="S2206" s="6">
        <f>Table1[[#This Row],[pledged]]/Table1[[#This Row],[goal]]</f>
        <v>1.3286666666666667</v>
      </c>
      <c r="T2206" s="8">
        <f>IF(Table1[[#This Row],[pledged]]=0,"no backers",Table1[[#This Row],[pledged]]/Table1[[#This Row],[backers_count]])</f>
        <v>27.301369863013697</v>
      </c>
      <c r="U2206" t="str">
        <f>LEFT(Table1[[#This Row],[Category and Sub-Category]],FIND("/",Table1[[#This Row],[Category and Sub-Category]])-1)</f>
        <v>music</v>
      </c>
      <c r="V2206" t="str">
        <f>RIGHT(Table1[[#This Row],[Category and Sub-Category]],LEN(Table1[[#This Row],[Category and Sub-Category]])-FIND("/",Table1[[#This Row],[Category and Sub-Category]]))</f>
        <v>electronic music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 s="12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>((Table1[[#This Row],[deadline]]/60)/60/24)+DATE(1970,1,1)</f>
        <v>41061.82163194444</v>
      </c>
      <c r="K2207">
        <v>1335987789</v>
      </c>
      <c r="L2207" s="11">
        <f>((Table1[[#This Row],[launched_at]]/60)/60/24)+DATE(1970,1,1)</f>
        <v>41031.82163194444</v>
      </c>
      <c r="M2207">
        <f>MONTH(Table1[[#This Row],[Date Created Conversion]])</f>
        <v>5</v>
      </c>
      <c r="N2207">
        <f>YEAR(Table1[[#This Row],[Date Created Conversion]])</f>
        <v>2012</v>
      </c>
      <c r="O2207" t="b">
        <v>0</v>
      </c>
      <c r="P2207">
        <v>27</v>
      </c>
      <c r="Q2207" t="b">
        <v>1</v>
      </c>
      <c r="R2207" t="s">
        <v>8280</v>
      </c>
      <c r="S2207" s="6">
        <f>Table1[[#This Row],[pledged]]/Table1[[#This Row],[goal]]</f>
        <v>1.52</v>
      </c>
      <c r="T2207" s="8">
        <f>IF(Table1[[#This Row],[pledged]]=0,"no backers",Table1[[#This Row],[pledged]]/Table1[[#This Row],[backers_count]])</f>
        <v>42.222222222222221</v>
      </c>
      <c r="U2207" t="str">
        <f>LEFT(Table1[[#This Row],[Category and Sub-Category]],FIND("/",Table1[[#This Row],[Category and Sub-Category]])-1)</f>
        <v>music</v>
      </c>
      <c r="V2207" t="str">
        <f>RIGHT(Table1[[#This Row],[Category and Sub-Category]],LEN(Table1[[#This Row],[Category and Sub-Category]])-FIND("/",Table1[[#This Row],[Category and Sub-Category]]))</f>
        <v>electronic music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 s="12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>((Table1[[#This Row],[deadline]]/60)/60/24)+DATE(1970,1,1)</f>
        <v>41015.257222222222</v>
      </c>
      <c r="K2208">
        <v>1333001424</v>
      </c>
      <c r="L2208" s="11">
        <f>((Table1[[#This Row],[launched_at]]/60)/60/24)+DATE(1970,1,1)</f>
        <v>40997.257222222222</v>
      </c>
      <c r="M2208">
        <f>MONTH(Table1[[#This Row],[Date Created Conversion]])</f>
        <v>3</v>
      </c>
      <c r="N2208">
        <f>YEAR(Table1[[#This Row],[Date Created Conversion]])</f>
        <v>2012</v>
      </c>
      <c r="O2208" t="b">
        <v>0</v>
      </c>
      <c r="P2208">
        <v>34</v>
      </c>
      <c r="Q2208" t="b">
        <v>1</v>
      </c>
      <c r="R2208" t="s">
        <v>8280</v>
      </c>
      <c r="S2208" s="6">
        <f>Table1[[#This Row],[pledged]]/Table1[[#This Row],[goal]]</f>
        <v>1.0272727272727273</v>
      </c>
      <c r="T2208" s="8">
        <f>IF(Table1[[#This Row],[pledged]]=0,"no backers",Table1[[#This Row],[pledged]]/Table1[[#This Row],[backers_count]])</f>
        <v>33.235294117647058</v>
      </c>
      <c r="U2208" t="str">
        <f>LEFT(Table1[[#This Row],[Category and Sub-Category]],FIND("/",Table1[[#This Row],[Category and Sub-Category]])-1)</f>
        <v>music</v>
      </c>
      <c r="V2208" t="str">
        <f>RIGHT(Table1[[#This Row],[Category and Sub-Category]],LEN(Table1[[#This Row],[Category and Sub-Category]])-FIND("/",Table1[[#This Row],[Category and Sub-Category]]))</f>
        <v>electronic music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 s="12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>((Table1[[#This Row],[deadline]]/60)/60/24)+DATE(1970,1,1)</f>
        <v>41594.235798611109</v>
      </c>
      <c r="K2209">
        <v>1381984773</v>
      </c>
      <c r="L2209" s="11">
        <f>((Table1[[#This Row],[launched_at]]/60)/60/24)+DATE(1970,1,1)</f>
        <v>41564.194131944445</v>
      </c>
      <c r="M2209">
        <f>MONTH(Table1[[#This Row],[Date Created Conversion]])</f>
        <v>10</v>
      </c>
      <c r="N2209">
        <f>YEAR(Table1[[#This Row],[Date Created Conversion]])</f>
        <v>2013</v>
      </c>
      <c r="O2209" t="b">
        <v>0</v>
      </c>
      <c r="P2209">
        <v>7</v>
      </c>
      <c r="Q2209" t="b">
        <v>1</v>
      </c>
      <c r="R2209" t="s">
        <v>8280</v>
      </c>
      <c r="S2209" s="6">
        <f>Table1[[#This Row],[pledged]]/Table1[[#This Row],[goal]]</f>
        <v>1</v>
      </c>
      <c r="T2209" s="8">
        <f>IF(Table1[[#This Row],[pledged]]=0,"no backers",Table1[[#This Row],[pledged]]/Table1[[#This Row],[backers_count]])</f>
        <v>285.71428571428572</v>
      </c>
      <c r="U2209" t="str">
        <f>LEFT(Table1[[#This Row],[Category and Sub-Category]],FIND("/",Table1[[#This Row],[Category and Sub-Category]])-1)</f>
        <v>music</v>
      </c>
      <c r="V2209" t="str">
        <f>RIGHT(Table1[[#This Row],[Category and Sub-Category]],LEN(Table1[[#This Row],[Category and Sub-Category]])-FIND("/",Table1[[#This Row],[Category and Sub-Category]]))</f>
        <v>electronic music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 s="12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>((Table1[[#This Row],[deadline]]/60)/60/24)+DATE(1970,1,1)</f>
        <v>41006.166666666664</v>
      </c>
      <c r="K2210">
        <v>1328649026</v>
      </c>
      <c r="L2210" s="11">
        <f>((Table1[[#This Row],[launched_at]]/60)/60/24)+DATE(1970,1,1)</f>
        <v>40946.882245370369</v>
      </c>
      <c r="M2210">
        <f>MONTH(Table1[[#This Row],[Date Created Conversion]])</f>
        <v>2</v>
      </c>
      <c r="N2210">
        <f>YEAR(Table1[[#This Row],[Date Created Conversion]])</f>
        <v>2012</v>
      </c>
      <c r="O2210" t="b">
        <v>0</v>
      </c>
      <c r="P2210">
        <v>24</v>
      </c>
      <c r="Q2210" t="b">
        <v>1</v>
      </c>
      <c r="R2210" t="s">
        <v>8280</v>
      </c>
      <c r="S2210" s="6">
        <f>Table1[[#This Row],[pledged]]/Table1[[#This Row],[goal]]</f>
        <v>1.016</v>
      </c>
      <c r="T2210" s="8">
        <f>IF(Table1[[#This Row],[pledged]]=0,"no backers",Table1[[#This Row],[pledged]]/Table1[[#This Row],[backers_count]])</f>
        <v>42.333333333333336</v>
      </c>
      <c r="U2210" t="str">
        <f>LEFT(Table1[[#This Row],[Category and Sub-Category]],FIND("/",Table1[[#This Row],[Category and Sub-Category]])-1)</f>
        <v>music</v>
      </c>
      <c r="V2210" t="str">
        <f>RIGHT(Table1[[#This Row],[Category and Sub-Category]],LEN(Table1[[#This Row],[Category and Sub-Category]])-FIND("/",Table1[[#This Row],[Category and Sub-Category]]))</f>
        <v>electronic music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 s="12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>((Table1[[#This Row],[deadline]]/60)/60/24)+DATE(1970,1,1)</f>
        <v>41743.958333333336</v>
      </c>
      <c r="K2211">
        <v>1396524644</v>
      </c>
      <c r="L2211" s="11">
        <f>((Table1[[#This Row],[launched_at]]/60)/60/24)+DATE(1970,1,1)</f>
        <v>41732.479675925926</v>
      </c>
      <c r="M2211">
        <f>MONTH(Table1[[#This Row],[Date Created Conversion]])</f>
        <v>4</v>
      </c>
      <c r="N2211">
        <f>YEAR(Table1[[#This Row],[Date Created Conversion]])</f>
        <v>2014</v>
      </c>
      <c r="O2211" t="b">
        <v>0</v>
      </c>
      <c r="P2211">
        <v>15</v>
      </c>
      <c r="Q2211" t="b">
        <v>1</v>
      </c>
      <c r="R2211" t="s">
        <v>8280</v>
      </c>
      <c r="S2211" s="6">
        <f>Table1[[#This Row],[pledged]]/Table1[[#This Row],[goal]]</f>
        <v>1.508</v>
      </c>
      <c r="T2211" s="8">
        <f>IF(Table1[[#This Row],[pledged]]=0,"no backers",Table1[[#This Row],[pledged]]/Table1[[#This Row],[backers_count]])</f>
        <v>50.266666666666666</v>
      </c>
      <c r="U2211" t="str">
        <f>LEFT(Table1[[#This Row],[Category and Sub-Category]],FIND("/",Table1[[#This Row],[Category and Sub-Category]])-1)</f>
        <v>music</v>
      </c>
      <c r="V2211" t="str">
        <f>RIGHT(Table1[[#This Row],[Category and Sub-Category]],LEN(Table1[[#This Row],[Category and Sub-Category]])-FIND("/",Table1[[#This Row],[Category and Sub-Category]]))</f>
        <v>electronic music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 s="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>((Table1[[#This Row],[deadline]]/60)/60/24)+DATE(1970,1,1)</f>
        <v>41013.73333333333</v>
      </c>
      <c r="K2212">
        <v>1329442510</v>
      </c>
      <c r="L2212" s="11">
        <f>((Table1[[#This Row],[launched_at]]/60)/60/24)+DATE(1970,1,1)</f>
        <v>40956.066087962965</v>
      </c>
      <c r="M2212">
        <f>MONTH(Table1[[#This Row],[Date Created Conversion]])</f>
        <v>2</v>
      </c>
      <c r="N2212">
        <f>YEAR(Table1[[#This Row],[Date Created Conversion]])</f>
        <v>2012</v>
      </c>
      <c r="O2212" t="b">
        <v>0</v>
      </c>
      <c r="P2212">
        <v>72</v>
      </c>
      <c r="Q2212" t="b">
        <v>1</v>
      </c>
      <c r="R2212" t="s">
        <v>8280</v>
      </c>
      <c r="S2212" s="6">
        <f>Table1[[#This Row],[pledged]]/Table1[[#This Row],[goal]]</f>
        <v>1.11425</v>
      </c>
      <c r="T2212" s="8">
        <f>IF(Table1[[#This Row],[pledged]]=0,"no backers",Table1[[#This Row],[pledged]]/Table1[[#This Row],[backers_count]])</f>
        <v>61.902777777777779</v>
      </c>
      <c r="U2212" t="str">
        <f>LEFT(Table1[[#This Row],[Category and Sub-Category]],FIND("/",Table1[[#This Row],[Category and Sub-Category]])-1)</f>
        <v>music</v>
      </c>
      <c r="V2212" t="str">
        <f>RIGHT(Table1[[#This Row],[Category and Sub-Category]],LEN(Table1[[#This Row],[Category and Sub-Category]])-FIND("/",Table1[[#This Row],[Category and Sub-Category]]))</f>
        <v>electronic music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 s="12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>((Table1[[#This Row],[deadline]]/60)/60/24)+DATE(1970,1,1)</f>
        <v>41739.290972222225</v>
      </c>
      <c r="K2213">
        <v>1395168625</v>
      </c>
      <c r="L2213" s="11">
        <f>((Table1[[#This Row],[launched_at]]/60)/60/24)+DATE(1970,1,1)</f>
        <v>41716.785011574073</v>
      </c>
      <c r="M2213">
        <f>MONTH(Table1[[#This Row],[Date Created Conversion]])</f>
        <v>3</v>
      </c>
      <c r="N2213">
        <f>YEAR(Table1[[#This Row],[Date Created Conversion]])</f>
        <v>2014</v>
      </c>
      <c r="O2213" t="b">
        <v>0</v>
      </c>
      <c r="P2213">
        <v>120</v>
      </c>
      <c r="Q2213" t="b">
        <v>1</v>
      </c>
      <c r="R2213" t="s">
        <v>8280</v>
      </c>
      <c r="S2213" s="6">
        <f>Table1[[#This Row],[pledged]]/Table1[[#This Row],[goal]]</f>
        <v>1.956</v>
      </c>
      <c r="T2213" s="8">
        <f>IF(Table1[[#This Row],[pledged]]=0,"no backers",Table1[[#This Row],[pledged]]/Table1[[#This Row],[backers_count]])</f>
        <v>40.75</v>
      </c>
      <c r="U2213" t="str">
        <f>LEFT(Table1[[#This Row],[Category and Sub-Category]],FIND("/",Table1[[#This Row],[Category and Sub-Category]])-1)</f>
        <v>music</v>
      </c>
      <c r="V2213" t="str">
        <f>RIGHT(Table1[[#This Row],[Category and Sub-Category]],LEN(Table1[[#This Row],[Category and Sub-Category]])-FIND("/",Table1[[#This Row],[Category and Sub-Category]]))</f>
        <v>electronic music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 s="12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>((Table1[[#This Row],[deadline]]/60)/60/24)+DATE(1970,1,1)</f>
        <v>41582.041666666664</v>
      </c>
      <c r="K2214">
        <v>1380650177</v>
      </c>
      <c r="L2214" s="11">
        <f>((Table1[[#This Row],[launched_at]]/60)/60/24)+DATE(1970,1,1)</f>
        <v>41548.747418981482</v>
      </c>
      <c r="M2214">
        <f>MONTH(Table1[[#This Row],[Date Created Conversion]])</f>
        <v>10</v>
      </c>
      <c r="N2214">
        <f>YEAR(Table1[[#This Row],[Date Created Conversion]])</f>
        <v>2013</v>
      </c>
      <c r="O2214" t="b">
        <v>0</v>
      </c>
      <c r="P2214">
        <v>123</v>
      </c>
      <c r="Q2214" t="b">
        <v>1</v>
      </c>
      <c r="R2214" t="s">
        <v>8280</v>
      </c>
      <c r="S2214" s="6">
        <f>Table1[[#This Row],[pledged]]/Table1[[#This Row],[goal]]</f>
        <v>1.1438333333333333</v>
      </c>
      <c r="T2214" s="8">
        <f>IF(Table1[[#This Row],[pledged]]=0,"no backers",Table1[[#This Row],[pledged]]/Table1[[#This Row],[backers_count]])</f>
        <v>55.796747967479675</v>
      </c>
      <c r="U2214" t="str">
        <f>LEFT(Table1[[#This Row],[Category and Sub-Category]],FIND("/",Table1[[#This Row],[Category and Sub-Category]])-1)</f>
        <v>music</v>
      </c>
      <c r="V2214" t="str">
        <f>RIGHT(Table1[[#This Row],[Category and Sub-Category]],LEN(Table1[[#This Row],[Category and Sub-Category]])-FIND("/",Table1[[#This Row],[Category and Sub-Category]]))</f>
        <v>electronic music</v>
      </c>
    </row>
    <row r="2215" spans="1:22" ht="57.6" x14ac:dyDescent="0.3">
      <c r="A2215">
        <v>2213</v>
      </c>
      <c r="B2215" s="3" t="s">
        <v>2214</v>
      </c>
      <c r="C2215" s="3" t="s">
        <v>6323</v>
      </c>
      <c r="D2215" s="12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>((Table1[[#This Row],[deadline]]/60)/60/24)+DATE(1970,1,1)</f>
        <v>42139.826145833329</v>
      </c>
      <c r="K2215">
        <v>1429127379</v>
      </c>
      <c r="L2215" s="11">
        <f>((Table1[[#This Row],[launched_at]]/60)/60/24)+DATE(1970,1,1)</f>
        <v>42109.826145833329</v>
      </c>
      <c r="M2215">
        <f>MONTH(Table1[[#This Row],[Date Created Conversion]])</f>
        <v>4</v>
      </c>
      <c r="N2215">
        <f>YEAR(Table1[[#This Row],[Date Created Conversion]])</f>
        <v>2015</v>
      </c>
      <c r="O2215" t="b">
        <v>0</v>
      </c>
      <c r="P2215">
        <v>1</v>
      </c>
      <c r="Q2215" t="b">
        <v>1</v>
      </c>
      <c r="R2215" t="s">
        <v>8280</v>
      </c>
      <c r="S2215" s="6">
        <f>Table1[[#This Row],[pledged]]/Table1[[#This Row],[goal]]</f>
        <v>2</v>
      </c>
      <c r="T2215" s="8">
        <f>IF(Table1[[#This Row],[pledged]]=0,"no backers",Table1[[#This Row],[pledged]]/Table1[[#This Row],[backers_count]])</f>
        <v>10</v>
      </c>
      <c r="U2215" t="str">
        <f>LEFT(Table1[[#This Row],[Category and Sub-Category]],FIND("/",Table1[[#This Row],[Category and Sub-Category]])-1)</f>
        <v>music</v>
      </c>
      <c r="V2215" t="str">
        <f>RIGHT(Table1[[#This Row],[Category and Sub-Category]],LEN(Table1[[#This Row],[Category and Sub-Category]])-FIND("/",Table1[[#This Row],[Category and Sub-Category]]))</f>
        <v>electronic music</v>
      </c>
    </row>
    <row r="2216" spans="1:22" ht="43.2" x14ac:dyDescent="0.3">
      <c r="A2216">
        <v>2214</v>
      </c>
      <c r="B2216" s="3" t="s">
        <v>2215</v>
      </c>
      <c r="C2216" s="3" t="s">
        <v>6324</v>
      </c>
      <c r="D2216" s="12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>((Table1[[#This Row],[deadline]]/60)/60/24)+DATE(1970,1,1)</f>
        <v>41676.792222222226</v>
      </c>
      <c r="K2216">
        <v>1389121248</v>
      </c>
      <c r="L2216" s="11">
        <f>((Table1[[#This Row],[launched_at]]/60)/60/24)+DATE(1970,1,1)</f>
        <v>41646.792222222226</v>
      </c>
      <c r="M2216">
        <f>MONTH(Table1[[#This Row],[Date Created Conversion]])</f>
        <v>1</v>
      </c>
      <c r="N2216">
        <f>YEAR(Table1[[#This Row],[Date Created Conversion]])</f>
        <v>2014</v>
      </c>
      <c r="O2216" t="b">
        <v>0</v>
      </c>
      <c r="P2216">
        <v>24</v>
      </c>
      <c r="Q2216" t="b">
        <v>1</v>
      </c>
      <c r="R2216" t="s">
        <v>8280</v>
      </c>
      <c r="S2216" s="6">
        <f>Table1[[#This Row],[pledged]]/Table1[[#This Row],[goal]]</f>
        <v>2.9250166666666666</v>
      </c>
      <c r="T2216" s="8">
        <f>IF(Table1[[#This Row],[pledged]]=0,"no backers",Table1[[#This Row],[pledged]]/Table1[[#This Row],[backers_count]])</f>
        <v>73.125416666666666</v>
      </c>
      <c r="U2216" t="str">
        <f>LEFT(Table1[[#This Row],[Category and Sub-Category]],FIND("/",Table1[[#This Row],[Category and Sub-Category]])-1)</f>
        <v>music</v>
      </c>
      <c r="V2216" t="str">
        <f>RIGHT(Table1[[#This Row],[Category and Sub-Category]],LEN(Table1[[#This Row],[Category and Sub-Category]])-FIND("/",Table1[[#This Row],[Category and Sub-Category]]))</f>
        <v>electronic music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 s="12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>((Table1[[#This Row],[deadline]]/60)/60/24)+DATE(1970,1,1)</f>
        <v>40981.290972222225</v>
      </c>
      <c r="K2217">
        <v>1329671572</v>
      </c>
      <c r="L2217" s="11">
        <f>((Table1[[#This Row],[launched_at]]/60)/60/24)+DATE(1970,1,1)</f>
        <v>40958.717268518521</v>
      </c>
      <c r="M2217">
        <f>MONTH(Table1[[#This Row],[Date Created Conversion]])</f>
        <v>2</v>
      </c>
      <c r="N2217">
        <f>YEAR(Table1[[#This Row],[Date Created Conversion]])</f>
        <v>2012</v>
      </c>
      <c r="O2217" t="b">
        <v>0</v>
      </c>
      <c r="P2217">
        <v>33</v>
      </c>
      <c r="Q2217" t="b">
        <v>1</v>
      </c>
      <c r="R2217" t="s">
        <v>8280</v>
      </c>
      <c r="S2217" s="6">
        <f>Table1[[#This Row],[pledged]]/Table1[[#This Row],[goal]]</f>
        <v>1.5636363636363637</v>
      </c>
      <c r="T2217" s="8">
        <f>IF(Table1[[#This Row],[pledged]]=0,"no backers",Table1[[#This Row],[pledged]]/Table1[[#This Row],[backers_count]])</f>
        <v>26.060606060606062</v>
      </c>
      <c r="U2217" t="str">
        <f>LEFT(Table1[[#This Row],[Category and Sub-Category]],FIND("/",Table1[[#This Row],[Category and Sub-Category]])-1)</f>
        <v>music</v>
      </c>
      <c r="V2217" t="str">
        <f>RIGHT(Table1[[#This Row],[Category and Sub-Category]],LEN(Table1[[#This Row],[Category and Sub-Category]])-FIND("/",Table1[[#This Row],[Category and Sub-Category]]))</f>
        <v>electronic music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 s="12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>((Table1[[#This Row],[deadline]]/60)/60/24)+DATE(1970,1,1)</f>
        <v>42208.751678240747</v>
      </c>
      <c r="K2218">
        <v>1436464945</v>
      </c>
      <c r="L2218" s="11">
        <f>((Table1[[#This Row],[launched_at]]/60)/60/24)+DATE(1970,1,1)</f>
        <v>42194.751678240747</v>
      </c>
      <c r="M2218">
        <f>MONTH(Table1[[#This Row],[Date Created Conversion]])</f>
        <v>7</v>
      </c>
      <c r="N2218">
        <f>YEAR(Table1[[#This Row],[Date Created Conversion]])</f>
        <v>2015</v>
      </c>
      <c r="O2218" t="b">
        <v>0</v>
      </c>
      <c r="P2218">
        <v>14</v>
      </c>
      <c r="Q2218" t="b">
        <v>1</v>
      </c>
      <c r="R2218" t="s">
        <v>8280</v>
      </c>
      <c r="S2218" s="6">
        <f>Table1[[#This Row],[pledged]]/Table1[[#This Row],[goal]]</f>
        <v>1.0566666666666666</v>
      </c>
      <c r="T2218" s="8">
        <f>IF(Table1[[#This Row],[pledged]]=0,"no backers",Table1[[#This Row],[pledged]]/Table1[[#This Row],[backers_count]])</f>
        <v>22.642857142857142</v>
      </c>
      <c r="U2218" t="str">
        <f>LEFT(Table1[[#This Row],[Category and Sub-Category]],FIND("/",Table1[[#This Row],[Category and Sub-Category]])-1)</f>
        <v>music</v>
      </c>
      <c r="V2218" t="str">
        <f>RIGHT(Table1[[#This Row],[Category and Sub-Category]],LEN(Table1[[#This Row],[Category and Sub-Category]])-FIND("/",Table1[[#This Row],[Category and Sub-Category]]))</f>
        <v>electronic music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 s="12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>((Table1[[#This Row],[deadline]]/60)/60/24)+DATE(1970,1,1)</f>
        <v>42310.333333333328</v>
      </c>
      <c r="K2219">
        <v>1445539113</v>
      </c>
      <c r="L2219" s="11">
        <f>((Table1[[#This Row],[launched_at]]/60)/60/24)+DATE(1970,1,1)</f>
        <v>42299.776770833334</v>
      </c>
      <c r="M2219">
        <f>MONTH(Table1[[#This Row],[Date Created Conversion]])</f>
        <v>10</v>
      </c>
      <c r="N2219">
        <f>YEAR(Table1[[#This Row],[Date Created Conversion]])</f>
        <v>2015</v>
      </c>
      <c r="O2219" t="b">
        <v>0</v>
      </c>
      <c r="P2219">
        <v>9</v>
      </c>
      <c r="Q2219" t="b">
        <v>1</v>
      </c>
      <c r="R2219" t="s">
        <v>8280</v>
      </c>
      <c r="S2219" s="6">
        <f>Table1[[#This Row],[pledged]]/Table1[[#This Row],[goal]]</f>
        <v>1.0119047619047619</v>
      </c>
      <c r="T2219" s="8">
        <f>IF(Table1[[#This Row],[pledged]]=0,"no backers",Table1[[#This Row],[pledged]]/Table1[[#This Row],[backers_count]])</f>
        <v>47.222222222222221</v>
      </c>
      <c r="U2219" t="str">
        <f>LEFT(Table1[[#This Row],[Category and Sub-Category]],FIND("/",Table1[[#This Row],[Category and Sub-Category]])-1)</f>
        <v>music</v>
      </c>
      <c r="V2219" t="str">
        <f>RIGHT(Table1[[#This Row],[Category and Sub-Category]],LEN(Table1[[#This Row],[Category and Sub-Category]])-FIND("/",Table1[[#This Row],[Category and Sub-Category]]))</f>
        <v>electronic music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 s="12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>((Table1[[#This Row],[deadline]]/60)/60/24)+DATE(1970,1,1)</f>
        <v>41150</v>
      </c>
      <c r="K2220">
        <v>1344281383</v>
      </c>
      <c r="L2220" s="11">
        <f>((Table1[[#This Row],[launched_at]]/60)/60/24)+DATE(1970,1,1)</f>
        <v>41127.812303240738</v>
      </c>
      <c r="M2220">
        <f>MONTH(Table1[[#This Row],[Date Created Conversion]])</f>
        <v>8</v>
      </c>
      <c r="N2220">
        <f>YEAR(Table1[[#This Row],[Date Created Conversion]])</f>
        <v>2012</v>
      </c>
      <c r="O2220" t="b">
        <v>0</v>
      </c>
      <c r="P2220">
        <v>76</v>
      </c>
      <c r="Q2220" t="b">
        <v>1</v>
      </c>
      <c r="R2220" t="s">
        <v>8280</v>
      </c>
      <c r="S2220" s="6">
        <f>Table1[[#This Row],[pledged]]/Table1[[#This Row],[goal]]</f>
        <v>1.2283299999999999</v>
      </c>
      <c r="T2220" s="8">
        <f>IF(Table1[[#This Row],[pledged]]=0,"no backers",Table1[[#This Row],[pledged]]/Table1[[#This Row],[backers_count]])</f>
        <v>32.324473684210524</v>
      </c>
      <c r="U2220" t="str">
        <f>LEFT(Table1[[#This Row],[Category and Sub-Category]],FIND("/",Table1[[#This Row],[Category and Sub-Category]])-1)</f>
        <v>music</v>
      </c>
      <c r="V2220" t="str">
        <f>RIGHT(Table1[[#This Row],[Category and Sub-Category]],LEN(Table1[[#This Row],[Category and Sub-Category]])-FIND("/",Table1[[#This Row],[Category and Sub-Category]]))</f>
        <v>electronic music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 s="12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>((Table1[[#This Row],[deadline]]/60)/60/24)+DATE(1970,1,1)</f>
        <v>42235.718888888892</v>
      </c>
      <c r="K2221">
        <v>1437412512</v>
      </c>
      <c r="L2221" s="11">
        <f>((Table1[[#This Row],[launched_at]]/60)/60/24)+DATE(1970,1,1)</f>
        <v>42205.718888888892</v>
      </c>
      <c r="M2221">
        <f>MONTH(Table1[[#This Row],[Date Created Conversion]])</f>
        <v>7</v>
      </c>
      <c r="N2221">
        <f>YEAR(Table1[[#This Row],[Date Created Conversion]])</f>
        <v>2015</v>
      </c>
      <c r="O2221" t="b">
        <v>0</v>
      </c>
      <c r="P2221">
        <v>19</v>
      </c>
      <c r="Q2221" t="b">
        <v>1</v>
      </c>
      <c r="R2221" t="s">
        <v>8280</v>
      </c>
      <c r="S2221" s="6">
        <f>Table1[[#This Row],[pledged]]/Table1[[#This Row],[goal]]</f>
        <v>1.0149999999999999</v>
      </c>
      <c r="T2221" s="8">
        <f>IF(Table1[[#This Row],[pledged]]=0,"no backers",Table1[[#This Row],[pledged]]/Table1[[#This Row],[backers_count]])</f>
        <v>53.421052631578945</v>
      </c>
      <c r="U2221" t="str">
        <f>LEFT(Table1[[#This Row],[Category and Sub-Category]],FIND("/",Table1[[#This Row],[Category and Sub-Category]])-1)</f>
        <v>music</v>
      </c>
      <c r="V2221" t="str">
        <f>RIGHT(Table1[[#This Row],[Category and Sub-Category]],LEN(Table1[[#This Row],[Category and Sub-Category]])-FIND("/",Table1[[#This Row],[Category and Sub-Category]]))</f>
        <v>electronic music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 s="1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>((Table1[[#This Row],[deadline]]/60)/60/24)+DATE(1970,1,1)</f>
        <v>41482.060601851852</v>
      </c>
      <c r="K2222">
        <v>1372296436</v>
      </c>
      <c r="L2222" s="11">
        <f>((Table1[[#This Row],[launched_at]]/60)/60/24)+DATE(1970,1,1)</f>
        <v>41452.060601851852</v>
      </c>
      <c r="M2222">
        <f>MONTH(Table1[[#This Row],[Date Created Conversion]])</f>
        <v>6</v>
      </c>
      <c r="N2222">
        <f>YEAR(Table1[[#This Row],[Date Created Conversion]])</f>
        <v>2013</v>
      </c>
      <c r="O2222" t="b">
        <v>0</v>
      </c>
      <c r="P2222">
        <v>69</v>
      </c>
      <c r="Q2222" t="b">
        <v>1</v>
      </c>
      <c r="R2222" t="s">
        <v>8280</v>
      </c>
      <c r="S2222" s="6">
        <f>Table1[[#This Row],[pledged]]/Table1[[#This Row],[goal]]</f>
        <v>1.0114285714285713</v>
      </c>
      <c r="T2222" s="8">
        <f>IF(Table1[[#This Row],[pledged]]=0,"no backers",Table1[[#This Row],[pledged]]/Table1[[#This Row],[backers_count]])</f>
        <v>51.304347826086953</v>
      </c>
      <c r="U2222" t="str">
        <f>LEFT(Table1[[#This Row],[Category and Sub-Category]],FIND("/",Table1[[#This Row],[Category and Sub-Category]])-1)</f>
        <v>music</v>
      </c>
      <c r="V2222" t="str">
        <f>RIGHT(Table1[[#This Row],[Category and Sub-Category]],LEN(Table1[[#This Row],[Category and Sub-Category]])-FIND("/",Table1[[#This Row],[Category and Sub-Category]]))</f>
        <v>electronic music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 s="12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>((Table1[[#This Row],[deadline]]/60)/60/24)+DATE(1970,1,1)</f>
        <v>42483</v>
      </c>
      <c r="K2223">
        <v>1458748809</v>
      </c>
      <c r="L2223" s="11">
        <f>((Table1[[#This Row],[launched_at]]/60)/60/24)+DATE(1970,1,1)</f>
        <v>42452.666770833333</v>
      </c>
      <c r="M2223">
        <f>MONTH(Table1[[#This Row],[Date Created Conversion]])</f>
        <v>3</v>
      </c>
      <c r="N2223">
        <f>YEAR(Table1[[#This Row],[Date Created Conversion]])</f>
        <v>2016</v>
      </c>
      <c r="O2223" t="b">
        <v>0</v>
      </c>
      <c r="P2223">
        <v>218</v>
      </c>
      <c r="Q2223" t="b">
        <v>1</v>
      </c>
      <c r="R2223" t="s">
        <v>8297</v>
      </c>
      <c r="S2223" s="6">
        <f>Table1[[#This Row],[pledged]]/Table1[[#This Row],[goal]]</f>
        <v>1.0811999999999999</v>
      </c>
      <c r="T2223" s="8">
        <f>IF(Table1[[#This Row],[pledged]]=0,"no backers",Table1[[#This Row],[pledged]]/Table1[[#This Row],[backers_count]])</f>
        <v>37.197247706422019</v>
      </c>
      <c r="U2223" t="str">
        <f>LEFT(Table1[[#This Row],[Category and Sub-Category]],FIND("/",Table1[[#This Row],[Category and Sub-Category]])-1)</f>
        <v>games</v>
      </c>
      <c r="V2223" t="str">
        <f>RIGHT(Table1[[#This Row],[Category and Sub-Category]],LEN(Table1[[#This Row],[Category and Sub-Category]])-FIND("/",Table1[[#This Row],[Category and Sub-Category]]))</f>
        <v>tabletop games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 s="12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>((Table1[[#This Row],[deadline]]/60)/60/24)+DATE(1970,1,1)</f>
        <v>40936.787581018521</v>
      </c>
      <c r="K2224">
        <v>1325184847</v>
      </c>
      <c r="L2224" s="11">
        <f>((Table1[[#This Row],[launched_at]]/60)/60/24)+DATE(1970,1,1)</f>
        <v>40906.787581018521</v>
      </c>
      <c r="M2224">
        <f>MONTH(Table1[[#This Row],[Date Created Conversion]])</f>
        <v>12</v>
      </c>
      <c r="N2224">
        <f>YEAR(Table1[[#This Row],[Date Created Conversion]])</f>
        <v>2011</v>
      </c>
      <c r="O2224" t="b">
        <v>0</v>
      </c>
      <c r="P2224">
        <v>30</v>
      </c>
      <c r="Q2224" t="b">
        <v>1</v>
      </c>
      <c r="R2224" t="s">
        <v>8297</v>
      </c>
      <c r="S2224" s="6">
        <f>Table1[[#This Row],[pledged]]/Table1[[#This Row],[goal]]</f>
        <v>1.6259999999999999</v>
      </c>
      <c r="T2224" s="8">
        <f>IF(Table1[[#This Row],[pledged]]=0,"no backers",Table1[[#This Row],[pledged]]/Table1[[#This Row],[backers_count]])</f>
        <v>27.1</v>
      </c>
      <c r="U2224" t="str">
        <f>LEFT(Table1[[#This Row],[Category and Sub-Category]],FIND("/",Table1[[#This Row],[Category and Sub-Category]])-1)</f>
        <v>games</v>
      </c>
      <c r="V2224" t="str">
        <f>RIGHT(Table1[[#This Row],[Category and Sub-Category]],LEN(Table1[[#This Row],[Category and Sub-Category]])-FIND("/",Table1[[#This Row],[Category and Sub-Category]]))</f>
        <v>tabletop games</v>
      </c>
    </row>
    <row r="2225" spans="1:22" ht="57.6" x14ac:dyDescent="0.3">
      <c r="A2225">
        <v>2223</v>
      </c>
      <c r="B2225" s="3" t="s">
        <v>2224</v>
      </c>
      <c r="C2225" s="3" t="s">
        <v>6333</v>
      </c>
      <c r="D2225" s="12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>((Table1[[#This Row],[deadline]]/60)/60/24)+DATE(1970,1,1)</f>
        <v>42182.640833333338</v>
      </c>
      <c r="K2225">
        <v>1432826568</v>
      </c>
      <c r="L2225" s="11">
        <f>((Table1[[#This Row],[launched_at]]/60)/60/24)+DATE(1970,1,1)</f>
        <v>42152.640833333338</v>
      </c>
      <c r="M2225">
        <f>MONTH(Table1[[#This Row],[Date Created Conversion]])</f>
        <v>5</v>
      </c>
      <c r="N2225">
        <f>YEAR(Table1[[#This Row],[Date Created Conversion]])</f>
        <v>2015</v>
      </c>
      <c r="O2225" t="b">
        <v>0</v>
      </c>
      <c r="P2225">
        <v>100</v>
      </c>
      <c r="Q2225" t="b">
        <v>1</v>
      </c>
      <c r="R2225" t="s">
        <v>8297</v>
      </c>
      <c r="S2225" s="6">
        <f>Table1[[#This Row],[pledged]]/Table1[[#This Row],[goal]]</f>
        <v>1.0580000000000001</v>
      </c>
      <c r="T2225" s="8">
        <f>IF(Table1[[#This Row],[pledged]]=0,"no backers",Table1[[#This Row],[pledged]]/Table1[[#This Row],[backers_count]])</f>
        <v>206.31</v>
      </c>
      <c r="U2225" t="str">
        <f>LEFT(Table1[[#This Row],[Category and Sub-Category]],FIND("/",Table1[[#This Row],[Category and Sub-Category]])-1)</f>
        <v>games</v>
      </c>
      <c r="V2225" t="str">
        <f>RIGHT(Table1[[#This Row],[Category and Sub-Category]],LEN(Table1[[#This Row],[Category and Sub-Category]])-FIND("/",Table1[[#This Row],[Category and Sub-Category]]))</f>
        <v>tabletop games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 s="12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>((Table1[[#This Row],[deadline]]/60)/60/24)+DATE(1970,1,1)</f>
        <v>42672.791666666672</v>
      </c>
      <c r="K2226">
        <v>1475337675</v>
      </c>
      <c r="L2226" s="11">
        <f>((Table1[[#This Row],[launched_at]]/60)/60/24)+DATE(1970,1,1)</f>
        <v>42644.667534722219</v>
      </c>
      <c r="M2226">
        <f>MONTH(Table1[[#This Row],[Date Created Conversion]])</f>
        <v>10</v>
      </c>
      <c r="N2226">
        <f>YEAR(Table1[[#This Row],[Date Created Conversion]])</f>
        <v>2016</v>
      </c>
      <c r="O2226" t="b">
        <v>0</v>
      </c>
      <c r="P2226">
        <v>296</v>
      </c>
      <c r="Q2226" t="b">
        <v>1</v>
      </c>
      <c r="R2226" t="s">
        <v>8297</v>
      </c>
      <c r="S2226" s="6">
        <f>Table1[[#This Row],[pledged]]/Table1[[#This Row],[goal]]</f>
        <v>2.4315000000000002</v>
      </c>
      <c r="T2226" s="8">
        <f>IF(Table1[[#This Row],[pledged]]=0,"no backers",Table1[[#This Row],[pledged]]/Table1[[#This Row],[backers_count]])</f>
        <v>82.145270270270274</v>
      </c>
      <c r="U2226" t="str">
        <f>LEFT(Table1[[#This Row],[Category and Sub-Category]],FIND("/",Table1[[#This Row],[Category and Sub-Category]])-1)</f>
        <v>games</v>
      </c>
      <c r="V2226" t="str">
        <f>RIGHT(Table1[[#This Row],[Category and Sub-Category]],LEN(Table1[[#This Row],[Category and Sub-Category]])-FIND("/",Table1[[#This Row],[Category and Sub-Category]]))</f>
        <v>tabletop games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 s="12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>((Table1[[#This Row],[deadline]]/60)/60/24)+DATE(1970,1,1)</f>
        <v>41903.79184027778</v>
      </c>
      <c r="K2227">
        <v>1408734015</v>
      </c>
      <c r="L2227" s="11">
        <f>((Table1[[#This Row],[launched_at]]/60)/60/24)+DATE(1970,1,1)</f>
        <v>41873.79184027778</v>
      </c>
      <c r="M2227">
        <f>MONTH(Table1[[#This Row],[Date Created Conversion]])</f>
        <v>8</v>
      </c>
      <c r="N2227">
        <f>YEAR(Table1[[#This Row],[Date Created Conversion]])</f>
        <v>2014</v>
      </c>
      <c r="O2227" t="b">
        <v>0</v>
      </c>
      <c r="P2227">
        <v>1204</v>
      </c>
      <c r="Q2227" t="b">
        <v>1</v>
      </c>
      <c r="R2227" t="s">
        <v>8297</v>
      </c>
      <c r="S2227" s="6">
        <f>Table1[[#This Row],[pledged]]/Table1[[#This Row],[goal]]</f>
        <v>9.4483338095238096</v>
      </c>
      <c r="T2227" s="8">
        <f>IF(Table1[[#This Row],[pledged]]=0,"no backers",Table1[[#This Row],[pledged]]/Table1[[#This Row],[backers_count]])</f>
        <v>164.79651993355483</v>
      </c>
      <c r="U2227" t="str">
        <f>LEFT(Table1[[#This Row],[Category and Sub-Category]],FIND("/",Table1[[#This Row],[Category and Sub-Category]])-1)</f>
        <v>games</v>
      </c>
      <c r="V2227" t="str">
        <f>RIGHT(Table1[[#This Row],[Category and Sub-Category]],LEN(Table1[[#This Row],[Category and Sub-Category]])-FIND("/",Table1[[#This Row],[Category and Sub-Category]]))</f>
        <v>tabletop games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 s="12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>((Table1[[#This Row],[deadline]]/60)/60/24)+DATE(1970,1,1)</f>
        <v>42412.207638888889</v>
      </c>
      <c r="K2228">
        <v>1452625822</v>
      </c>
      <c r="L2228" s="11">
        <f>((Table1[[#This Row],[launched_at]]/60)/60/24)+DATE(1970,1,1)</f>
        <v>42381.79886574074</v>
      </c>
      <c r="M2228">
        <f>MONTH(Table1[[#This Row],[Date Created Conversion]])</f>
        <v>1</v>
      </c>
      <c r="N2228">
        <f>YEAR(Table1[[#This Row],[Date Created Conversion]])</f>
        <v>2016</v>
      </c>
      <c r="O2228" t="b">
        <v>0</v>
      </c>
      <c r="P2228">
        <v>321</v>
      </c>
      <c r="Q2228" t="b">
        <v>1</v>
      </c>
      <c r="R2228" t="s">
        <v>8297</v>
      </c>
      <c r="S2228" s="6">
        <f>Table1[[#This Row],[pledged]]/Table1[[#This Row],[goal]]</f>
        <v>1.0846283333333333</v>
      </c>
      <c r="T2228" s="8">
        <f>IF(Table1[[#This Row],[pledged]]=0,"no backers",Table1[[#This Row],[pledged]]/Table1[[#This Row],[backers_count]])</f>
        <v>60.820280373831778</v>
      </c>
      <c r="U2228" t="str">
        <f>LEFT(Table1[[#This Row],[Category and Sub-Category]],FIND("/",Table1[[#This Row],[Category and Sub-Category]])-1)</f>
        <v>games</v>
      </c>
      <c r="V2228" t="str">
        <f>RIGHT(Table1[[#This Row],[Category and Sub-Category]],LEN(Table1[[#This Row],[Category and Sub-Category]])-FIND("/",Table1[[#This Row],[Category and Sub-Category]]))</f>
        <v>tabletop games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 s="12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>((Table1[[#This Row],[deadline]]/60)/60/24)+DATE(1970,1,1)</f>
        <v>41591.849016203705</v>
      </c>
      <c r="K2229">
        <v>1381778555</v>
      </c>
      <c r="L2229" s="11">
        <f>((Table1[[#This Row],[launched_at]]/60)/60/24)+DATE(1970,1,1)</f>
        <v>41561.807349537034</v>
      </c>
      <c r="M2229">
        <f>MONTH(Table1[[#This Row],[Date Created Conversion]])</f>
        <v>10</v>
      </c>
      <c r="N2229">
        <f>YEAR(Table1[[#This Row],[Date Created Conversion]])</f>
        <v>2013</v>
      </c>
      <c r="O2229" t="b">
        <v>0</v>
      </c>
      <c r="P2229">
        <v>301</v>
      </c>
      <c r="Q2229" t="b">
        <v>1</v>
      </c>
      <c r="R2229" t="s">
        <v>8297</v>
      </c>
      <c r="S2229" s="6">
        <f>Table1[[#This Row],[pledged]]/Table1[[#This Row],[goal]]</f>
        <v>1.5737692307692308</v>
      </c>
      <c r="T2229" s="8">
        <f>IF(Table1[[#This Row],[pledged]]=0,"no backers",Table1[[#This Row],[pledged]]/Table1[[#This Row],[backers_count]])</f>
        <v>67.970099667774093</v>
      </c>
      <c r="U2229" t="str">
        <f>LEFT(Table1[[#This Row],[Category and Sub-Category]],FIND("/",Table1[[#This Row],[Category and Sub-Category]])-1)</f>
        <v>games</v>
      </c>
      <c r="V2229" t="str">
        <f>RIGHT(Table1[[#This Row],[Category and Sub-Category]],LEN(Table1[[#This Row],[Category and Sub-Category]])-FIND("/",Table1[[#This Row],[Category and Sub-Category]]))</f>
        <v>tabletop games</v>
      </c>
    </row>
    <row r="2230" spans="1:22" ht="57.6" x14ac:dyDescent="0.3">
      <c r="A2230">
        <v>2228</v>
      </c>
      <c r="B2230" s="3" t="s">
        <v>2229</v>
      </c>
      <c r="C2230" s="3" t="s">
        <v>6338</v>
      </c>
      <c r="D2230" s="12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>((Table1[[#This Row],[deadline]]/60)/60/24)+DATE(1970,1,1)</f>
        <v>42232.278194444443</v>
      </c>
      <c r="K2230">
        <v>1437115236</v>
      </c>
      <c r="L2230" s="11">
        <f>((Table1[[#This Row],[launched_at]]/60)/60/24)+DATE(1970,1,1)</f>
        <v>42202.278194444443</v>
      </c>
      <c r="M2230">
        <f>MONTH(Table1[[#This Row],[Date Created Conversion]])</f>
        <v>7</v>
      </c>
      <c r="N2230">
        <f>YEAR(Table1[[#This Row],[Date Created Conversion]])</f>
        <v>2015</v>
      </c>
      <c r="O2230" t="b">
        <v>0</v>
      </c>
      <c r="P2230">
        <v>144</v>
      </c>
      <c r="Q2230" t="b">
        <v>1</v>
      </c>
      <c r="R2230" t="s">
        <v>8297</v>
      </c>
      <c r="S2230" s="6">
        <f>Table1[[#This Row],[pledged]]/Table1[[#This Row],[goal]]</f>
        <v>11.744899999999999</v>
      </c>
      <c r="T2230" s="8">
        <f>IF(Table1[[#This Row],[pledged]]=0,"no backers",Table1[[#This Row],[pledged]]/Table1[[#This Row],[backers_count]])</f>
        <v>81.561805555555551</v>
      </c>
      <c r="U2230" t="str">
        <f>LEFT(Table1[[#This Row],[Category and Sub-Category]],FIND("/",Table1[[#This Row],[Category and Sub-Category]])-1)</f>
        <v>games</v>
      </c>
      <c r="V2230" t="str">
        <f>RIGHT(Table1[[#This Row],[Category and Sub-Category]],LEN(Table1[[#This Row],[Category and Sub-Category]])-FIND("/",Table1[[#This Row],[Category and Sub-Category]]))</f>
        <v>tabletop games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 s="12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>((Table1[[#This Row],[deadline]]/60)/60/24)+DATE(1970,1,1)</f>
        <v>41520.166666666664</v>
      </c>
      <c r="K2231">
        <v>1375113391</v>
      </c>
      <c r="L2231" s="11">
        <f>((Table1[[#This Row],[launched_at]]/60)/60/24)+DATE(1970,1,1)</f>
        <v>41484.664247685185</v>
      </c>
      <c r="M2231">
        <f>MONTH(Table1[[#This Row],[Date Created Conversion]])</f>
        <v>7</v>
      </c>
      <c r="N2231">
        <f>YEAR(Table1[[#This Row],[Date Created Conversion]])</f>
        <v>2013</v>
      </c>
      <c r="O2231" t="b">
        <v>0</v>
      </c>
      <c r="P2231">
        <v>539</v>
      </c>
      <c r="Q2231" t="b">
        <v>1</v>
      </c>
      <c r="R2231" t="s">
        <v>8297</v>
      </c>
      <c r="S2231" s="6">
        <f>Table1[[#This Row],[pledged]]/Table1[[#This Row],[goal]]</f>
        <v>1.7104755366949576</v>
      </c>
      <c r="T2231" s="8">
        <f>IF(Table1[[#This Row],[pledged]]=0,"no backers",Table1[[#This Row],[pledged]]/Table1[[#This Row],[backers_count]])</f>
        <v>25.42547309833024</v>
      </c>
      <c r="U2231" t="str">
        <f>LEFT(Table1[[#This Row],[Category and Sub-Category]],FIND("/",Table1[[#This Row],[Category and Sub-Category]])-1)</f>
        <v>games</v>
      </c>
      <c r="V2231" t="str">
        <f>RIGHT(Table1[[#This Row],[Category and Sub-Category]],LEN(Table1[[#This Row],[Category and Sub-Category]])-FIND("/",Table1[[#This Row],[Category and Sub-Category]]))</f>
        <v>tabletop games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 s="1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>((Table1[[#This Row],[deadline]]/60)/60/24)+DATE(1970,1,1)</f>
        <v>41754.881099537037</v>
      </c>
      <c r="K2232">
        <v>1395868127</v>
      </c>
      <c r="L2232" s="11">
        <f>((Table1[[#This Row],[launched_at]]/60)/60/24)+DATE(1970,1,1)</f>
        <v>41724.881099537037</v>
      </c>
      <c r="M2232">
        <f>MONTH(Table1[[#This Row],[Date Created Conversion]])</f>
        <v>3</v>
      </c>
      <c r="N2232">
        <f>YEAR(Table1[[#This Row],[Date Created Conversion]])</f>
        <v>2014</v>
      </c>
      <c r="O2232" t="b">
        <v>0</v>
      </c>
      <c r="P2232">
        <v>498</v>
      </c>
      <c r="Q2232" t="b">
        <v>1</v>
      </c>
      <c r="R2232" t="s">
        <v>8297</v>
      </c>
      <c r="S2232" s="6">
        <f>Table1[[#This Row],[pledged]]/Table1[[#This Row],[goal]]</f>
        <v>1.2595294117647058</v>
      </c>
      <c r="T2232" s="8">
        <f>IF(Table1[[#This Row],[pledged]]=0,"no backers",Table1[[#This Row],[pledged]]/Table1[[#This Row],[backers_count]])</f>
        <v>21.497991967871485</v>
      </c>
      <c r="U2232" t="str">
        <f>LEFT(Table1[[#This Row],[Category and Sub-Category]],FIND("/",Table1[[#This Row],[Category and Sub-Category]])-1)</f>
        <v>games</v>
      </c>
      <c r="V2232" t="str">
        <f>RIGHT(Table1[[#This Row],[Category and Sub-Category]],LEN(Table1[[#This Row],[Category and Sub-Category]])-FIND("/",Table1[[#This Row],[Category and Sub-Category]]))</f>
        <v>tabletop games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 s="12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>((Table1[[#This Row],[deadline]]/60)/60/24)+DATE(1970,1,1)</f>
        <v>41450.208333333336</v>
      </c>
      <c r="K2233">
        <v>1369864301</v>
      </c>
      <c r="L2233" s="11">
        <f>((Table1[[#This Row],[launched_at]]/60)/60/24)+DATE(1970,1,1)</f>
        <v>41423.910891203705</v>
      </c>
      <c r="M2233">
        <f>MONTH(Table1[[#This Row],[Date Created Conversion]])</f>
        <v>5</v>
      </c>
      <c r="N2233">
        <f>YEAR(Table1[[#This Row],[Date Created Conversion]])</f>
        <v>2013</v>
      </c>
      <c r="O2233" t="b">
        <v>0</v>
      </c>
      <c r="P2233">
        <v>1113</v>
      </c>
      <c r="Q2233" t="b">
        <v>1</v>
      </c>
      <c r="R2233" t="s">
        <v>8297</v>
      </c>
      <c r="S2233" s="6">
        <f>Table1[[#This Row],[pledged]]/Table1[[#This Row],[goal]]</f>
        <v>12.121296000000001</v>
      </c>
      <c r="T2233" s="8">
        <f>IF(Table1[[#This Row],[pledged]]=0,"no backers",Table1[[#This Row],[pledged]]/Table1[[#This Row],[backers_count]])</f>
        <v>27.226630727762803</v>
      </c>
      <c r="U2233" t="str">
        <f>LEFT(Table1[[#This Row],[Category and Sub-Category]],FIND("/",Table1[[#This Row],[Category and Sub-Category]])-1)</f>
        <v>games</v>
      </c>
      <c r="V2233" t="str">
        <f>RIGHT(Table1[[#This Row],[Category and Sub-Category]],LEN(Table1[[#This Row],[Category and Sub-Category]])-FIND("/",Table1[[#This Row],[Category and Sub-Category]]))</f>
        <v>tabletop games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 s="12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>((Table1[[#This Row],[deadline]]/60)/60/24)+DATE(1970,1,1)</f>
        <v>41839.125</v>
      </c>
      <c r="K2234">
        <v>1402945408</v>
      </c>
      <c r="L2234" s="11">
        <f>((Table1[[#This Row],[launched_at]]/60)/60/24)+DATE(1970,1,1)</f>
        <v>41806.794074074074</v>
      </c>
      <c r="M2234">
        <f>MONTH(Table1[[#This Row],[Date Created Conversion]])</f>
        <v>6</v>
      </c>
      <c r="N2234">
        <f>YEAR(Table1[[#This Row],[Date Created Conversion]])</f>
        <v>2014</v>
      </c>
      <c r="O2234" t="b">
        <v>0</v>
      </c>
      <c r="P2234">
        <v>988</v>
      </c>
      <c r="Q2234" t="b">
        <v>1</v>
      </c>
      <c r="R2234" t="s">
        <v>8297</v>
      </c>
      <c r="S2234" s="6">
        <f>Table1[[#This Row],[pledged]]/Table1[[#This Row],[goal]]</f>
        <v>4.9580000000000002</v>
      </c>
      <c r="T2234" s="8">
        <f>IF(Table1[[#This Row],[pledged]]=0,"no backers",Table1[[#This Row],[pledged]]/Table1[[#This Row],[backers_count]])</f>
        <v>25.091093117408906</v>
      </c>
      <c r="U2234" t="str">
        <f>LEFT(Table1[[#This Row],[Category and Sub-Category]],FIND("/",Table1[[#This Row],[Category and Sub-Category]])-1)</f>
        <v>games</v>
      </c>
      <c r="V2234" t="str">
        <f>RIGHT(Table1[[#This Row],[Category and Sub-Category]],LEN(Table1[[#This Row],[Category and Sub-Category]])-FIND("/",Table1[[#This Row],[Category and Sub-Category]]))</f>
        <v>tabletop games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 s="12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>((Table1[[#This Row],[deadline]]/60)/60/24)+DATE(1970,1,1)</f>
        <v>42352</v>
      </c>
      <c r="K2235">
        <v>1448269539</v>
      </c>
      <c r="L2235" s="11">
        <f>((Table1[[#This Row],[launched_at]]/60)/60/24)+DATE(1970,1,1)</f>
        <v>42331.378923611104</v>
      </c>
      <c r="M2235">
        <f>MONTH(Table1[[#This Row],[Date Created Conversion]])</f>
        <v>11</v>
      </c>
      <c r="N2235">
        <f>YEAR(Table1[[#This Row],[Date Created Conversion]])</f>
        <v>2015</v>
      </c>
      <c r="O2235" t="b">
        <v>0</v>
      </c>
      <c r="P2235">
        <v>391</v>
      </c>
      <c r="Q2235" t="b">
        <v>1</v>
      </c>
      <c r="R2235" t="s">
        <v>8297</v>
      </c>
      <c r="S2235" s="6">
        <f>Table1[[#This Row],[pledged]]/Table1[[#This Row],[goal]]</f>
        <v>3.3203999999999998</v>
      </c>
      <c r="T2235" s="8">
        <f>IF(Table1[[#This Row],[pledged]]=0,"no backers",Table1[[#This Row],[pledged]]/Table1[[#This Row],[backers_count]])</f>
        <v>21.230179028132991</v>
      </c>
      <c r="U2235" t="str">
        <f>LEFT(Table1[[#This Row],[Category and Sub-Category]],FIND("/",Table1[[#This Row],[Category and Sub-Category]])-1)</f>
        <v>games</v>
      </c>
      <c r="V2235" t="str">
        <f>RIGHT(Table1[[#This Row],[Category and Sub-Category]],LEN(Table1[[#This Row],[Category and Sub-Category]])-FIND("/",Table1[[#This Row],[Category and Sub-Category]]))</f>
        <v>tabletop games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 s="12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>((Table1[[#This Row],[deadline]]/60)/60/24)+DATE(1970,1,1)</f>
        <v>42740.824618055558</v>
      </c>
      <c r="K2236">
        <v>1481053647</v>
      </c>
      <c r="L2236" s="11">
        <f>((Table1[[#This Row],[launched_at]]/60)/60/24)+DATE(1970,1,1)</f>
        <v>42710.824618055558</v>
      </c>
      <c r="M2236">
        <f>MONTH(Table1[[#This Row],[Date Created Conversion]])</f>
        <v>12</v>
      </c>
      <c r="N2236">
        <f>YEAR(Table1[[#This Row],[Date Created Conversion]])</f>
        <v>2016</v>
      </c>
      <c r="O2236" t="b">
        <v>0</v>
      </c>
      <c r="P2236">
        <v>28</v>
      </c>
      <c r="Q2236" t="b">
        <v>1</v>
      </c>
      <c r="R2236" t="s">
        <v>8297</v>
      </c>
      <c r="S2236" s="6">
        <f>Table1[[#This Row],[pledged]]/Table1[[#This Row],[goal]]</f>
        <v>11.65</v>
      </c>
      <c r="T2236" s="8">
        <f>IF(Table1[[#This Row],[pledged]]=0,"no backers",Table1[[#This Row],[pledged]]/Table1[[#This Row],[backers_count]])</f>
        <v>41.607142857142854</v>
      </c>
      <c r="U2236" t="str">
        <f>LEFT(Table1[[#This Row],[Category and Sub-Category]],FIND("/",Table1[[#This Row],[Category and Sub-Category]])-1)</f>
        <v>games</v>
      </c>
      <c r="V2236" t="str">
        <f>RIGHT(Table1[[#This Row],[Category and Sub-Category]],LEN(Table1[[#This Row],[Category and Sub-Category]])-FIND("/",Table1[[#This Row],[Category and Sub-Category]]))</f>
        <v>tabletop games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 s="12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>((Table1[[#This Row],[deadline]]/60)/60/24)+DATE(1970,1,1)</f>
        <v>42091.980451388896</v>
      </c>
      <c r="K2237">
        <v>1424997111</v>
      </c>
      <c r="L2237" s="11">
        <f>((Table1[[#This Row],[launched_at]]/60)/60/24)+DATE(1970,1,1)</f>
        <v>42062.022118055553</v>
      </c>
      <c r="M2237">
        <f>MONTH(Table1[[#This Row],[Date Created Conversion]])</f>
        <v>2</v>
      </c>
      <c r="N2237">
        <f>YEAR(Table1[[#This Row],[Date Created Conversion]])</f>
        <v>2015</v>
      </c>
      <c r="O2237" t="b">
        <v>0</v>
      </c>
      <c r="P2237">
        <v>147</v>
      </c>
      <c r="Q2237" t="b">
        <v>1</v>
      </c>
      <c r="R2237" t="s">
        <v>8297</v>
      </c>
      <c r="S2237" s="6">
        <f>Table1[[#This Row],[pledged]]/Table1[[#This Row],[goal]]</f>
        <v>1.5331538461538461</v>
      </c>
      <c r="T2237" s="8">
        <f>IF(Table1[[#This Row],[pledged]]=0,"no backers",Table1[[#This Row],[pledged]]/Table1[[#This Row],[backers_count]])</f>
        <v>135.58503401360545</v>
      </c>
      <c r="U2237" t="str">
        <f>LEFT(Table1[[#This Row],[Category and Sub-Category]],FIND("/",Table1[[#This Row],[Category and Sub-Category]])-1)</f>
        <v>games</v>
      </c>
      <c r="V2237" t="str">
        <f>RIGHT(Table1[[#This Row],[Category and Sub-Category]],LEN(Table1[[#This Row],[Category and Sub-Category]])-FIND("/",Table1[[#This Row],[Category and Sub-Category]]))</f>
        <v>tabletop games</v>
      </c>
    </row>
    <row r="2238" spans="1:22" ht="43.2" x14ac:dyDescent="0.3">
      <c r="A2238">
        <v>2236</v>
      </c>
      <c r="B2238" s="3" t="s">
        <v>2237</v>
      </c>
      <c r="C2238" s="3" t="s">
        <v>6346</v>
      </c>
      <c r="D2238" s="12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>((Table1[[#This Row],[deadline]]/60)/60/24)+DATE(1970,1,1)</f>
        <v>42401.617164351846</v>
      </c>
      <c r="K2238">
        <v>1451746123</v>
      </c>
      <c r="L2238" s="11">
        <f>((Table1[[#This Row],[launched_at]]/60)/60/24)+DATE(1970,1,1)</f>
        <v>42371.617164351846</v>
      </c>
      <c r="M2238">
        <f>MONTH(Table1[[#This Row],[Date Created Conversion]])</f>
        <v>1</v>
      </c>
      <c r="N2238">
        <f>YEAR(Table1[[#This Row],[Date Created Conversion]])</f>
        <v>2016</v>
      </c>
      <c r="O2238" t="b">
        <v>0</v>
      </c>
      <c r="P2238">
        <v>680</v>
      </c>
      <c r="Q2238" t="b">
        <v>1</v>
      </c>
      <c r="R2238" t="s">
        <v>8297</v>
      </c>
      <c r="S2238" s="6">
        <f>Table1[[#This Row],[pledged]]/Table1[[#This Row],[goal]]</f>
        <v>5.3710714285714287</v>
      </c>
      <c r="T2238" s="8">
        <f>IF(Table1[[#This Row],[pledged]]=0,"no backers",Table1[[#This Row],[pledged]]/Table1[[#This Row],[backers_count]])</f>
        <v>22.116176470588236</v>
      </c>
      <c r="U2238" t="str">
        <f>LEFT(Table1[[#This Row],[Category and Sub-Category]],FIND("/",Table1[[#This Row],[Category and Sub-Category]])-1)</f>
        <v>games</v>
      </c>
      <c r="V2238" t="str">
        <f>RIGHT(Table1[[#This Row],[Category and Sub-Category]],LEN(Table1[[#This Row],[Category and Sub-Category]])-FIND("/",Table1[[#This Row],[Category and Sub-Category]]))</f>
        <v>tabletop games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 s="12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>((Table1[[#This Row],[deadline]]/60)/60/24)+DATE(1970,1,1)</f>
        <v>41955.332638888889</v>
      </c>
      <c r="K2239">
        <v>1412294683</v>
      </c>
      <c r="L2239" s="11">
        <f>((Table1[[#This Row],[launched_at]]/60)/60/24)+DATE(1970,1,1)</f>
        <v>41915.003275462965</v>
      </c>
      <c r="M2239">
        <f>MONTH(Table1[[#This Row],[Date Created Conversion]])</f>
        <v>10</v>
      </c>
      <c r="N2239">
        <f>YEAR(Table1[[#This Row],[Date Created Conversion]])</f>
        <v>2014</v>
      </c>
      <c r="O2239" t="b">
        <v>0</v>
      </c>
      <c r="P2239">
        <v>983</v>
      </c>
      <c r="Q2239" t="b">
        <v>1</v>
      </c>
      <c r="R2239" t="s">
        <v>8297</v>
      </c>
      <c r="S2239" s="6">
        <f>Table1[[#This Row],[pledged]]/Table1[[#This Row],[goal]]</f>
        <v>3.5292777777777777</v>
      </c>
      <c r="T2239" s="8">
        <f>IF(Table1[[#This Row],[pledged]]=0,"no backers",Table1[[#This Row],[pledged]]/Table1[[#This Row],[backers_count]])</f>
        <v>64.625635808748726</v>
      </c>
      <c r="U2239" t="str">
        <f>LEFT(Table1[[#This Row],[Category and Sub-Category]],FIND("/",Table1[[#This Row],[Category and Sub-Category]])-1)</f>
        <v>games</v>
      </c>
      <c r="V2239" t="str">
        <f>RIGHT(Table1[[#This Row],[Category and Sub-Category]],LEN(Table1[[#This Row],[Category and Sub-Category]])-FIND("/",Table1[[#This Row],[Category and Sub-Category]]))</f>
        <v>tabletop games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 s="12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>((Table1[[#This Row],[deadline]]/60)/60/24)+DATE(1970,1,1)</f>
        <v>42804.621712962966</v>
      </c>
      <c r="K2240">
        <v>1486565716</v>
      </c>
      <c r="L2240" s="11">
        <f>((Table1[[#This Row],[launched_at]]/60)/60/24)+DATE(1970,1,1)</f>
        <v>42774.621712962966</v>
      </c>
      <c r="M2240">
        <f>MONTH(Table1[[#This Row],[Date Created Conversion]])</f>
        <v>2</v>
      </c>
      <c r="N2240">
        <f>YEAR(Table1[[#This Row],[Date Created Conversion]])</f>
        <v>2017</v>
      </c>
      <c r="O2240" t="b">
        <v>0</v>
      </c>
      <c r="P2240">
        <v>79</v>
      </c>
      <c r="Q2240" t="b">
        <v>1</v>
      </c>
      <c r="R2240" t="s">
        <v>8297</v>
      </c>
      <c r="S2240" s="6">
        <f>Table1[[#This Row],[pledged]]/Table1[[#This Row],[goal]]</f>
        <v>1.3740000000000001</v>
      </c>
      <c r="T2240" s="8">
        <f>IF(Table1[[#This Row],[pledged]]=0,"no backers",Table1[[#This Row],[pledged]]/Table1[[#This Row],[backers_count]])</f>
        <v>69.569620253164558</v>
      </c>
      <c r="U2240" t="str">
        <f>LEFT(Table1[[#This Row],[Category and Sub-Category]],FIND("/",Table1[[#This Row],[Category and Sub-Category]])-1)</f>
        <v>games</v>
      </c>
      <c r="V2240" t="str">
        <f>RIGHT(Table1[[#This Row],[Category and Sub-Category]],LEN(Table1[[#This Row],[Category and Sub-Category]])-FIND("/",Table1[[#This Row],[Category and Sub-Category]]))</f>
        <v>tabletop games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 s="12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>((Table1[[#This Row],[deadline]]/60)/60/24)+DATE(1970,1,1)</f>
        <v>41609.168055555558</v>
      </c>
      <c r="K2241">
        <v>1382742014</v>
      </c>
      <c r="L2241" s="11">
        <f>((Table1[[#This Row],[launched_at]]/60)/60/24)+DATE(1970,1,1)</f>
        <v>41572.958495370374</v>
      </c>
      <c r="M2241">
        <f>MONTH(Table1[[#This Row],[Date Created Conversion]])</f>
        <v>10</v>
      </c>
      <c r="N2241">
        <f>YEAR(Table1[[#This Row],[Date Created Conversion]])</f>
        <v>2013</v>
      </c>
      <c r="O2241" t="b">
        <v>0</v>
      </c>
      <c r="P2241">
        <v>426</v>
      </c>
      <c r="Q2241" t="b">
        <v>1</v>
      </c>
      <c r="R2241" t="s">
        <v>8297</v>
      </c>
      <c r="S2241" s="6">
        <f>Table1[[#This Row],[pledged]]/Table1[[#This Row],[goal]]</f>
        <v>1.2802667999999999</v>
      </c>
      <c r="T2241" s="8">
        <f>IF(Table1[[#This Row],[pledged]]=0,"no backers",Table1[[#This Row],[pledged]]/Table1[[#This Row],[backers_count]])</f>
        <v>75.133028169014082</v>
      </c>
      <c r="U2241" t="str">
        <f>LEFT(Table1[[#This Row],[Category and Sub-Category]],FIND("/",Table1[[#This Row],[Category and Sub-Category]])-1)</f>
        <v>games</v>
      </c>
      <c r="V2241" t="str">
        <f>RIGHT(Table1[[#This Row],[Category and Sub-Category]],LEN(Table1[[#This Row],[Category and Sub-Category]])-FIND("/",Table1[[#This Row],[Category and Sub-Category]]))</f>
        <v>tabletop games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 s="1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>((Table1[[#This Row],[deadline]]/60)/60/24)+DATE(1970,1,1)</f>
        <v>42482.825740740736</v>
      </c>
      <c r="K2242">
        <v>1458762544</v>
      </c>
      <c r="L2242" s="11">
        <f>((Table1[[#This Row],[launched_at]]/60)/60/24)+DATE(1970,1,1)</f>
        <v>42452.825740740736</v>
      </c>
      <c r="M2242">
        <f>MONTH(Table1[[#This Row],[Date Created Conversion]])</f>
        <v>3</v>
      </c>
      <c r="N2242">
        <f>YEAR(Table1[[#This Row],[Date Created Conversion]])</f>
        <v>2016</v>
      </c>
      <c r="O2242" t="b">
        <v>0</v>
      </c>
      <c r="P2242">
        <v>96</v>
      </c>
      <c r="Q2242" t="b">
        <v>1</v>
      </c>
      <c r="R2242" t="s">
        <v>8297</v>
      </c>
      <c r="S2242" s="6">
        <f>Table1[[#This Row],[pledged]]/Table1[[#This Row],[goal]]</f>
        <v>2.7067999999999999</v>
      </c>
      <c r="T2242" s="8">
        <f>IF(Table1[[#This Row],[pledged]]=0,"no backers",Table1[[#This Row],[pledged]]/Table1[[#This Row],[backers_count]])</f>
        <v>140.97916666666666</v>
      </c>
      <c r="U2242" t="str">
        <f>LEFT(Table1[[#This Row],[Category and Sub-Category]],FIND("/",Table1[[#This Row],[Category and Sub-Category]])-1)</f>
        <v>games</v>
      </c>
      <c r="V2242" t="str">
        <f>RIGHT(Table1[[#This Row],[Category and Sub-Category]],LEN(Table1[[#This Row],[Category and Sub-Category]])-FIND("/",Table1[[#This Row],[Category and Sub-Category]]))</f>
        <v>tabletop games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 s="12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>((Table1[[#This Row],[deadline]]/60)/60/24)+DATE(1970,1,1)</f>
        <v>42796.827546296292</v>
      </c>
      <c r="K2243">
        <v>1485892300</v>
      </c>
      <c r="L2243" s="11">
        <f>((Table1[[#This Row],[launched_at]]/60)/60/24)+DATE(1970,1,1)</f>
        <v>42766.827546296292</v>
      </c>
      <c r="M2243">
        <f>MONTH(Table1[[#This Row],[Date Created Conversion]])</f>
        <v>1</v>
      </c>
      <c r="N2243">
        <f>YEAR(Table1[[#This Row],[Date Created Conversion]])</f>
        <v>2017</v>
      </c>
      <c r="O2243" t="b">
        <v>0</v>
      </c>
      <c r="P2243">
        <v>163</v>
      </c>
      <c r="Q2243" t="b">
        <v>1</v>
      </c>
      <c r="R2243" t="s">
        <v>8297</v>
      </c>
      <c r="S2243" s="6">
        <f>Table1[[#This Row],[pledged]]/Table1[[#This Row],[goal]]</f>
        <v>8.0640000000000001</v>
      </c>
      <c r="T2243" s="8">
        <f>IF(Table1[[#This Row],[pledged]]=0,"no backers",Table1[[#This Row],[pledged]]/Table1[[#This Row],[backers_count]])</f>
        <v>49.472392638036808</v>
      </c>
      <c r="U2243" t="str">
        <f>LEFT(Table1[[#This Row],[Category and Sub-Category]],FIND("/",Table1[[#This Row],[Category and Sub-Category]])-1)</f>
        <v>games</v>
      </c>
      <c r="V2243" t="str">
        <f>RIGHT(Table1[[#This Row],[Category and Sub-Category]],LEN(Table1[[#This Row],[Category and Sub-Category]])-FIND("/",Table1[[#This Row],[Category and Sub-Category]]))</f>
        <v>tabletop games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 s="12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>((Table1[[#This Row],[deadline]]/60)/60/24)+DATE(1970,1,1)</f>
        <v>41605.126388888886</v>
      </c>
      <c r="K2244">
        <v>1382449733</v>
      </c>
      <c r="L2244" s="11">
        <f>((Table1[[#This Row],[launched_at]]/60)/60/24)+DATE(1970,1,1)</f>
        <v>41569.575613425928</v>
      </c>
      <c r="M2244">
        <f>MONTH(Table1[[#This Row],[Date Created Conversion]])</f>
        <v>10</v>
      </c>
      <c r="N2244">
        <f>YEAR(Table1[[#This Row],[Date Created Conversion]])</f>
        <v>2013</v>
      </c>
      <c r="O2244" t="b">
        <v>0</v>
      </c>
      <c r="P2244">
        <v>2525</v>
      </c>
      <c r="Q2244" t="b">
        <v>1</v>
      </c>
      <c r="R2244" t="s">
        <v>8297</v>
      </c>
      <c r="S2244" s="6">
        <f>Table1[[#This Row],[pledged]]/Table1[[#This Row],[goal]]</f>
        <v>13.600976000000001</v>
      </c>
      <c r="T2244" s="8">
        <f>IF(Table1[[#This Row],[pledged]]=0,"no backers",Table1[[#This Row],[pledged]]/Table1[[#This Row],[backers_count]])</f>
        <v>53.865251485148519</v>
      </c>
      <c r="U2244" t="str">
        <f>LEFT(Table1[[#This Row],[Category and Sub-Category]],FIND("/",Table1[[#This Row],[Category and Sub-Category]])-1)</f>
        <v>games</v>
      </c>
      <c r="V2244" t="str">
        <f>RIGHT(Table1[[#This Row],[Category and Sub-Category]],LEN(Table1[[#This Row],[Category and Sub-Category]])-FIND("/",Table1[[#This Row],[Category and Sub-Category]]))</f>
        <v>tabletop games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 s="12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>((Table1[[#This Row],[deadline]]/60)/60/24)+DATE(1970,1,1)</f>
        <v>42807.125</v>
      </c>
      <c r="K2245">
        <v>1488823290</v>
      </c>
      <c r="L2245" s="11">
        <f>((Table1[[#This Row],[launched_at]]/60)/60/24)+DATE(1970,1,1)</f>
        <v>42800.751041666663</v>
      </c>
      <c r="M2245">
        <f>MONTH(Table1[[#This Row],[Date Created Conversion]])</f>
        <v>3</v>
      </c>
      <c r="N2245">
        <f>YEAR(Table1[[#This Row],[Date Created Conversion]])</f>
        <v>2017</v>
      </c>
      <c r="O2245" t="b">
        <v>0</v>
      </c>
      <c r="P2245">
        <v>2035</v>
      </c>
      <c r="Q2245" t="b">
        <v>1</v>
      </c>
      <c r="R2245" t="s">
        <v>8297</v>
      </c>
      <c r="S2245" s="6">
        <f>Table1[[#This Row],[pledged]]/Table1[[#This Row],[goal]]</f>
        <v>9302.5</v>
      </c>
      <c r="T2245" s="8">
        <f>IF(Table1[[#This Row],[pledged]]=0,"no backers",Table1[[#This Row],[pledged]]/Table1[[#This Row],[backers_count]])</f>
        <v>4.5712530712530715</v>
      </c>
      <c r="U2245" t="str">
        <f>LEFT(Table1[[#This Row],[Category and Sub-Category]],FIND("/",Table1[[#This Row],[Category and Sub-Category]])-1)</f>
        <v>games</v>
      </c>
      <c r="V2245" t="str">
        <f>RIGHT(Table1[[#This Row],[Category and Sub-Category]],LEN(Table1[[#This Row],[Category and Sub-Category]])-FIND("/",Table1[[#This Row],[Category and Sub-Category]]))</f>
        <v>tabletop games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 s="12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>((Table1[[#This Row],[deadline]]/60)/60/24)+DATE(1970,1,1)</f>
        <v>42659.854166666672</v>
      </c>
      <c r="K2246">
        <v>1475609946</v>
      </c>
      <c r="L2246" s="11">
        <f>((Table1[[#This Row],[launched_at]]/60)/60/24)+DATE(1970,1,1)</f>
        <v>42647.818819444445</v>
      </c>
      <c r="M2246">
        <f>MONTH(Table1[[#This Row],[Date Created Conversion]])</f>
        <v>10</v>
      </c>
      <c r="N2246">
        <f>YEAR(Table1[[#This Row],[Date Created Conversion]])</f>
        <v>2016</v>
      </c>
      <c r="O2246" t="b">
        <v>0</v>
      </c>
      <c r="P2246">
        <v>290</v>
      </c>
      <c r="Q2246" t="b">
        <v>1</v>
      </c>
      <c r="R2246" t="s">
        <v>8297</v>
      </c>
      <c r="S2246" s="6">
        <f>Table1[[#This Row],[pledged]]/Table1[[#This Row],[goal]]</f>
        <v>3.7702</v>
      </c>
      <c r="T2246" s="8">
        <f>IF(Table1[[#This Row],[pledged]]=0,"no backers",Table1[[#This Row],[pledged]]/Table1[[#This Row],[backers_count]])</f>
        <v>65.00344827586207</v>
      </c>
      <c r="U2246" t="str">
        <f>LEFT(Table1[[#This Row],[Category and Sub-Category]],FIND("/",Table1[[#This Row],[Category and Sub-Category]])-1)</f>
        <v>games</v>
      </c>
      <c r="V2246" t="str">
        <f>RIGHT(Table1[[#This Row],[Category and Sub-Category]],LEN(Table1[[#This Row],[Category and Sub-Category]])-FIND("/",Table1[[#This Row],[Category and Sub-Category]]))</f>
        <v>tabletop games</v>
      </c>
    </row>
    <row r="2247" spans="1:22" ht="43.2" x14ac:dyDescent="0.3">
      <c r="A2247">
        <v>2245</v>
      </c>
      <c r="B2247" s="3" t="s">
        <v>2246</v>
      </c>
      <c r="C2247" s="3" t="s">
        <v>6355</v>
      </c>
      <c r="D2247" s="12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>((Table1[[#This Row],[deadline]]/60)/60/24)+DATE(1970,1,1)</f>
        <v>41691.75</v>
      </c>
      <c r="K2247">
        <v>1390323617</v>
      </c>
      <c r="L2247" s="11">
        <f>((Table1[[#This Row],[launched_at]]/60)/60/24)+DATE(1970,1,1)</f>
        <v>41660.708530092597</v>
      </c>
      <c r="M2247">
        <f>MONTH(Table1[[#This Row],[Date Created Conversion]])</f>
        <v>1</v>
      </c>
      <c r="N2247">
        <f>YEAR(Table1[[#This Row],[Date Created Conversion]])</f>
        <v>2014</v>
      </c>
      <c r="O2247" t="b">
        <v>0</v>
      </c>
      <c r="P2247">
        <v>1980</v>
      </c>
      <c r="Q2247" t="b">
        <v>1</v>
      </c>
      <c r="R2247" t="s">
        <v>8297</v>
      </c>
      <c r="S2247" s="6">
        <f>Table1[[#This Row],[pledged]]/Table1[[#This Row],[goal]]</f>
        <v>26.47025</v>
      </c>
      <c r="T2247" s="8">
        <f>IF(Table1[[#This Row],[pledged]]=0,"no backers",Table1[[#This Row],[pledged]]/Table1[[#This Row],[backers_count]])</f>
        <v>53.475252525252522</v>
      </c>
      <c r="U2247" t="str">
        <f>LEFT(Table1[[#This Row],[Category and Sub-Category]],FIND("/",Table1[[#This Row],[Category and Sub-Category]])-1)</f>
        <v>games</v>
      </c>
      <c r="V2247" t="str">
        <f>RIGHT(Table1[[#This Row],[Category and Sub-Category]],LEN(Table1[[#This Row],[Category and Sub-Category]])-FIND("/",Table1[[#This Row],[Category and Sub-Category]]))</f>
        <v>tabletop games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 s="12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>((Table1[[#This Row],[deadline]]/60)/60/24)+DATE(1970,1,1)</f>
        <v>42251.79178240741</v>
      </c>
      <c r="K2248">
        <v>1438801210</v>
      </c>
      <c r="L2248" s="11">
        <f>((Table1[[#This Row],[launched_at]]/60)/60/24)+DATE(1970,1,1)</f>
        <v>42221.79178240741</v>
      </c>
      <c r="M2248">
        <f>MONTH(Table1[[#This Row],[Date Created Conversion]])</f>
        <v>8</v>
      </c>
      <c r="N2248">
        <f>YEAR(Table1[[#This Row],[Date Created Conversion]])</f>
        <v>2015</v>
      </c>
      <c r="O2248" t="b">
        <v>0</v>
      </c>
      <c r="P2248">
        <v>57</v>
      </c>
      <c r="Q2248" t="b">
        <v>1</v>
      </c>
      <c r="R2248" t="s">
        <v>8297</v>
      </c>
      <c r="S2248" s="6">
        <f>Table1[[#This Row],[pledged]]/Table1[[#This Row],[goal]]</f>
        <v>1.0012000000000001</v>
      </c>
      <c r="T2248" s="8">
        <f>IF(Table1[[#This Row],[pledged]]=0,"no backers",Table1[[#This Row],[pledged]]/Table1[[#This Row],[backers_count]])</f>
        <v>43.912280701754383</v>
      </c>
      <c r="U2248" t="str">
        <f>LEFT(Table1[[#This Row],[Category and Sub-Category]],FIND("/",Table1[[#This Row],[Category and Sub-Category]])-1)</f>
        <v>games</v>
      </c>
      <c r="V2248" t="str">
        <f>RIGHT(Table1[[#This Row],[Category and Sub-Category]],LEN(Table1[[#This Row],[Category and Sub-Category]])-FIND("/",Table1[[#This Row],[Category and Sub-Category]]))</f>
        <v>tabletop games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 s="12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>((Table1[[#This Row],[deadline]]/60)/60/24)+DATE(1970,1,1)</f>
        <v>42214.666261574079</v>
      </c>
      <c r="K2249">
        <v>1436975965</v>
      </c>
      <c r="L2249" s="11">
        <f>((Table1[[#This Row],[launched_at]]/60)/60/24)+DATE(1970,1,1)</f>
        <v>42200.666261574079</v>
      </c>
      <c r="M2249">
        <f>MONTH(Table1[[#This Row],[Date Created Conversion]])</f>
        <v>7</v>
      </c>
      <c r="N2249">
        <f>YEAR(Table1[[#This Row],[Date Created Conversion]])</f>
        <v>2015</v>
      </c>
      <c r="O2249" t="b">
        <v>0</v>
      </c>
      <c r="P2249">
        <v>380</v>
      </c>
      <c r="Q2249" t="b">
        <v>1</v>
      </c>
      <c r="R2249" t="s">
        <v>8297</v>
      </c>
      <c r="S2249" s="6">
        <f>Table1[[#This Row],[pledged]]/Table1[[#This Row],[goal]]</f>
        <v>1.0445405405405406</v>
      </c>
      <c r="T2249" s="8">
        <f>IF(Table1[[#This Row],[pledged]]=0,"no backers",Table1[[#This Row],[pledged]]/Table1[[#This Row],[backers_count]])</f>
        <v>50.852631578947367</v>
      </c>
      <c r="U2249" t="str">
        <f>LEFT(Table1[[#This Row],[Category and Sub-Category]],FIND("/",Table1[[#This Row],[Category and Sub-Category]])-1)</f>
        <v>games</v>
      </c>
      <c r="V2249" t="str">
        <f>RIGHT(Table1[[#This Row],[Category and Sub-Category]],LEN(Table1[[#This Row],[Category and Sub-Category]])-FIND("/",Table1[[#This Row],[Category and Sub-Category]]))</f>
        <v>tabletop games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 s="12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>((Table1[[#This Row],[deadline]]/60)/60/24)+DATE(1970,1,1)</f>
        <v>42718.875902777778</v>
      </c>
      <c r="K2250">
        <v>1479157278</v>
      </c>
      <c r="L2250" s="11">
        <f>((Table1[[#This Row],[launched_at]]/60)/60/24)+DATE(1970,1,1)</f>
        <v>42688.875902777778</v>
      </c>
      <c r="M2250">
        <f>MONTH(Table1[[#This Row],[Date Created Conversion]])</f>
        <v>11</v>
      </c>
      <c r="N2250">
        <f>YEAR(Table1[[#This Row],[Date Created Conversion]])</f>
        <v>2016</v>
      </c>
      <c r="O2250" t="b">
        <v>0</v>
      </c>
      <c r="P2250">
        <v>128</v>
      </c>
      <c r="Q2250" t="b">
        <v>1</v>
      </c>
      <c r="R2250" t="s">
        <v>8297</v>
      </c>
      <c r="S2250" s="6">
        <f>Table1[[#This Row],[pledged]]/Table1[[#This Row],[goal]]</f>
        <v>1.0721428571428571</v>
      </c>
      <c r="T2250" s="8">
        <f>IF(Table1[[#This Row],[pledged]]=0,"no backers",Table1[[#This Row],[pledged]]/Table1[[#This Row],[backers_count]])</f>
        <v>58.6328125</v>
      </c>
      <c r="U2250" t="str">
        <f>LEFT(Table1[[#This Row],[Category and Sub-Category]],FIND("/",Table1[[#This Row],[Category and Sub-Category]])-1)</f>
        <v>games</v>
      </c>
      <c r="V2250" t="str">
        <f>RIGHT(Table1[[#This Row],[Category and Sub-Category]],LEN(Table1[[#This Row],[Category and Sub-Category]])-FIND("/",Table1[[#This Row],[Category and Sub-Category]]))</f>
        <v>tabletop games</v>
      </c>
    </row>
    <row r="2251" spans="1:22" ht="43.2" x14ac:dyDescent="0.3">
      <c r="A2251">
        <v>2249</v>
      </c>
      <c r="B2251" s="3" t="s">
        <v>2250</v>
      </c>
      <c r="C2251" s="3" t="s">
        <v>6359</v>
      </c>
      <c r="D2251" s="12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>((Table1[[#This Row],[deadline]]/60)/60/24)+DATE(1970,1,1)</f>
        <v>41366.661631944444</v>
      </c>
      <c r="K2251">
        <v>1362329565</v>
      </c>
      <c r="L2251" s="11">
        <f>((Table1[[#This Row],[launched_at]]/60)/60/24)+DATE(1970,1,1)</f>
        <v>41336.703298611108</v>
      </c>
      <c r="M2251">
        <f>MONTH(Table1[[#This Row],[Date Created Conversion]])</f>
        <v>3</v>
      </c>
      <c r="N2251">
        <f>YEAR(Table1[[#This Row],[Date Created Conversion]])</f>
        <v>2013</v>
      </c>
      <c r="O2251" t="b">
        <v>0</v>
      </c>
      <c r="P2251">
        <v>180</v>
      </c>
      <c r="Q2251" t="b">
        <v>1</v>
      </c>
      <c r="R2251" t="s">
        <v>8297</v>
      </c>
      <c r="S2251" s="6">
        <f>Table1[[#This Row],[pledged]]/Table1[[#This Row],[goal]]</f>
        <v>1.6877142857142857</v>
      </c>
      <c r="T2251" s="8">
        <f>IF(Table1[[#This Row],[pledged]]=0,"no backers",Table1[[#This Row],[pledged]]/Table1[[#This Row],[backers_count]])</f>
        <v>32.81666666666667</v>
      </c>
      <c r="U2251" t="str">
        <f>LEFT(Table1[[#This Row],[Category and Sub-Category]],FIND("/",Table1[[#This Row],[Category and Sub-Category]])-1)</f>
        <v>games</v>
      </c>
      <c r="V2251" t="str">
        <f>RIGHT(Table1[[#This Row],[Category and Sub-Category]],LEN(Table1[[#This Row],[Category and Sub-Category]])-FIND("/",Table1[[#This Row],[Category and Sub-Category]]))</f>
        <v>tabletop games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 s="1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>((Table1[[#This Row],[deadline]]/60)/60/24)+DATE(1970,1,1)</f>
        <v>42707.0471412037</v>
      </c>
      <c r="K2252">
        <v>1478131673</v>
      </c>
      <c r="L2252" s="11">
        <f>((Table1[[#This Row],[launched_at]]/60)/60/24)+DATE(1970,1,1)</f>
        <v>42677.005474537036</v>
      </c>
      <c r="M2252">
        <f>MONTH(Table1[[#This Row],[Date Created Conversion]])</f>
        <v>11</v>
      </c>
      <c r="N2252">
        <f>YEAR(Table1[[#This Row],[Date Created Conversion]])</f>
        <v>2016</v>
      </c>
      <c r="O2252" t="b">
        <v>0</v>
      </c>
      <c r="P2252">
        <v>571</v>
      </c>
      <c r="Q2252" t="b">
        <v>1</v>
      </c>
      <c r="R2252" t="s">
        <v>8297</v>
      </c>
      <c r="S2252" s="6">
        <f>Table1[[#This Row],[pledged]]/Table1[[#This Row],[goal]]</f>
        <v>9.7511200000000002</v>
      </c>
      <c r="T2252" s="8">
        <f>IF(Table1[[#This Row],[pledged]]=0,"no backers",Table1[[#This Row],[pledged]]/Table1[[#This Row],[backers_count]])</f>
        <v>426.93169877408059</v>
      </c>
      <c r="U2252" t="str">
        <f>LEFT(Table1[[#This Row],[Category and Sub-Category]],FIND("/",Table1[[#This Row],[Category and Sub-Category]])-1)</f>
        <v>games</v>
      </c>
      <c r="V2252" t="str">
        <f>RIGHT(Table1[[#This Row],[Category and Sub-Category]],LEN(Table1[[#This Row],[Category and Sub-Category]])-FIND("/",Table1[[#This Row],[Category and Sub-Category]]))</f>
        <v>tabletop games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 s="12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>((Table1[[#This Row],[deadline]]/60)/60/24)+DATE(1970,1,1)</f>
        <v>41867.34579861111</v>
      </c>
      <c r="K2253">
        <v>1406362677</v>
      </c>
      <c r="L2253" s="11">
        <f>((Table1[[#This Row],[launched_at]]/60)/60/24)+DATE(1970,1,1)</f>
        <v>41846.34579861111</v>
      </c>
      <c r="M2253">
        <f>MONTH(Table1[[#This Row],[Date Created Conversion]])</f>
        <v>7</v>
      </c>
      <c r="N2253">
        <f>YEAR(Table1[[#This Row],[Date Created Conversion]])</f>
        <v>2014</v>
      </c>
      <c r="O2253" t="b">
        <v>0</v>
      </c>
      <c r="P2253">
        <v>480</v>
      </c>
      <c r="Q2253" t="b">
        <v>1</v>
      </c>
      <c r="R2253" t="s">
        <v>8297</v>
      </c>
      <c r="S2253" s="6">
        <f>Table1[[#This Row],[pledged]]/Table1[[#This Row],[goal]]</f>
        <v>1.3444929411764706</v>
      </c>
      <c r="T2253" s="8">
        <f>IF(Table1[[#This Row],[pledged]]=0,"no backers",Table1[[#This Row],[pledged]]/Table1[[#This Row],[backers_count]])</f>
        <v>23.808729166666669</v>
      </c>
      <c r="U2253" t="str">
        <f>LEFT(Table1[[#This Row],[Category and Sub-Category]],FIND("/",Table1[[#This Row],[Category and Sub-Category]])-1)</f>
        <v>games</v>
      </c>
      <c r="V2253" t="str">
        <f>RIGHT(Table1[[#This Row],[Category and Sub-Category]],LEN(Table1[[#This Row],[Category and Sub-Category]])-FIND("/",Table1[[#This Row],[Category and Sub-Category]]))</f>
        <v>tabletop games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 s="12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>((Table1[[#This Row],[deadline]]/60)/60/24)+DATE(1970,1,1)</f>
        <v>42588.327986111108</v>
      </c>
      <c r="K2254">
        <v>1469173938</v>
      </c>
      <c r="L2254" s="11">
        <f>((Table1[[#This Row],[launched_at]]/60)/60/24)+DATE(1970,1,1)</f>
        <v>42573.327986111108</v>
      </c>
      <c r="M2254">
        <f>MONTH(Table1[[#This Row],[Date Created Conversion]])</f>
        <v>7</v>
      </c>
      <c r="N2254">
        <f>YEAR(Table1[[#This Row],[Date Created Conversion]])</f>
        <v>2016</v>
      </c>
      <c r="O2254" t="b">
        <v>0</v>
      </c>
      <c r="P2254">
        <v>249</v>
      </c>
      <c r="Q2254" t="b">
        <v>1</v>
      </c>
      <c r="R2254" t="s">
        <v>8297</v>
      </c>
      <c r="S2254" s="6">
        <f>Table1[[#This Row],[pledged]]/Table1[[#This Row],[goal]]</f>
        <v>2.722777777777778</v>
      </c>
      <c r="T2254" s="8">
        <f>IF(Table1[[#This Row],[pledged]]=0,"no backers",Table1[[#This Row],[pledged]]/Table1[[#This Row],[backers_count]])</f>
        <v>98.413654618473899</v>
      </c>
      <c r="U2254" t="str">
        <f>LEFT(Table1[[#This Row],[Category and Sub-Category]],FIND("/",Table1[[#This Row],[Category and Sub-Category]])-1)</f>
        <v>games</v>
      </c>
      <c r="V2254" t="str">
        <f>RIGHT(Table1[[#This Row],[Category and Sub-Category]],LEN(Table1[[#This Row],[Category and Sub-Category]])-FIND("/",Table1[[#This Row],[Category and Sub-Category]]))</f>
        <v>tabletop games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 s="12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>((Table1[[#This Row],[deadline]]/60)/60/24)+DATE(1970,1,1)</f>
        <v>42326.672997685186</v>
      </c>
      <c r="K2255">
        <v>1445267347</v>
      </c>
      <c r="L2255" s="11">
        <f>((Table1[[#This Row],[launched_at]]/60)/60/24)+DATE(1970,1,1)</f>
        <v>42296.631331018521</v>
      </c>
      <c r="M2255">
        <f>MONTH(Table1[[#This Row],[Date Created Conversion]])</f>
        <v>10</v>
      </c>
      <c r="N2255">
        <f>YEAR(Table1[[#This Row],[Date Created Conversion]])</f>
        <v>2015</v>
      </c>
      <c r="O2255" t="b">
        <v>0</v>
      </c>
      <c r="P2255">
        <v>84</v>
      </c>
      <c r="Q2255" t="b">
        <v>1</v>
      </c>
      <c r="R2255" t="s">
        <v>8297</v>
      </c>
      <c r="S2255" s="6">
        <f>Table1[[#This Row],[pledged]]/Table1[[#This Row],[goal]]</f>
        <v>1.1268750000000001</v>
      </c>
      <c r="T2255" s="8">
        <f>IF(Table1[[#This Row],[pledged]]=0,"no backers",Table1[[#This Row],[pledged]]/Table1[[#This Row],[backers_count]])</f>
        <v>107.32142857142857</v>
      </c>
      <c r="U2255" t="str">
        <f>LEFT(Table1[[#This Row],[Category and Sub-Category]],FIND("/",Table1[[#This Row],[Category and Sub-Category]])-1)</f>
        <v>games</v>
      </c>
      <c r="V2255" t="str">
        <f>RIGHT(Table1[[#This Row],[Category and Sub-Category]],LEN(Table1[[#This Row],[Category and Sub-Category]])-FIND("/",Table1[[#This Row],[Category and Sub-Category]]))</f>
        <v>tabletop games</v>
      </c>
    </row>
    <row r="2256" spans="1:22" ht="43.2" x14ac:dyDescent="0.3">
      <c r="A2256">
        <v>2254</v>
      </c>
      <c r="B2256" s="3" t="s">
        <v>2255</v>
      </c>
      <c r="C2256" s="3" t="s">
        <v>6364</v>
      </c>
      <c r="D2256" s="12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>((Table1[[#This Row],[deadline]]/60)/60/24)+DATE(1970,1,1)</f>
        <v>42759.647777777776</v>
      </c>
      <c r="K2256">
        <v>1484667168</v>
      </c>
      <c r="L2256" s="11">
        <f>((Table1[[#This Row],[launched_at]]/60)/60/24)+DATE(1970,1,1)</f>
        <v>42752.647777777776</v>
      </c>
      <c r="M2256">
        <f>MONTH(Table1[[#This Row],[Date Created Conversion]])</f>
        <v>1</v>
      </c>
      <c r="N2256">
        <f>YEAR(Table1[[#This Row],[Date Created Conversion]])</f>
        <v>2017</v>
      </c>
      <c r="O2256" t="b">
        <v>0</v>
      </c>
      <c r="P2256">
        <v>197</v>
      </c>
      <c r="Q2256" t="b">
        <v>1</v>
      </c>
      <c r="R2256" t="s">
        <v>8297</v>
      </c>
      <c r="S2256" s="6">
        <f>Table1[[#This Row],[pledged]]/Table1[[#This Row],[goal]]</f>
        <v>4.5979999999999999</v>
      </c>
      <c r="T2256" s="8">
        <f>IF(Table1[[#This Row],[pledged]]=0,"no backers",Table1[[#This Row],[pledged]]/Table1[[#This Row],[backers_count]])</f>
        <v>11.67005076142132</v>
      </c>
      <c r="U2256" t="str">
        <f>LEFT(Table1[[#This Row],[Category and Sub-Category]],FIND("/",Table1[[#This Row],[Category and Sub-Category]])-1)</f>
        <v>games</v>
      </c>
      <c r="V2256" t="str">
        <f>RIGHT(Table1[[#This Row],[Category and Sub-Category]],LEN(Table1[[#This Row],[Category and Sub-Category]])-FIND("/",Table1[[#This Row],[Category and Sub-Category]]))</f>
        <v>tabletop games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 s="12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>((Table1[[#This Row],[deadline]]/60)/60/24)+DATE(1970,1,1)</f>
        <v>42497.951979166668</v>
      </c>
      <c r="K2257">
        <v>1460069451</v>
      </c>
      <c r="L2257" s="11">
        <f>((Table1[[#This Row],[launched_at]]/60)/60/24)+DATE(1970,1,1)</f>
        <v>42467.951979166668</v>
      </c>
      <c r="M2257">
        <f>MONTH(Table1[[#This Row],[Date Created Conversion]])</f>
        <v>4</v>
      </c>
      <c r="N2257">
        <f>YEAR(Table1[[#This Row],[Date Created Conversion]])</f>
        <v>2016</v>
      </c>
      <c r="O2257" t="b">
        <v>0</v>
      </c>
      <c r="P2257">
        <v>271</v>
      </c>
      <c r="Q2257" t="b">
        <v>1</v>
      </c>
      <c r="R2257" t="s">
        <v>8297</v>
      </c>
      <c r="S2257" s="6">
        <f>Table1[[#This Row],[pledged]]/Table1[[#This Row],[goal]]</f>
        <v>2.8665822784810127</v>
      </c>
      <c r="T2257" s="8">
        <f>IF(Table1[[#This Row],[pledged]]=0,"no backers",Table1[[#This Row],[pledged]]/Table1[[#This Row],[backers_count]])</f>
        <v>41.782287822878232</v>
      </c>
      <c r="U2257" t="str">
        <f>LEFT(Table1[[#This Row],[Category and Sub-Category]],FIND("/",Table1[[#This Row],[Category and Sub-Category]])-1)</f>
        <v>games</v>
      </c>
      <c r="V2257" t="str">
        <f>RIGHT(Table1[[#This Row],[Category and Sub-Category]],LEN(Table1[[#This Row],[Category and Sub-Category]])-FIND("/",Table1[[#This Row],[Category and Sub-Category]]))</f>
        <v>tabletop games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 s="12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>((Table1[[#This Row],[deadline]]/60)/60/24)+DATE(1970,1,1)</f>
        <v>42696.451921296291</v>
      </c>
      <c r="K2258">
        <v>1478602246</v>
      </c>
      <c r="L2258" s="11">
        <f>((Table1[[#This Row],[launched_at]]/60)/60/24)+DATE(1970,1,1)</f>
        <v>42682.451921296291</v>
      </c>
      <c r="M2258">
        <f>MONTH(Table1[[#This Row],[Date Created Conversion]])</f>
        <v>11</v>
      </c>
      <c r="N2258">
        <f>YEAR(Table1[[#This Row],[Date Created Conversion]])</f>
        <v>2016</v>
      </c>
      <c r="O2258" t="b">
        <v>0</v>
      </c>
      <c r="P2258">
        <v>50</v>
      </c>
      <c r="Q2258" t="b">
        <v>1</v>
      </c>
      <c r="R2258" t="s">
        <v>8297</v>
      </c>
      <c r="S2258" s="6">
        <f>Table1[[#This Row],[pledged]]/Table1[[#This Row],[goal]]</f>
        <v>2.2270833333333333</v>
      </c>
      <c r="T2258" s="8">
        <f>IF(Table1[[#This Row],[pledged]]=0,"no backers",Table1[[#This Row],[pledged]]/Table1[[#This Row],[backers_count]])</f>
        <v>21.38</v>
      </c>
      <c r="U2258" t="str">
        <f>LEFT(Table1[[#This Row],[Category and Sub-Category]],FIND("/",Table1[[#This Row],[Category and Sub-Category]])-1)</f>
        <v>games</v>
      </c>
      <c r="V2258" t="str">
        <f>RIGHT(Table1[[#This Row],[Category and Sub-Category]],LEN(Table1[[#This Row],[Category and Sub-Category]])-FIND("/",Table1[[#This Row],[Category and Sub-Category]]))</f>
        <v>tabletop games</v>
      </c>
    </row>
    <row r="2259" spans="1:22" ht="57.6" x14ac:dyDescent="0.3">
      <c r="A2259">
        <v>2257</v>
      </c>
      <c r="B2259" s="3" t="s">
        <v>2258</v>
      </c>
      <c r="C2259" s="3" t="s">
        <v>6367</v>
      </c>
      <c r="D2259" s="12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>((Table1[[#This Row],[deadline]]/60)/60/24)+DATE(1970,1,1)</f>
        <v>42540.958333333328</v>
      </c>
      <c r="K2259">
        <v>1463351329</v>
      </c>
      <c r="L2259" s="11">
        <f>((Table1[[#This Row],[launched_at]]/60)/60/24)+DATE(1970,1,1)</f>
        <v>42505.936678240745</v>
      </c>
      <c r="M2259">
        <f>MONTH(Table1[[#This Row],[Date Created Conversion]])</f>
        <v>5</v>
      </c>
      <c r="N2259">
        <f>YEAR(Table1[[#This Row],[Date Created Conversion]])</f>
        <v>2016</v>
      </c>
      <c r="O2259" t="b">
        <v>0</v>
      </c>
      <c r="P2259">
        <v>169</v>
      </c>
      <c r="Q2259" t="b">
        <v>1</v>
      </c>
      <c r="R2259" t="s">
        <v>8297</v>
      </c>
      <c r="S2259" s="6">
        <f>Table1[[#This Row],[pledged]]/Table1[[#This Row],[goal]]</f>
        <v>6.3613999999999997</v>
      </c>
      <c r="T2259" s="8">
        <f>IF(Table1[[#This Row],[pledged]]=0,"no backers",Table1[[#This Row],[pledged]]/Table1[[#This Row],[backers_count]])</f>
        <v>94.103550295857985</v>
      </c>
      <c r="U2259" t="str">
        <f>LEFT(Table1[[#This Row],[Category and Sub-Category]],FIND("/",Table1[[#This Row],[Category and Sub-Category]])-1)</f>
        <v>games</v>
      </c>
      <c r="V2259" t="str">
        <f>RIGHT(Table1[[#This Row],[Category and Sub-Category]],LEN(Table1[[#This Row],[Category and Sub-Category]])-FIND("/",Table1[[#This Row],[Category and Sub-Category]]))</f>
        <v>tabletop games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 s="12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>((Table1[[#This Row],[deadline]]/60)/60/24)+DATE(1970,1,1)</f>
        <v>42166.75100694444</v>
      </c>
      <c r="K2260">
        <v>1431453687</v>
      </c>
      <c r="L2260" s="11">
        <f>((Table1[[#This Row],[launched_at]]/60)/60/24)+DATE(1970,1,1)</f>
        <v>42136.75100694444</v>
      </c>
      <c r="M2260">
        <f>MONTH(Table1[[#This Row],[Date Created Conversion]])</f>
        <v>5</v>
      </c>
      <c r="N2260">
        <f>YEAR(Table1[[#This Row],[Date Created Conversion]])</f>
        <v>2015</v>
      </c>
      <c r="O2260" t="b">
        <v>0</v>
      </c>
      <c r="P2260">
        <v>205</v>
      </c>
      <c r="Q2260" t="b">
        <v>1</v>
      </c>
      <c r="R2260" t="s">
        <v>8297</v>
      </c>
      <c r="S2260" s="6">
        <f>Table1[[#This Row],[pledged]]/Table1[[#This Row],[goal]]</f>
        <v>1.4650000000000001</v>
      </c>
      <c r="T2260" s="8">
        <f>IF(Table1[[#This Row],[pledged]]=0,"no backers",Table1[[#This Row],[pledged]]/Table1[[#This Row],[backers_count]])</f>
        <v>15.721951219512196</v>
      </c>
      <c r="U2260" t="str">
        <f>LEFT(Table1[[#This Row],[Category and Sub-Category]],FIND("/",Table1[[#This Row],[Category and Sub-Category]])-1)</f>
        <v>games</v>
      </c>
      <c r="V2260" t="str">
        <f>RIGHT(Table1[[#This Row],[Category and Sub-Category]],LEN(Table1[[#This Row],[Category and Sub-Category]])-FIND("/",Table1[[#This Row],[Category and Sub-Category]]))</f>
        <v>tabletop games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 s="12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>((Table1[[#This Row],[deadline]]/60)/60/24)+DATE(1970,1,1)</f>
        <v>42712.804814814815</v>
      </c>
      <c r="K2261">
        <v>1480360736</v>
      </c>
      <c r="L2261" s="11">
        <f>((Table1[[#This Row],[launched_at]]/60)/60/24)+DATE(1970,1,1)</f>
        <v>42702.804814814815</v>
      </c>
      <c r="M2261">
        <f>MONTH(Table1[[#This Row],[Date Created Conversion]])</f>
        <v>11</v>
      </c>
      <c r="N2261">
        <f>YEAR(Table1[[#This Row],[Date Created Conversion]])</f>
        <v>2016</v>
      </c>
      <c r="O2261" t="b">
        <v>0</v>
      </c>
      <c r="P2261">
        <v>206</v>
      </c>
      <c r="Q2261" t="b">
        <v>1</v>
      </c>
      <c r="R2261" t="s">
        <v>8297</v>
      </c>
      <c r="S2261" s="6">
        <f>Table1[[#This Row],[pledged]]/Table1[[#This Row],[goal]]</f>
        <v>18.670999999999999</v>
      </c>
      <c r="T2261" s="8">
        <f>IF(Table1[[#This Row],[pledged]]=0,"no backers",Table1[[#This Row],[pledged]]/Table1[[#This Row],[backers_count]])</f>
        <v>90.635922330097088</v>
      </c>
      <c r="U2261" t="str">
        <f>LEFT(Table1[[#This Row],[Category and Sub-Category]],FIND("/",Table1[[#This Row],[Category and Sub-Category]])-1)</f>
        <v>games</v>
      </c>
      <c r="V2261" t="str">
        <f>RIGHT(Table1[[#This Row],[Category and Sub-Category]],LEN(Table1[[#This Row],[Category and Sub-Category]])-FIND("/",Table1[[#This Row],[Category and Sub-Category]]))</f>
        <v>tabletop games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 s="1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>((Table1[[#This Row],[deadline]]/60)/60/24)+DATE(1970,1,1)</f>
        <v>41724.975115740745</v>
      </c>
      <c r="K2262">
        <v>1393287850</v>
      </c>
      <c r="L2262" s="11">
        <f>((Table1[[#This Row],[launched_at]]/60)/60/24)+DATE(1970,1,1)</f>
        <v>41695.016782407409</v>
      </c>
      <c r="M2262">
        <f>MONTH(Table1[[#This Row],[Date Created Conversion]])</f>
        <v>2</v>
      </c>
      <c r="N2262">
        <f>YEAR(Table1[[#This Row],[Date Created Conversion]])</f>
        <v>2014</v>
      </c>
      <c r="O2262" t="b">
        <v>0</v>
      </c>
      <c r="P2262">
        <v>84</v>
      </c>
      <c r="Q2262" t="b">
        <v>1</v>
      </c>
      <c r="R2262" t="s">
        <v>8297</v>
      </c>
      <c r="S2262" s="6">
        <f>Table1[[#This Row],[pledged]]/Table1[[#This Row],[goal]]</f>
        <v>3.2692000000000001</v>
      </c>
      <c r="T2262" s="8">
        <f>IF(Table1[[#This Row],[pledged]]=0,"no backers",Table1[[#This Row],[pledged]]/Table1[[#This Row],[backers_count]])</f>
        <v>97.297619047619051</v>
      </c>
      <c r="U2262" t="str">
        <f>LEFT(Table1[[#This Row],[Category and Sub-Category]],FIND("/",Table1[[#This Row],[Category and Sub-Category]])-1)</f>
        <v>games</v>
      </c>
      <c r="V2262" t="str">
        <f>RIGHT(Table1[[#This Row],[Category and Sub-Category]],LEN(Table1[[#This Row],[Category and Sub-Category]])-FIND("/",Table1[[#This Row],[Category and Sub-Category]]))</f>
        <v>tabletop games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 s="12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>((Table1[[#This Row],[deadline]]/60)/60/24)+DATE(1970,1,1)</f>
        <v>42780.724768518514</v>
      </c>
      <c r="K2263">
        <v>1485278620</v>
      </c>
      <c r="L2263" s="11">
        <f>((Table1[[#This Row],[launched_at]]/60)/60/24)+DATE(1970,1,1)</f>
        <v>42759.724768518514</v>
      </c>
      <c r="M2263">
        <f>MONTH(Table1[[#This Row],[Date Created Conversion]])</f>
        <v>1</v>
      </c>
      <c r="N2263">
        <f>YEAR(Table1[[#This Row],[Date Created Conversion]])</f>
        <v>2017</v>
      </c>
      <c r="O2263" t="b">
        <v>0</v>
      </c>
      <c r="P2263">
        <v>210</v>
      </c>
      <c r="Q2263" t="b">
        <v>1</v>
      </c>
      <c r="R2263" t="s">
        <v>8297</v>
      </c>
      <c r="S2263" s="6">
        <f>Table1[[#This Row],[pledged]]/Table1[[#This Row],[goal]]</f>
        <v>7.7949999999999999</v>
      </c>
      <c r="T2263" s="8">
        <f>IF(Table1[[#This Row],[pledged]]=0,"no backers",Table1[[#This Row],[pledged]]/Table1[[#This Row],[backers_count]])</f>
        <v>37.11904761904762</v>
      </c>
      <c r="U2263" t="str">
        <f>LEFT(Table1[[#This Row],[Category and Sub-Category]],FIND("/",Table1[[#This Row],[Category and Sub-Category]])-1)</f>
        <v>games</v>
      </c>
      <c r="V2263" t="str">
        <f>RIGHT(Table1[[#This Row],[Category and Sub-Category]],LEN(Table1[[#This Row],[Category and Sub-Category]])-FIND("/",Table1[[#This Row],[Category and Sub-Category]]))</f>
        <v>tabletop games</v>
      </c>
    </row>
    <row r="2264" spans="1:22" ht="43.2" x14ac:dyDescent="0.3">
      <c r="A2264">
        <v>2262</v>
      </c>
      <c r="B2264" s="3" t="s">
        <v>2263</v>
      </c>
      <c r="C2264" s="3" t="s">
        <v>6372</v>
      </c>
      <c r="D2264" s="12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>((Table1[[#This Row],[deadline]]/60)/60/24)+DATE(1970,1,1)</f>
        <v>41961</v>
      </c>
      <c r="K2264">
        <v>1413295358</v>
      </c>
      <c r="L2264" s="11">
        <f>((Table1[[#This Row],[launched_at]]/60)/60/24)+DATE(1970,1,1)</f>
        <v>41926.585162037038</v>
      </c>
      <c r="M2264">
        <f>MONTH(Table1[[#This Row],[Date Created Conversion]])</f>
        <v>10</v>
      </c>
      <c r="N2264">
        <f>YEAR(Table1[[#This Row],[Date Created Conversion]])</f>
        <v>2014</v>
      </c>
      <c r="O2264" t="b">
        <v>0</v>
      </c>
      <c r="P2264">
        <v>181</v>
      </c>
      <c r="Q2264" t="b">
        <v>1</v>
      </c>
      <c r="R2264" t="s">
        <v>8297</v>
      </c>
      <c r="S2264" s="6">
        <f>Table1[[#This Row],[pledged]]/Table1[[#This Row],[goal]]</f>
        <v>1.5415151515151515</v>
      </c>
      <c r="T2264" s="8">
        <f>IF(Table1[[#This Row],[pledged]]=0,"no backers",Table1[[#This Row],[pledged]]/Table1[[#This Row],[backers_count]])</f>
        <v>28.104972375690608</v>
      </c>
      <c r="U2264" t="str">
        <f>LEFT(Table1[[#This Row],[Category and Sub-Category]],FIND("/",Table1[[#This Row],[Category and Sub-Category]])-1)</f>
        <v>games</v>
      </c>
      <c r="V2264" t="str">
        <f>RIGHT(Table1[[#This Row],[Category and Sub-Category]],LEN(Table1[[#This Row],[Category and Sub-Category]])-FIND("/",Table1[[#This Row],[Category and Sub-Category]]))</f>
        <v>tabletop games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 s="12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>((Table1[[#This Row],[deadline]]/60)/60/24)+DATE(1970,1,1)</f>
        <v>42035.832326388889</v>
      </c>
      <c r="K2265">
        <v>1420919913</v>
      </c>
      <c r="L2265" s="11">
        <f>((Table1[[#This Row],[launched_at]]/60)/60/24)+DATE(1970,1,1)</f>
        <v>42014.832326388889</v>
      </c>
      <c r="M2265">
        <f>MONTH(Table1[[#This Row],[Date Created Conversion]])</f>
        <v>1</v>
      </c>
      <c r="N2265">
        <f>YEAR(Table1[[#This Row],[Date Created Conversion]])</f>
        <v>2015</v>
      </c>
      <c r="O2265" t="b">
        <v>0</v>
      </c>
      <c r="P2265">
        <v>60</v>
      </c>
      <c r="Q2265" t="b">
        <v>1</v>
      </c>
      <c r="R2265" t="s">
        <v>8297</v>
      </c>
      <c r="S2265" s="6">
        <f>Table1[[#This Row],[pledged]]/Table1[[#This Row],[goal]]</f>
        <v>1.1554666666666666</v>
      </c>
      <c r="T2265" s="8">
        <f>IF(Table1[[#This Row],[pledged]]=0,"no backers",Table1[[#This Row],[pledged]]/Table1[[#This Row],[backers_count]])</f>
        <v>144.43333333333334</v>
      </c>
      <c r="U2265" t="str">
        <f>LEFT(Table1[[#This Row],[Category and Sub-Category]],FIND("/",Table1[[#This Row],[Category and Sub-Category]])-1)</f>
        <v>games</v>
      </c>
      <c r="V2265" t="str">
        <f>RIGHT(Table1[[#This Row],[Category and Sub-Category]],LEN(Table1[[#This Row],[Category and Sub-Category]])-FIND("/",Table1[[#This Row],[Category and Sub-Category]]))</f>
        <v>tabletop games</v>
      </c>
    </row>
    <row r="2266" spans="1:22" ht="57.6" x14ac:dyDescent="0.3">
      <c r="A2266">
        <v>2264</v>
      </c>
      <c r="B2266" s="3" t="s">
        <v>2265</v>
      </c>
      <c r="C2266" s="3" t="s">
        <v>6374</v>
      </c>
      <c r="D2266" s="12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>((Table1[[#This Row],[deadline]]/60)/60/24)+DATE(1970,1,1)</f>
        <v>42513.125</v>
      </c>
      <c r="K2266">
        <v>1462543114</v>
      </c>
      <c r="L2266" s="11">
        <f>((Table1[[#This Row],[launched_at]]/60)/60/24)+DATE(1970,1,1)</f>
        <v>42496.582337962958</v>
      </c>
      <c r="M2266">
        <f>MONTH(Table1[[#This Row],[Date Created Conversion]])</f>
        <v>5</v>
      </c>
      <c r="N2266">
        <f>YEAR(Table1[[#This Row],[Date Created Conversion]])</f>
        <v>2016</v>
      </c>
      <c r="O2266" t="b">
        <v>0</v>
      </c>
      <c r="P2266">
        <v>445</v>
      </c>
      <c r="Q2266" t="b">
        <v>1</v>
      </c>
      <c r="R2266" t="s">
        <v>8297</v>
      </c>
      <c r="S2266" s="6">
        <f>Table1[[#This Row],[pledged]]/Table1[[#This Row],[goal]]</f>
        <v>1.8003333333333333</v>
      </c>
      <c r="T2266" s="8">
        <f>IF(Table1[[#This Row],[pledged]]=0,"no backers",Table1[[#This Row],[pledged]]/Table1[[#This Row],[backers_count]])</f>
        <v>24.274157303370785</v>
      </c>
      <c r="U2266" t="str">
        <f>LEFT(Table1[[#This Row],[Category and Sub-Category]],FIND("/",Table1[[#This Row],[Category and Sub-Category]])-1)</f>
        <v>games</v>
      </c>
      <c r="V2266" t="str">
        <f>RIGHT(Table1[[#This Row],[Category and Sub-Category]],LEN(Table1[[#This Row],[Category and Sub-Category]])-FIND("/",Table1[[#This Row],[Category and Sub-Category]]))</f>
        <v>tabletop games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 s="12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>((Table1[[#This Row],[deadline]]/60)/60/24)+DATE(1970,1,1)</f>
        <v>42696.853090277778</v>
      </c>
      <c r="K2267">
        <v>1479241707</v>
      </c>
      <c r="L2267" s="11">
        <f>((Table1[[#This Row],[launched_at]]/60)/60/24)+DATE(1970,1,1)</f>
        <v>42689.853090277778</v>
      </c>
      <c r="M2267">
        <f>MONTH(Table1[[#This Row],[Date Created Conversion]])</f>
        <v>11</v>
      </c>
      <c r="N2267">
        <f>YEAR(Table1[[#This Row],[Date Created Conversion]])</f>
        <v>2016</v>
      </c>
      <c r="O2267" t="b">
        <v>0</v>
      </c>
      <c r="P2267">
        <v>17</v>
      </c>
      <c r="Q2267" t="b">
        <v>1</v>
      </c>
      <c r="R2267" t="s">
        <v>8297</v>
      </c>
      <c r="S2267" s="6">
        <f>Table1[[#This Row],[pledged]]/Table1[[#This Row],[goal]]</f>
        <v>2.9849999999999999</v>
      </c>
      <c r="T2267" s="8">
        <f>IF(Table1[[#This Row],[pledged]]=0,"no backers",Table1[[#This Row],[pledged]]/Table1[[#This Row],[backers_count]])</f>
        <v>35.117647058823529</v>
      </c>
      <c r="U2267" t="str">
        <f>LEFT(Table1[[#This Row],[Category and Sub-Category]],FIND("/",Table1[[#This Row],[Category and Sub-Category]])-1)</f>
        <v>games</v>
      </c>
      <c r="V2267" t="str">
        <f>RIGHT(Table1[[#This Row],[Category and Sub-Category]],LEN(Table1[[#This Row],[Category and Sub-Category]])-FIND("/",Table1[[#This Row],[Category and Sub-Category]]))</f>
        <v>tabletop games</v>
      </c>
    </row>
    <row r="2268" spans="1:22" ht="43.2" x14ac:dyDescent="0.3">
      <c r="A2268">
        <v>2266</v>
      </c>
      <c r="B2268" s="3" t="s">
        <v>2267</v>
      </c>
      <c r="C2268" s="3" t="s">
        <v>6376</v>
      </c>
      <c r="D2268" s="12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>((Table1[[#This Row],[deadline]]/60)/60/24)+DATE(1970,1,1)</f>
        <v>42487.083333333328</v>
      </c>
      <c r="K2268">
        <v>1460235592</v>
      </c>
      <c r="L2268" s="11">
        <f>((Table1[[#This Row],[launched_at]]/60)/60/24)+DATE(1970,1,1)</f>
        <v>42469.874907407408</v>
      </c>
      <c r="M2268">
        <f>MONTH(Table1[[#This Row],[Date Created Conversion]])</f>
        <v>4</v>
      </c>
      <c r="N2268">
        <f>YEAR(Table1[[#This Row],[Date Created Conversion]])</f>
        <v>2016</v>
      </c>
      <c r="O2268" t="b">
        <v>0</v>
      </c>
      <c r="P2268">
        <v>194</v>
      </c>
      <c r="Q2268" t="b">
        <v>1</v>
      </c>
      <c r="R2268" t="s">
        <v>8297</v>
      </c>
      <c r="S2268" s="6">
        <f>Table1[[#This Row],[pledged]]/Table1[[#This Row],[goal]]</f>
        <v>3.2026666666666666</v>
      </c>
      <c r="T2268" s="8">
        <f>IF(Table1[[#This Row],[pledged]]=0,"no backers",Table1[[#This Row],[pledged]]/Table1[[#This Row],[backers_count]])</f>
        <v>24.762886597938145</v>
      </c>
      <c r="U2268" t="str">
        <f>LEFT(Table1[[#This Row],[Category and Sub-Category]],FIND("/",Table1[[#This Row],[Category and Sub-Category]])-1)</f>
        <v>games</v>
      </c>
      <c r="V2268" t="str">
        <f>RIGHT(Table1[[#This Row],[Category and Sub-Category]],LEN(Table1[[#This Row],[Category and Sub-Category]])-FIND("/",Table1[[#This Row],[Category and Sub-Category]]))</f>
        <v>tabletop games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 s="12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>((Table1[[#This Row],[deadline]]/60)/60/24)+DATE(1970,1,1)</f>
        <v>41994.041666666672</v>
      </c>
      <c r="K2269">
        <v>1416945297</v>
      </c>
      <c r="L2269" s="11">
        <f>((Table1[[#This Row],[launched_at]]/60)/60/24)+DATE(1970,1,1)</f>
        <v>41968.829826388886</v>
      </c>
      <c r="M2269">
        <f>MONTH(Table1[[#This Row],[Date Created Conversion]])</f>
        <v>11</v>
      </c>
      <c r="N2269">
        <f>YEAR(Table1[[#This Row],[Date Created Conversion]])</f>
        <v>2014</v>
      </c>
      <c r="O2269" t="b">
        <v>0</v>
      </c>
      <c r="P2269">
        <v>404</v>
      </c>
      <c r="Q2269" t="b">
        <v>1</v>
      </c>
      <c r="R2269" t="s">
        <v>8297</v>
      </c>
      <c r="S2269" s="6">
        <f>Table1[[#This Row],[pledged]]/Table1[[#This Row],[goal]]</f>
        <v>3.80525</v>
      </c>
      <c r="T2269" s="8">
        <f>IF(Table1[[#This Row],[pledged]]=0,"no backers",Table1[[#This Row],[pledged]]/Table1[[#This Row],[backers_count]])</f>
        <v>188.37871287128712</v>
      </c>
      <c r="U2269" t="str">
        <f>LEFT(Table1[[#This Row],[Category and Sub-Category]],FIND("/",Table1[[#This Row],[Category and Sub-Category]])-1)</f>
        <v>games</v>
      </c>
      <c r="V2269" t="str">
        <f>RIGHT(Table1[[#This Row],[Category and Sub-Category]],LEN(Table1[[#This Row],[Category and Sub-Category]])-FIND("/",Table1[[#This Row],[Category and Sub-Category]]))</f>
        <v>tabletop games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 s="12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>((Table1[[#This Row],[deadline]]/60)/60/24)+DATE(1970,1,1)</f>
        <v>42806.082349537035</v>
      </c>
      <c r="K2270">
        <v>1486691915</v>
      </c>
      <c r="L2270" s="11">
        <f>((Table1[[#This Row],[launched_at]]/60)/60/24)+DATE(1970,1,1)</f>
        <v>42776.082349537035</v>
      </c>
      <c r="M2270">
        <f>MONTH(Table1[[#This Row],[Date Created Conversion]])</f>
        <v>2</v>
      </c>
      <c r="N2270">
        <f>YEAR(Table1[[#This Row],[Date Created Conversion]])</f>
        <v>2017</v>
      </c>
      <c r="O2270" t="b">
        <v>0</v>
      </c>
      <c r="P2270">
        <v>194</v>
      </c>
      <c r="Q2270" t="b">
        <v>1</v>
      </c>
      <c r="R2270" t="s">
        <v>8297</v>
      </c>
      <c r="S2270" s="6">
        <f>Table1[[#This Row],[pledged]]/Table1[[#This Row],[goal]]</f>
        <v>1.026</v>
      </c>
      <c r="T2270" s="8">
        <f>IF(Table1[[#This Row],[pledged]]=0,"no backers",Table1[[#This Row],[pledged]]/Table1[[#This Row],[backers_count]])</f>
        <v>148.08247422680412</v>
      </c>
      <c r="U2270" t="str">
        <f>LEFT(Table1[[#This Row],[Category and Sub-Category]],FIND("/",Table1[[#This Row],[Category and Sub-Category]])-1)</f>
        <v>games</v>
      </c>
      <c r="V2270" t="str">
        <f>RIGHT(Table1[[#This Row],[Category and Sub-Category]],LEN(Table1[[#This Row],[Category and Sub-Category]])-FIND("/",Table1[[#This Row],[Category and Sub-Category]]))</f>
        <v>tabletop games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 s="12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>((Table1[[#This Row],[deadline]]/60)/60/24)+DATE(1970,1,1)</f>
        <v>42801.208333333328</v>
      </c>
      <c r="K2271">
        <v>1486745663</v>
      </c>
      <c r="L2271" s="11">
        <f>((Table1[[#This Row],[launched_at]]/60)/60/24)+DATE(1970,1,1)</f>
        <v>42776.704432870371</v>
      </c>
      <c r="M2271">
        <f>MONTH(Table1[[#This Row],[Date Created Conversion]])</f>
        <v>2</v>
      </c>
      <c r="N2271">
        <f>YEAR(Table1[[#This Row],[Date Created Conversion]])</f>
        <v>2017</v>
      </c>
      <c r="O2271" t="b">
        <v>0</v>
      </c>
      <c r="P2271">
        <v>902</v>
      </c>
      <c r="Q2271" t="b">
        <v>1</v>
      </c>
      <c r="R2271" t="s">
        <v>8297</v>
      </c>
      <c r="S2271" s="6">
        <f>Table1[[#This Row],[pledged]]/Table1[[#This Row],[goal]]</f>
        <v>18.016400000000001</v>
      </c>
      <c r="T2271" s="8">
        <f>IF(Table1[[#This Row],[pledged]]=0,"no backers",Table1[[#This Row],[pledged]]/Table1[[#This Row],[backers_count]])</f>
        <v>49.934589800443462</v>
      </c>
      <c r="U2271" t="str">
        <f>LEFT(Table1[[#This Row],[Category and Sub-Category]],FIND("/",Table1[[#This Row],[Category and Sub-Category]])-1)</f>
        <v>games</v>
      </c>
      <c r="V2271" t="str">
        <f>RIGHT(Table1[[#This Row],[Category and Sub-Category]],LEN(Table1[[#This Row],[Category and Sub-Category]])-FIND("/",Table1[[#This Row],[Category and Sub-Category]]))</f>
        <v>tabletop games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 s="1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>((Table1[[#This Row],[deadline]]/60)/60/24)+DATE(1970,1,1)</f>
        <v>42745.915972222225</v>
      </c>
      <c r="K2272">
        <v>1482353513</v>
      </c>
      <c r="L2272" s="11">
        <f>((Table1[[#This Row],[launched_at]]/60)/60/24)+DATE(1970,1,1)</f>
        <v>42725.869363425925</v>
      </c>
      <c r="M2272">
        <f>MONTH(Table1[[#This Row],[Date Created Conversion]])</f>
        <v>12</v>
      </c>
      <c r="N2272">
        <f>YEAR(Table1[[#This Row],[Date Created Conversion]])</f>
        <v>2016</v>
      </c>
      <c r="O2272" t="b">
        <v>0</v>
      </c>
      <c r="P2272">
        <v>1670</v>
      </c>
      <c r="Q2272" t="b">
        <v>1</v>
      </c>
      <c r="R2272" t="s">
        <v>8297</v>
      </c>
      <c r="S2272" s="6">
        <f>Table1[[#This Row],[pledged]]/Table1[[#This Row],[goal]]</f>
        <v>7.2024800000000004</v>
      </c>
      <c r="T2272" s="8">
        <f>IF(Table1[[#This Row],[pledged]]=0,"no backers",Table1[[#This Row],[pledged]]/Table1[[#This Row],[backers_count]])</f>
        <v>107.82155688622754</v>
      </c>
      <c r="U2272" t="str">
        <f>LEFT(Table1[[#This Row],[Category and Sub-Category]],FIND("/",Table1[[#This Row],[Category and Sub-Category]])-1)</f>
        <v>games</v>
      </c>
      <c r="V2272" t="str">
        <f>RIGHT(Table1[[#This Row],[Category and Sub-Category]],LEN(Table1[[#This Row],[Category and Sub-Category]])-FIND("/",Table1[[#This Row],[Category and Sub-Category]]))</f>
        <v>tabletop games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 s="12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>((Table1[[#This Row],[deadline]]/60)/60/24)+DATE(1970,1,1)</f>
        <v>42714.000046296293</v>
      </c>
      <c r="K2273">
        <v>1478736004</v>
      </c>
      <c r="L2273" s="11">
        <f>((Table1[[#This Row],[launched_at]]/60)/60/24)+DATE(1970,1,1)</f>
        <v>42684.000046296293</v>
      </c>
      <c r="M2273">
        <f>MONTH(Table1[[#This Row],[Date Created Conversion]])</f>
        <v>11</v>
      </c>
      <c r="N2273">
        <f>YEAR(Table1[[#This Row],[Date Created Conversion]])</f>
        <v>2016</v>
      </c>
      <c r="O2273" t="b">
        <v>0</v>
      </c>
      <c r="P2273">
        <v>1328</v>
      </c>
      <c r="Q2273" t="b">
        <v>1</v>
      </c>
      <c r="R2273" t="s">
        <v>8297</v>
      </c>
      <c r="S2273" s="6">
        <f>Table1[[#This Row],[pledged]]/Table1[[#This Row],[goal]]</f>
        <v>2.8309000000000002</v>
      </c>
      <c r="T2273" s="8">
        <f>IF(Table1[[#This Row],[pledged]]=0,"no backers",Table1[[#This Row],[pledged]]/Table1[[#This Row],[backers_count]])</f>
        <v>42.63403614457831</v>
      </c>
      <c r="U2273" t="str">
        <f>LEFT(Table1[[#This Row],[Category and Sub-Category]],FIND("/",Table1[[#This Row],[Category and Sub-Category]])-1)</f>
        <v>games</v>
      </c>
      <c r="V2273" t="str">
        <f>RIGHT(Table1[[#This Row],[Category and Sub-Category]],LEN(Table1[[#This Row],[Category and Sub-Category]])-FIND("/",Table1[[#This Row],[Category and Sub-Category]]))</f>
        <v>tabletop games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 s="12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>((Table1[[#This Row],[deadline]]/60)/60/24)+DATE(1970,1,1)</f>
        <v>42345.699490740735</v>
      </c>
      <c r="K2274">
        <v>1446914836</v>
      </c>
      <c r="L2274" s="11">
        <f>((Table1[[#This Row],[launched_at]]/60)/60/24)+DATE(1970,1,1)</f>
        <v>42315.699490740735</v>
      </c>
      <c r="M2274">
        <f>MONTH(Table1[[#This Row],[Date Created Conversion]])</f>
        <v>11</v>
      </c>
      <c r="N2274">
        <f>YEAR(Table1[[#This Row],[Date Created Conversion]])</f>
        <v>2015</v>
      </c>
      <c r="O2274" t="b">
        <v>0</v>
      </c>
      <c r="P2274">
        <v>944</v>
      </c>
      <c r="Q2274" t="b">
        <v>1</v>
      </c>
      <c r="R2274" t="s">
        <v>8297</v>
      </c>
      <c r="S2274" s="6">
        <f>Table1[[#This Row],[pledged]]/Table1[[#This Row],[goal]]</f>
        <v>13.566000000000001</v>
      </c>
      <c r="T2274" s="8">
        <f>IF(Table1[[#This Row],[pledged]]=0,"no backers",Table1[[#This Row],[pledged]]/Table1[[#This Row],[backers_count]])</f>
        <v>14.370762711864407</v>
      </c>
      <c r="U2274" t="str">
        <f>LEFT(Table1[[#This Row],[Category and Sub-Category]],FIND("/",Table1[[#This Row],[Category and Sub-Category]])-1)</f>
        <v>games</v>
      </c>
      <c r="V2274" t="str">
        <f>RIGHT(Table1[[#This Row],[Category and Sub-Category]],LEN(Table1[[#This Row],[Category and Sub-Category]])-FIND("/",Table1[[#This Row],[Category and Sub-Category]]))</f>
        <v>tabletop games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 s="12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>((Table1[[#This Row],[deadline]]/60)/60/24)+DATE(1970,1,1)</f>
        <v>42806.507430555561</v>
      </c>
      <c r="K2275">
        <v>1487164242</v>
      </c>
      <c r="L2275" s="11">
        <f>((Table1[[#This Row],[launched_at]]/60)/60/24)+DATE(1970,1,1)</f>
        <v>42781.549097222218</v>
      </c>
      <c r="M2275">
        <f>MONTH(Table1[[#This Row],[Date Created Conversion]])</f>
        <v>2</v>
      </c>
      <c r="N2275">
        <f>YEAR(Table1[[#This Row],[Date Created Conversion]])</f>
        <v>2017</v>
      </c>
      <c r="O2275" t="b">
        <v>0</v>
      </c>
      <c r="P2275">
        <v>147</v>
      </c>
      <c r="Q2275" t="b">
        <v>1</v>
      </c>
      <c r="R2275" t="s">
        <v>8297</v>
      </c>
      <c r="S2275" s="6">
        <f>Table1[[#This Row],[pledged]]/Table1[[#This Row],[goal]]</f>
        <v>2.2035999999999998</v>
      </c>
      <c r="T2275" s="8">
        <f>IF(Table1[[#This Row],[pledged]]=0,"no backers",Table1[[#This Row],[pledged]]/Table1[[#This Row],[backers_count]])</f>
        <v>37.476190476190474</v>
      </c>
      <c r="U2275" t="str">
        <f>LEFT(Table1[[#This Row],[Category and Sub-Category]],FIND("/",Table1[[#This Row],[Category and Sub-Category]])-1)</f>
        <v>games</v>
      </c>
      <c r="V2275" t="str">
        <f>RIGHT(Table1[[#This Row],[Category and Sub-Category]],LEN(Table1[[#This Row],[Category and Sub-Category]])-FIND("/",Table1[[#This Row],[Category and Sub-Category]]))</f>
        <v>tabletop games</v>
      </c>
    </row>
    <row r="2276" spans="1:22" ht="57.6" x14ac:dyDescent="0.3">
      <c r="A2276">
        <v>2274</v>
      </c>
      <c r="B2276" s="3" t="s">
        <v>2275</v>
      </c>
      <c r="C2276" s="3" t="s">
        <v>6384</v>
      </c>
      <c r="D2276" s="12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>((Table1[[#This Row],[deadline]]/60)/60/24)+DATE(1970,1,1)</f>
        <v>41693.500659722224</v>
      </c>
      <c r="K2276">
        <v>1390564857</v>
      </c>
      <c r="L2276" s="11">
        <f>((Table1[[#This Row],[launched_at]]/60)/60/24)+DATE(1970,1,1)</f>
        <v>41663.500659722224</v>
      </c>
      <c r="M2276">
        <f>MONTH(Table1[[#This Row],[Date Created Conversion]])</f>
        <v>1</v>
      </c>
      <c r="N2276">
        <f>YEAR(Table1[[#This Row],[Date Created Conversion]])</f>
        <v>2014</v>
      </c>
      <c r="O2276" t="b">
        <v>0</v>
      </c>
      <c r="P2276">
        <v>99</v>
      </c>
      <c r="Q2276" t="b">
        <v>1</v>
      </c>
      <c r="R2276" t="s">
        <v>8297</v>
      </c>
      <c r="S2276" s="6">
        <f>Table1[[#This Row],[pledged]]/Table1[[#This Row],[goal]]</f>
        <v>1.196</v>
      </c>
      <c r="T2276" s="8">
        <f>IF(Table1[[#This Row],[pledged]]=0,"no backers",Table1[[#This Row],[pledged]]/Table1[[#This Row],[backers_count]])</f>
        <v>30.202020202020201</v>
      </c>
      <c r="U2276" t="str">
        <f>LEFT(Table1[[#This Row],[Category and Sub-Category]],FIND("/",Table1[[#This Row],[Category and Sub-Category]])-1)</f>
        <v>games</v>
      </c>
      <c r="V2276" t="str">
        <f>RIGHT(Table1[[#This Row],[Category and Sub-Category]],LEN(Table1[[#This Row],[Category and Sub-Category]])-FIND("/",Table1[[#This Row],[Category and Sub-Category]]))</f>
        <v>tabletop games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 s="12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>((Table1[[#This Row],[deadline]]/60)/60/24)+DATE(1970,1,1)</f>
        <v>41995.616655092599</v>
      </c>
      <c r="K2277">
        <v>1416667679</v>
      </c>
      <c r="L2277" s="11">
        <f>((Table1[[#This Row],[launched_at]]/60)/60/24)+DATE(1970,1,1)</f>
        <v>41965.616655092599</v>
      </c>
      <c r="M2277">
        <f>MONTH(Table1[[#This Row],[Date Created Conversion]])</f>
        <v>11</v>
      </c>
      <c r="N2277">
        <f>YEAR(Table1[[#This Row],[Date Created Conversion]])</f>
        <v>2014</v>
      </c>
      <c r="O2277" t="b">
        <v>0</v>
      </c>
      <c r="P2277">
        <v>79</v>
      </c>
      <c r="Q2277" t="b">
        <v>1</v>
      </c>
      <c r="R2277" t="s">
        <v>8297</v>
      </c>
      <c r="S2277" s="6">
        <f>Table1[[#This Row],[pledged]]/Table1[[#This Row],[goal]]</f>
        <v>4.0776923076923079</v>
      </c>
      <c r="T2277" s="8">
        <f>IF(Table1[[#This Row],[pledged]]=0,"no backers",Table1[[#This Row],[pledged]]/Table1[[#This Row],[backers_count]])</f>
        <v>33.550632911392405</v>
      </c>
      <c r="U2277" t="str">
        <f>LEFT(Table1[[#This Row],[Category and Sub-Category]],FIND("/",Table1[[#This Row],[Category and Sub-Category]])-1)</f>
        <v>games</v>
      </c>
      <c r="V2277" t="str">
        <f>RIGHT(Table1[[#This Row],[Category and Sub-Category]],LEN(Table1[[#This Row],[Category and Sub-Category]])-FIND("/",Table1[[#This Row],[Category and Sub-Category]]))</f>
        <v>tabletop games</v>
      </c>
    </row>
    <row r="2278" spans="1:22" ht="57.6" x14ac:dyDescent="0.3">
      <c r="A2278">
        <v>2276</v>
      </c>
      <c r="B2278" s="3" t="s">
        <v>2277</v>
      </c>
      <c r="C2278" s="3" t="s">
        <v>6386</v>
      </c>
      <c r="D2278" s="12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>((Table1[[#This Row],[deadline]]/60)/60/24)+DATE(1970,1,1)</f>
        <v>41644.651493055557</v>
      </c>
      <c r="K2278">
        <v>1386344289</v>
      </c>
      <c r="L2278" s="11">
        <f>((Table1[[#This Row],[launched_at]]/60)/60/24)+DATE(1970,1,1)</f>
        <v>41614.651493055557</v>
      </c>
      <c r="M2278">
        <f>MONTH(Table1[[#This Row],[Date Created Conversion]])</f>
        <v>12</v>
      </c>
      <c r="N2278">
        <f>YEAR(Table1[[#This Row],[Date Created Conversion]])</f>
        <v>2013</v>
      </c>
      <c r="O2278" t="b">
        <v>0</v>
      </c>
      <c r="P2278">
        <v>75</v>
      </c>
      <c r="Q2278" t="b">
        <v>1</v>
      </c>
      <c r="R2278" t="s">
        <v>8297</v>
      </c>
      <c r="S2278" s="6">
        <f>Table1[[#This Row],[pledged]]/Table1[[#This Row],[goal]]</f>
        <v>1.0581826105905425</v>
      </c>
      <c r="T2278" s="8">
        <f>IF(Table1[[#This Row],[pledged]]=0,"no backers",Table1[[#This Row],[pledged]]/Table1[[#This Row],[backers_count]])</f>
        <v>64.74666666666667</v>
      </c>
      <c r="U2278" t="str">
        <f>LEFT(Table1[[#This Row],[Category and Sub-Category]],FIND("/",Table1[[#This Row],[Category and Sub-Category]])-1)</f>
        <v>games</v>
      </c>
      <c r="V2278" t="str">
        <f>RIGHT(Table1[[#This Row],[Category and Sub-Category]],LEN(Table1[[#This Row],[Category and Sub-Category]])-FIND("/",Table1[[#This Row],[Category and Sub-Category]]))</f>
        <v>tabletop games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 s="12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>((Table1[[#This Row],[deadline]]/60)/60/24)+DATE(1970,1,1)</f>
        <v>40966.678506944445</v>
      </c>
      <c r="K2279">
        <v>1327767423</v>
      </c>
      <c r="L2279" s="11">
        <f>((Table1[[#This Row],[launched_at]]/60)/60/24)+DATE(1970,1,1)</f>
        <v>40936.678506944445</v>
      </c>
      <c r="M2279">
        <f>MONTH(Table1[[#This Row],[Date Created Conversion]])</f>
        <v>1</v>
      </c>
      <c r="N2279">
        <f>YEAR(Table1[[#This Row],[Date Created Conversion]])</f>
        <v>2012</v>
      </c>
      <c r="O2279" t="b">
        <v>0</v>
      </c>
      <c r="P2279">
        <v>207</v>
      </c>
      <c r="Q2279" t="b">
        <v>1</v>
      </c>
      <c r="R2279" t="s">
        <v>8297</v>
      </c>
      <c r="S2279" s="6">
        <f>Table1[[#This Row],[pledged]]/Table1[[#This Row],[goal]]</f>
        <v>1.4108235294117648</v>
      </c>
      <c r="T2279" s="8">
        <f>IF(Table1[[#This Row],[pledged]]=0,"no backers",Table1[[#This Row],[pledged]]/Table1[[#This Row],[backers_count]])</f>
        <v>57.932367149758456</v>
      </c>
      <c r="U2279" t="str">
        <f>LEFT(Table1[[#This Row],[Category and Sub-Category]],FIND("/",Table1[[#This Row],[Category and Sub-Category]])-1)</f>
        <v>games</v>
      </c>
      <c r="V2279" t="str">
        <f>RIGHT(Table1[[#This Row],[Category and Sub-Category]],LEN(Table1[[#This Row],[Category and Sub-Category]])-FIND("/",Table1[[#This Row],[Category and Sub-Category]]))</f>
        <v>tabletop games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 s="12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>((Table1[[#This Row],[deadline]]/60)/60/24)+DATE(1970,1,1)</f>
        <v>42372.957638888889</v>
      </c>
      <c r="K2280">
        <v>1448902867</v>
      </c>
      <c r="L2280" s="11">
        <f>((Table1[[#This Row],[launched_at]]/60)/60/24)+DATE(1970,1,1)</f>
        <v>42338.709108796291</v>
      </c>
      <c r="M2280">
        <f>MONTH(Table1[[#This Row],[Date Created Conversion]])</f>
        <v>11</v>
      </c>
      <c r="N2280">
        <f>YEAR(Table1[[#This Row],[Date Created Conversion]])</f>
        <v>2015</v>
      </c>
      <c r="O2280" t="b">
        <v>0</v>
      </c>
      <c r="P2280">
        <v>102</v>
      </c>
      <c r="Q2280" t="b">
        <v>1</v>
      </c>
      <c r="R2280" t="s">
        <v>8297</v>
      </c>
      <c r="S2280" s="6">
        <f>Table1[[#This Row],[pledged]]/Table1[[#This Row],[goal]]</f>
        <v>2.7069999999999999</v>
      </c>
      <c r="T2280" s="8">
        <f>IF(Table1[[#This Row],[pledged]]=0,"no backers",Table1[[#This Row],[pledged]]/Table1[[#This Row],[backers_count]])</f>
        <v>53.078431372549019</v>
      </c>
      <c r="U2280" t="str">
        <f>LEFT(Table1[[#This Row],[Category and Sub-Category]],FIND("/",Table1[[#This Row],[Category and Sub-Category]])-1)</f>
        <v>games</v>
      </c>
      <c r="V2280" t="str">
        <f>RIGHT(Table1[[#This Row],[Category and Sub-Category]],LEN(Table1[[#This Row],[Category and Sub-Category]])-FIND("/",Table1[[#This Row],[Category and Sub-Category]]))</f>
        <v>tabletop games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 s="12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>((Table1[[#This Row],[deadline]]/60)/60/24)+DATE(1970,1,1)</f>
        <v>42039.166666666672</v>
      </c>
      <c r="K2281">
        <v>1421436099</v>
      </c>
      <c r="L2281" s="11">
        <f>((Table1[[#This Row],[launched_at]]/60)/60/24)+DATE(1970,1,1)</f>
        <v>42020.806701388887</v>
      </c>
      <c r="M2281">
        <f>MONTH(Table1[[#This Row],[Date Created Conversion]])</f>
        <v>1</v>
      </c>
      <c r="N2281">
        <f>YEAR(Table1[[#This Row],[Date Created Conversion]])</f>
        <v>2015</v>
      </c>
      <c r="O2281" t="b">
        <v>0</v>
      </c>
      <c r="P2281">
        <v>32</v>
      </c>
      <c r="Q2281" t="b">
        <v>1</v>
      </c>
      <c r="R2281" t="s">
        <v>8297</v>
      </c>
      <c r="S2281" s="6">
        <f>Table1[[#This Row],[pledged]]/Table1[[#This Row],[goal]]</f>
        <v>1.538</v>
      </c>
      <c r="T2281" s="8">
        <f>IF(Table1[[#This Row],[pledged]]=0,"no backers",Table1[[#This Row],[pledged]]/Table1[[#This Row],[backers_count]])</f>
        <v>48.0625</v>
      </c>
      <c r="U2281" t="str">
        <f>LEFT(Table1[[#This Row],[Category and Sub-Category]],FIND("/",Table1[[#This Row],[Category and Sub-Category]])-1)</f>
        <v>games</v>
      </c>
      <c r="V2281" t="str">
        <f>RIGHT(Table1[[#This Row],[Category and Sub-Category]],LEN(Table1[[#This Row],[Category and Sub-Category]])-FIND("/",Table1[[#This Row],[Category and Sub-Category]]))</f>
        <v>tabletop games</v>
      </c>
    </row>
    <row r="2282" spans="1:22" ht="57.6" x14ac:dyDescent="0.3">
      <c r="A2282">
        <v>2280</v>
      </c>
      <c r="B2282" s="3" t="s">
        <v>2281</v>
      </c>
      <c r="C2282" s="3" t="s">
        <v>6390</v>
      </c>
      <c r="D2282" s="1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>((Table1[[#This Row],[deadline]]/60)/60/24)+DATE(1970,1,1)</f>
        <v>42264.624895833331</v>
      </c>
      <c r="K2282">
        <v>1439909991</v>
      </c>
      <c r="L2282" s="11">
        <f>((Table1[[#This Row],[launched_at]]/60)/60/24)+DATE(1970,1,1)</f>
        <v>42234.624895833331</v>
      </c>
      <c r="M2282">
        <f>MONTH(Table1[[#This Row],[Date Created Conversion]])</f>
        <v>8</v>
      </c>
      <c r="N2282">
        <f>YEAR(Table1[[#This Row],[Date Created Conversion]])</f>
        <v>2015</v>
      </c>
      <c r="O2282" t="b">
        <v>0</v>
      </c>
      <c r="P2282">
        <v>480</v>
      </c>
      <c r="Q2282" t="b">
        <v>1</v>
      </c>
      <c r="R2282" t="s">
        <v>8297</v>
      </c>
      <c r="S2282" s="6">
        <f>Table1[[#This Row],[pledged]]/Table1[[#This Row],[goal]]</f>
        <v>4.0357653061224488</v>
      </c>
      <c r="T2282" s="8">
        <f>IF(Table1[[#This Row],[pledged]]=0,"no backers",Table1[[#This Row],[pledged]]/Table1[[#This Row],[backers_count]])</f>
        <v>82.396874999999994</v>
      </c>
      <c r="U2282" t="str">
        <f>LEFT(Table1[[#This Row],[Category and Sub-Category]],FIND("/",Table1[[#This Row],[Category and Sub-Category]])-1)</f>
        <v>games</v>
      </c>
      <c r="V2282" t="str">
        <f>RIGHT(Table1[[#This Row],[Category and Sub-Category]],LEN(Table1[[#This Row],[Category and Sub-Category]])-FIND("/",Table1[[#This Row],[Category and Sub-Category]]))</f>
        <v>tabletop games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 s="12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>((Table1[[#This Row],[deadline]]/60)/60/24)+DATE(1970,1,1)</f>
        <v>40749.284722222219</v>
      </c>
      <c r="K2283">
        <v>1306219897</v>
      </c>
      <c r="L2283" s="11">
        <f>((Table1[[#This Row],[launched_at]]/60)/60/24)+DATE(1970,1,1)</f>
        <v>40687.285844907405</v>
      </c>
      <c r="M2283">
        <f>MONTH(Table1[[#This Row],[Date Created Conversion]])</f>
        <v>5</v>
      </c>
      <c r="N2283">
        <f>YEAR(Table1[[#This Row],[Date Created Conversion]])</f>
        <v>2011</v>
      </c>
      <c r="O2283" t="b">
        <v>0</v>
      </c>
      <c r="P2283">
        <v>11</v>
      </c>
      <c r="Q2283" t="b">
        <v>1</v>
      </c>
      <c r="R2283" t="s">
        <v>8276</v>
      </c>
      <c r="S2283" s="6">
        <f>Table1[[#This Row],[pledged]]/Table1[[#This Row],[goal]]</f>
        <v>1.85</v>
      </c>
      <c r="T2283" s="8">
        <f>IF(Table1[[#This Row],[pledged]]=0,"no backers",Table1[[#This Row],[pledged]]/Table1[[#This Row],[backers_count]])</f>
        <v>50.454545454545453</v>
      </c>
      <c r="U2283" t="str">
        <f>LEFT(Table1[[#This Row],[Category and Sub-Category]],FIND("/",Table1[[#This Row],[Category and Sub-Category]])-1)</f>
        <v>music</v>
      </c>
      <c r="V2283" t="str">
        <f>RIGHT(Table1[[#This Row],[Category and Sub-Category]],LEN(Table1[[#This Row],[Category and Sub-Category]])-FIND("/",Table1[[#This Row],[Category and Sub-Category]]))</f>
        <v>rock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 s="12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>((Table1[[#This Row],[deadline]]/60)/60/24)+DATE(1970,1,1)</f>
        <v>42383.17460648148</v>
      </c>
      <c r="K2284">
        <v>1447560686</v>
      </c>
      <c r="L2284" s="11">
        <f>((Table1[[#This Row],[launched_at]]/60)/60/24)+DATE(1970,1,1)</f>
        <v>42323.17460648148</v>
      </c>
      <c r="M2284">
        <f>MONTH(Table1[[#This Row],[Date Created Conversion]])</f>
        <v>11</v>
      </c>
      <c r="N2284">
        <f>YEAR(Table1[[#This Row],[Date Created Conversion]])</f>
        <v>2015</v>
      </c>
      <c r="O2284" t="b">
        <v>0</v>
      </c>
      <c r="P2284">
        <v>12</v>
      </c>
      <c r="Q2284" t="b">
        <v>1</v>
      </c>
      <c r="R2284" t="s">
        <v>8276</v>
      </c>
      <c r="S2284" s="6">
        <f>Table1[[#This Row],[pledged]]/Table1[[#This Row],[goal]]</f>
        <v>1.8533333333333333</v>
      </c>
      <c r="T2284" s="8">
        <f>IF(Table1[[#This Row],[pledged]]=0,"no backers",Table1[[#This Row],[pledged]]/Table1[[#This Row],[backers_count]])</f>
        <v>115.83333333333333</v>
      </c>
      <c r="U2284" t="str">
        <f>LEFT(Table1[[#This Row],[Category and Sub-Category]],FIND("/",Table1[[#This Row],[Category and Sub-Category]])-1)</f>
        <v>music</v>
      </c>
      <c r="V2284" t="str">
        <f>RIGHT(Table1[[#This Row],[Category and Sub-Category]],LEN(Table1[[#This Row],[Category and Sub-Category]])-FIND("/",Table1[[#This Row],[Category and Sub-Category]]))</f>
        <v>rock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 s="12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>((Table1[[#This Row],[deadline]]/60)/60/24)+DATE(1970,1,1)</f>
        <v>41038.083379629628</v>
      </c>
      <c r="K2285">
        <v>1331348404</v>
      </c>
      <c r="L2285" s="11">
        <f>((Table1[[#This Row],[launched_at]]/60)/60/24)+DATE(1970,1,1)</f>
        <v>40978.125046296293</v>
      </c>
      <c r="M2285">
        <f>MONTH(Table1[[#This Row],[Date Created Conversion]])</f>
        <v>3</v>
      </c>
      <c r="N2285">
        <f>YEAR(Table1[[#This Row],[Date Created Conversion]])</f>
        <v>2012</v>
      </c>
      <c r="O2285" t="b">
        <v>0</v>
      </c>
      <c r="P2285">
        <v>48</v>
      </c>
      <c r="Q2285" t="b">
        <v>1</v>
      </c>
      <c r="R2285" t="s">
        <v>8276</v>
      </c>
      <c r="S2285" s="6">
        <f>Table1[[#This Row],[pledged]]/Table1[[#This Row],[goal]]</f>
        <v>1.0085533333333332</v>
      </c>
      <c r="T2285" s="8">
        <f>IF(Table1[[#This Row],[pledged]]=0,"no backers",Table1[[#This Row],[pledged]]/Table1[[#This Row],[backers_count]])</f>
        <v>63.03458333333333</v>
      </c>
      <c r="U2285" t="str">
        <f>LEFT(Table1[[#This Row],[Category and Sub-Category]],FIND("/",Table1[[#This Row],[Category and Sub-Category]])-1)</f>
        <v>music</v>
      </c>
      <c r="V2285" t="str">
        <f>RIGHT(Table1[[#This Row],[Category and Sub-Category]],LEN(Table1[[#This Row],[Category and Sub-Category]])-FIND("/",Table1[[#This Row],[Category and Sub-Category]]))</f>
        <v>rock</v>
      </c>
    </row>
    <row r="2286" spans="1:22" ht="28.8" x14ac:dyDescent="0.3">
      <c r="A2286">
        <v>2284</v>
      </c>
      <c r="B2286" s="3" t="s">
        <v>2285</v>
      </c>
      <c r="C2286" s="3" t="s">
        <v>6394</v>
      </c>
      <c r="D2286" s="12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>((Table1[[#This Row],[deadline]]/60)/60/24)+DATE(1970,1,1)</f>
        <v>40614.166666666664</v>
      </c>
      <c r="K2286">
        <v>1297451245</v>
      </c>
      <c r="L2286" s="11">
        <f>((Table1[[#This Row],[launched_at]]/60)/60/24)+DATE(1970,1,1)</f>
        <v>40585.796817129631</v>
      </c>
      <c r="M2286">
        <f>MONTH(Table1[[#This Row],[Date Created Conversion]])</f>
        <v>2</v>
      </c>
      <c r="N2286">
        <f>YEAR(Table1[[#This Row],[Date Created Conversion]])</f>
        <v>2011</v>
      </c>
      <c r="O2286" t="b">
        <v>0</v>
      </c>
      <c r="P2286">
        <v>59</v>
      </c>
      <c r="Q2286" t="b">
        <v>1</v>
      </c>
      <c r="R2286" t="s">
        <v>8276</v>
      </c>
      <c r="S2286" s="6">
        <f>Table1[[#This Row],[pledged]]/Table1[[#This Row],[goal]]</f>
        <v>1.0622116666666668</v>
      </c>
      <c r="T2286" s="8">
        <f>IF(Table1[[#This Row],[pledged]]=0,"no backers",Table1[[#This Row],[pledged]]/Table1[[#This Row],[backers_count]])</f>
        <v>108.02152542372882</v>
      </c>
      <c r="U2286" t="str">
        <f>LEFT(Table1[[#This Row],[Category and Sub-Category]],FIND("/",Table1[[#This Row],[Category and Sub-Category]])-1)</f>
        <v>music</v>
      </c>
      <c r="V2286" t="str">
        <f>RIGHT(Table1[[#This Row],[Category and Sub-Category]],LEN(Table1[[#This Row],[Category and Sub-Category]])-FIND("/",Table1[[#This Row],[Category and Sub-Category]]))</f>
        <v>rock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 s="12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>((Table1[[#This Row],[deadline]]/60)/60/24)+DATE(1970,1,1)</f>
        <v>41089.185682870368</v>
      </c>
      <c r="K2287">
        <v>1338352043</v>
      </c>
      <c r="L2287" s="11">
        <f>((Table1[[#This Row],[launched_at]]/60)/60/24)+DATE(1970,1,1)</f>
        <v>41059.185682870368</v>
      </c>
      <c r="M2287">
        <f>MONTH(Table1[[#This Row],[Date Created Conversion]])</f>
        <v>5</v>
      </c>
      <c r="N2287">
        <f>YEAR(Table1[[#This Row],[Date Created Conversion]])</f>
        <v>2012</v>
      </c>
      <c r="O2287" t="b">
        <v>0</v>
      </c>
      <c r="P2287">
        <v>79</v>
      </c>
      <c r="Q2287" t="b">
        <v>1</v>
      </c>
      <c r="R2287" t="s">
        <v>8276</v>
      </c>
      <c r="S2287" s="6">
        <f>Table1[[#This Row],[pledged]]/Table1[[#This Row],[goal]]</f>
        <v>1.2136666666666667</v>
      </c>
      <c r="T2287" s="8">
        <f>IF(Table1[[#This Row],[pledged]]=0,"no backers",Table1[[#This Row],[pledged]]/Table1[[#This Row],[backers_count]])</f>
        <v>46.088607594936711</v>
      </c>
      <c r="U2287" t="str">
        <f>LEFT(Table1[[#This Row],[Category and Sub-Category]],FIND("/",Table1[[#This Row],[Category and Sub-Category]])-1)</f>
        <v>music</v>
      </c>
      <c r="V2287" t="str">
        <f>RIGHT(Table1[[#This Row],[Category and Sub-Category]],LEN(Table1[[#This Row],[Category and Sub-Category]])-FIND("/",Table1[[#This Row],[Category and Sub-Category]]))</f>
        <v>rock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 s="12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>((Table1[[#This Row],[deadline]]/60)/60/24)+DATE(1970,1,1)</f>
        <v>41523.165972222225</v>
      </c>
      <c r="K2288">
        <v>1376003254</v>
      </c>
      <c r="L2288" s="11">
        <f>((Table1[[#This Row],[launched_at]]/60)/60/24)+DATE(1970,1,1)</f>
        <v>41494.963587962964</v>
      </c>
      <c r="M2288">
        <f>MONTH(Table1[[#This Row],[Date Created Conversion]])</f>
        <v>8</v>
      </c>
      <c r="N2288">
        <f>YEAR(Table1[[#This Row],[Date Created Conversion]])</f>
        <v>2013</v>
      </c>
      <c r="O2288" t="b">
        <v>0</v>
      </c>
      <c r="P2288">
        <v>14</v>
      </c>
      <c r="Q2288" t="b">
        <v>1</v>
      </c>
      <c r="R2288" t="s">
        <v>8276</v>
      </c>
      <c r="S2288" s="6">
        <f>Table1[[#This Row],[pledged]]/Table1[[#This Row],[goal]]</f>
        <v>1.0006666666666666</v>
      </c>
      <c r="T2288" s="8">
        <f>IF(Table1[[#This Row],[pledged]]=0,"no backers",Table1[[#This Row],[pledged]]/Table1[[#This Row],[backers_count]])</f>
        <v>107.21428571428571</v>
      </c>
      <c r="U2288" t="str">
        <f>LEFT(Table1[[#This Row],[Category and Sub-Category]],FIND("/",Table1[[#This Row],[Category and Sub-Category]])-1)</f>
        <v>music</v>
      </c>
      <c r="V2288" t="str">
        <f>RIGHT(Table1[[#This Row],[Category and Sub-Category]],LEN(Table1[[#This Row],[Category and Sub-Category]])-FIND("/",Table1[[#This Row],[Category and Sub-Category]]))</f>
        <v>rock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 s="12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>((Table1[[#This Row],[deadline]]/60)/60/24)+DATE(1970,1,1)</f>
        <v>41813.667361111111</v>
      </c>
      <c r="K2289">
        <v>1401724860</v>
      </c>
      <c r="L2289" s="11">
        <f>((Table1[[#This Row],[launched_at]]/60)/60/24)+DATE(1970,1,1)</f>
        <v>41792.667361111111</v>
      </c>
      <c r="M2289">
        <f>MONTH(Table1[[#This Row],[Date Created Conversion]])</f>
        <v>6</v>
      </c>
      <c r="N2289">
        <f>YEAR(Table1[[#This Row],[Date Created Conversion]])</f>
        <v>2014</v>
      </c>
      <c r="O2289" t="b">
        <v>0</v>
      </c>
      <c r="P2289">
        <v>106</v>
      </c>
      <c r="Q2289" t="b">
        <v>1</v>
      </c>
      <c r="R2289" t="s">
        <v>8276</v>
      </c>
      <c r="S2289" s="6">
        <f>Table1[[#This Row],[pledged]]/Table1[[#This Row],[goal]]</f>
        <v>1.1997755555555556</v>
      </c>
      <c r="T2289" s="8">
        <f>IF(Table1[[#This Row],[pledged]]=0,"no backers",Table1[[#This Row],[pledged]]/Table1[[#This Row],[backers_count]])</f>
        <v>50.9338679245283</v>
      </c>
      <c r="U2289" t="str">
        <f>LEFT(Table1[[#This Row],[Category and Sub-Category]],FIND("/",Table1[[#This Row],[Category and Sub-Category]])-1)</f>
        <v>music</v>
      </c>
      <c r="V2289" t="str">
        <f>RIGHT(Table1[[#This Row],[Category and Sub-Category]],LEN(Table1[[#This Row],[Category and Sub-Category]])-FIND("/",Table1[[#This Row],[Category and Sub-Category]]))</f>
        <v>rock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 s="12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>((Table1[[#This Row],[deadline]]/60)/60/24)+DATE(1970,1,1)</f>
        <v>41086.75</v>
      </c>
      <c r="K2290">
        <v>1339098689</v>
      </c>
      <c r="L2290" s="11">
        <f>((Table1[[#This Row],[launched_at]]/60)/60/24)+DATE(1970,1,1)</f>
        <v>41067.827418981484</v>
      </c>
      <c r="M2290">
        <f>MONTH(Table1[[#This Row],[Date Created Conversion]])</f>
        <v>6</v>
      </c>
      <c r="N2290">
        <f>YEAR(Table1[[#This Row],[Date Created Conversion]])</f>
        <v>2012</v>
      </c>
      <c r="O2290" t="b">
        <v>0</v>
      </c>
      <c r="P2290">
        <v>25</v>
      </c>
      <c r="Q2290" t="b">
        <v>1</v>
      </c>
      <c r="R2290" t="s">
        <v>8276</v>
      </c>
      <c r="S2290" s="6">
        <f>Table1[[#This Row],[pledged]]/Table1[[#This Row],[goal]]</f>
        <v>1.0009999999999999</v>
      </c>
      <c r="T2290" s="8">
        <f>IF(Table1[[#This Row],[pledged]]=0,"no backers",Table1[[#This Row],[pledged]]/Table1[[#This Row],[backers_count]])</f>
        <v>40.04</v>
      </c>
      <c r="U2290" t="str">
        <f>LEFT(Table1[[#This Row],[Category and Sub-Category]],FIND("/",Table1[[#This Row],[Category and Sub-Category]])-1)</f>
        <v>music</v>
      </c>
      <c r="V2290" t="str">
        <f>RIGHT(Table1[[#This Row],[Category and Sub-Category]],LEN(Table1[[#This Row],[Category and Sub-Category]])-FIND("/",Table1[[#This Row],[Category and Sub-Category]]))</f>
        <v>rock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 s="12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>((Table1[[#This Row],[deadline]]/60)/60/24)+DATE(1970,1,1)</f>
        <v>41614.973611111112</v>
      </c>
      <c r="K2291">
        <v>1382659060</v>
      </c>
      <c r="L2291" s="11">
        <f>((Table1[[#This Row],[launched_at]]/60)/60/24)+DATE(1970,1,1)</f>
        <v>41571.998379629629</v>
      </c>
      <c r="M2291">
        <f>MONTH(Table1[[#This Row],[Date Created Conversion]])</f>
        <v>10</v>
      </c>
      <c r="N2291">
        <f>YEAR(Table1[[#This Row],[Date Created Conversion]])</f>
        <v>2013</v>
      </c>
      <c r="O2291" t="b">
        <v>0</v>
      </c>
      <c r="P2291">
        <v>25</v>
      </c>
      <c r="Q2291" t="b">
        <v>1</v>
      </c>
      <c r="R2291" t="s">
        <v>8276</v>
      </c>
      <c r="S2291" s="6">
        <f>Table1[[#This Row],[pledged]]/Table1[[#This Row],[goal]]</f>
        <v>1.0740000000000001</v>
      </c>
      <c r="T2291" s="8">
        <f>IF(Table1[[#This Row],[pledged]]=0,"no backers",Table1[[#This Row],[pledged]]/Table1[[#This Row],[backers_count]])</f>
        <v>64.44</v>
      </c>
      <c r="U2291" t="str">
        <f>LEFT(Table1[[#This Row],[Category and Sub-Category]],FIND("/",Table1[[#This Row],[Category and Sub-Category]])-1)</f>
        <v>music</v>
      </c>
      <c r="V2291" t="str">
        <f>RIGHT(Table1[[#This Row],[Category and Sub-Category]],LEN(Table1[[#This Row],[Category and Sub-Category]])-FIND("/",Table1[[#This Row],[Category and Sub-Category]]))</f>
        <v>rock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 s="1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>((Table1[[#This Row],[deadline]]/60)/60/24)+DATE(1970,1,1)</f>
        <v>40148.708333333336</v>
      </c>
      <c r="K2292">
        <v>1252908330</v>
      </c>
      <c r="L2292" s="11">
        <f>((Table1[[#This Row],[launched_at]]/60)/60/24)+DATE(1970,1,1)</f>
        <v>40070.253819444442</v>
      </c>
      <c r="M2292">
        <f>MONTH(Table1[[#This Row],[Date Created Conversion]])</f>
        <v>9</v>
      </c>
      <c r="N2292">
        <f>YEAR(Table1[[#This Row],[Date Created Conversion]])</f>
        <v>2009</v>
      </c>
      <c r="O2292" t="b">
        <v>0</v>
      </c>
      <c r="P2292">
        <v>29</v>
      </c>
      <c r="Q2292" t="b">
        <v>1</v>
      </c>
      <c r="R2292" t="s">
        <v>8276</v>
      </c>
      <c r="S2292" s="6">
        <f>Table1[[#This Row],[pledged]]/Table1[[#This Row],[goal]]</f>
        <v>1.0406666666666666</v>
      </c>
      <c r="T2292" s="8">
        <f>IF(Table1[[#This Row],[pledged]]=0,"no backers",Table1[[#This Row],[pledged]]/Table1[[#This Row],[backers_count]])</f>
        <v>53.827586206896555</v>
      </c>
      <c r="U2292" t="str">
        <f>LEFT(Table1[[#This Row],[Category and Sub-Category]],FIND("/",Table1[[#This Row],[Category and Sub-Category]])-1)</f>
        <v>music</v>
      </c>
      <c r="V2292" t="str">
        <f>RIGHT(Table1[[#This Row],[Category and Sub-Category]],LEN(Table1[[#This Row],[Category and Sub-Category]])-FIND("/",Table1[[#This Row],[Category and Sub-Category]]))</f>
        <v>rock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 s="12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>((Table1[[#This Row],[deadline]]/60)/60/24)+DATE(1970,1,1)</f>
        <v>41022.166666666664</v>
      </c>
      <c r="K2293">
        <v>1332199618</v>
      </c>
      <c r="L2293" s="11">
        <f>((Table1[[#This Row],[launched_at]]/60)/60/24)+DATE(1970,1,1)</f>
        <v>40987.977060185185</v>
      </c>
      <c r="M2293">
        <f>MONTH(Table1[[#This Row],[Date Created Conversion]])</f>
        <v>3</v>
      </c>
      <c r="N2293">
        <f>YEAR(Table1[[#This Row],[Date Created Conversion]])</f>
        <v>2012</v>
      </c>
      <c r="O2293" t="b">
        <v>0</v>
      </c>
      <c r="P2293">
        <v>43</v>
      </c>
      <c r="Q2293" t="b">
        <v>1</v>
      </c>
      <c r="R2293" t="s">
        <v>8276</v>
      </c>
      <c r="S2293" s="6">
        <f>Table1[[#This Row],[pledged]]/Table1[[#This Row],[goal]]</f>
        <v>1.728</v>
      </c>
      <c r="T2293" s="8">
        <f>IF(Table1[[#This Row],[pledged]]=0,"no backers",Table1[[#This Row],[pledged]]/Table1[[#This Row],[backers_count]])</f>
        <v>100.46511627906976</v>
      </c>
      <c r="U2293" t="str">
        <f>LEFT(Table1[[#This Row],[Category and Sub-Category]],FIND("/",Table1[[#This Row],[Category and Sub-Category]])-1)</f>
        <v>music</v>
      </c>
      <c r="V2293" t="str">
        <f>RIGHT(Table1[[#This Row],[Category and Sub-Category]],LEN(Table1[[#This Row],[Category and Sub-Category]])-FIND("/",Table1[[#This Row],[Category and Sub-Category]]))</f>
        <v>rock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 s="12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>((Table1[[#This Row],[deadline]]/60)/60/24)+DATE(1970,1,1)</f>
        <v>41017.697638888887</v>
      </c>
      <c r="K2294">
        <v>1332175476</v>
      </c>
      <c r="L2294" s="11">
        <f>((Table1[[#This Row],[launched_at]]/60)/60/24)+DATE(1970,1,1)</f>
        <v>40987.697638888887</v>
      </c>
      <c r="M2294">
        <f>MONTH(Table1[[#This Row],[Date Created Conversion]])</f>
        <v>3</v>
      </c>
      <c r="N2294">
        <f>YEAR(Table1[[#This Row],[Date Created Conversion]])</f>
        <v>2012</v>
      </c>
      <c r="O2294" t="b">
        <v>0</v>
      </c>
      <c r="P2294">
        <v>46</v>
      </c>
      <c r="Q2294" t="b">
        <v>1</v>
      </c>
      <c r="R2294" t="s">
        <v>8276</v>
      </c>
      <c r="S2294" s="6">
        <f>Table1[[#This Row],[pledged]]/Table1[[#This Row],[goal]]</f>
        <v>1.072505</v>
      </c>
      <c r="T2294" s="8">
        <f>IF(Table1[[#This Row],[pledged]]=0,"no backers",Table1[[#This Row],[pledged]]/Table1[[#This Row],[backers_count]])</f>
        <v>46.630652173913049</v>
      </c>
      <c r="U2294" t="str">
        <f>LEFT(Table1[[#This Row],[Category and Sub-Category]],FIND("/",Table1[[#This Row],[Category and Sub-Category]])-1)</f>
        <v>music</v>
      </c>
      <c r="V2294" t="str">
        <f>RIGHT(Table1[[#This Row],[Category and Sub-Category]],LEN(Table1[[#This Row],[Category and Sub-Category]])-FIND("/",Table1[[#This Row],[Category and Sub-Category]]))</f>
        <v>rock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 s="12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>((Table1[[#This Row],[deadline]]/60)/60/24)+DATE(1970,1,1)</f>
        <v>41177.165972222225</v>
      </c>
      <c r="K2295">
        <v>1346345999</v>
      </c>
      <c r="L2295" s="11">
        <f>((Table1[[#This Row],[launched_at]]/60)/60/24)+DATE(1970,1,1)</f>
        <v>41151.708321759259</v>
      </c>
      <c r="M2295">
        <f>MONTH(Table1[[#This Row],[Date Created Conversion]])</f>
        <v>8</v>
      </c>
      <c r="N2295">
        <f>YEAR(Table1[[#This Row],[Date Created Conversion]])</f>
        <v>2012</v>
      </c>
      <c r="O2295" t="b">
        <v>0</v>
      </c>
      <c r="P2295">
        <v>27</v>
      </c>
      <c r="Q2295" t="b">
        <v>1</v>
      </c>
      <c r="R2295" t="s">
        <v>8276</v>
      </c>
      <c r="S2295" s="6">
        <f>Table1[[#This Row],[pledged]]/Table1[[#This Row],[goal]]</f>
        <v>1.0823529411764705</v>
      </c>
      <c r="T2295" s="8">
        <f>IF(Table1[[#This Row],[pledged]]=0,"no backers",Table1[[#This Row],[pledged]]/Table1[[#This Row],[backers_count]])</f>
        <v>34.074074074074076</v>
      </c>
      <c r="U2295" t="str">
        <f>LEFT(Table1[[#This Row],[Category and Sub-Category]],FIND("/",Table1[[#This Row],[Category and Sub-Category]])-1)</f>
        <v>music</v>
      </c>
      <c r="V2295" t="str">
        <f>RIGHT(Table1[[#This Row],[Category and Sub-Category]],LEN(Table1[[#This Row],[Category and Sub-Category]])-FIND("/",Table1[[#This Row],[Category and Sub-Category]]))</f>
        <v>rock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 s="12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>((Table1[[#This Row],[deadline]]/60)/60/24)+DATE(1970,1,1)</f>
        <v>41294.72314814815</v>
      </c>
      <c r="K2296">
        <v>1356110480</v>
      </c>
      <c r="L2296" s="11">
        <f>((Table1[[#This Row],[launched_at]]/60)/60/24)+DATE(1970,1,1)</f>
        <v>41264.72314814815</v>
      </c>
      <c r="M2296">
        <f>MONTH(Table1[[#This Row],[Date Created Conversion]])</f>
        <v>12</v>
      </c>
      <c r="N2296">
        <f>YEAR(Table1[[#This Row],[Date Created Conversion]])</f>
        <v>2012</v>
      </c>
      <c r="O2296" t="b">
        <v>0</v>
      </c>
      <c r="P2296">
        <v>112</v>
      </c>
      <c r="Q2296" t="b">
        <v>1</v>
      </c>
      <c r="R2296" t="s">
        <v>8276</v>
      </c>
      <c r="S2296" s="6">
        <f>Table1[[#This Row],[pledged]]/Table1[[#This Row],[goal]]</f>
        <v>1.4608079999999999</v>
      </c>
      <c r="T2296" s="8">
        <f>IF(Table1[[#This Row],[pledged]]=0,"no backers",Table1[[#This Row],[pledged]]/Table1[[#This Row],[backers_count]])</f>
        <v>65.214642857142863</v>
      </c>
      <c r="U2296" t="str">
        <f>LEFT(Table1[[#This Row],[Category and Sub-Category]],FIND("/",Table1[[#This Row],[Category and Sub-Category]])-1)</f>
        <v>music</v>
      </c>
      <c r="V2296" t="str">
        <f>RIGHT(Table1[[#This Row],[Category and Sub-Category]],LEN(Table1[[#This Row],[Category and Sub-Category]])-FIND("/",Table1[[#This Row],[Category and Sub-Category]]))</f>
        <v>rock</v>
      </c>
    </row>
    <row r="2297" spans="1:22" ht="57.6" x14ac:dyDescent="0.3">
      <c r="A2297">
        <v>2295</v>
      </c>
      <c r="B2297" s="3" t="s">
        <v>2296</v>
      </c>
      <c r="C2297" s="3" t="s">
        <v>6405</v>
      </c>
      <c r="D2297" s="12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>((Table1[[#This Row],[deadline]]/60)/60/24)+DATE(1970,1,1)</f>
        <v>41300.954351851848</v>
      </c>
      <c r="K2297">
        <v>1356648856</v>
      </c>
      <c r="L2297" s="11">
        <f>((Table1[[#This Row],[launched_at]]/60)/60/24)+DATE(1970,1,1)</f>
        <v>41270.954351851848</v>
      </c>
      <c r="M2297">
        <f>MONTH(Table1[[#This Row],[Date Created Conversion]])</f>
        <v>12</v>
      </c>
      <c r="N2297">
        <f>YEAR(Table1[[#This Row],[Date Created Conversion]])</f>
        <v>2012</v>
      </c>
      <c r="O2297" t="b">
        <v>0</v>
      </c>
      <c r="P2297">
        <v>34</v>
      </c>
      <c r="Q2297" t="b">
        <v>1</v>
      </c>
      <c r="R2297" t="s">
        <v>8276</v>
      </c>
      <c r="S2297" s="6">
        <f>Table1[[#This Row],[pledged]]/Table1[[#This Row],[goal]]</f>
        <v>1.2524999999999999</v>
      </c>
      <c r="T2297" s="8">
        <f>IF(Table1[[#This Row],[pledged]]=0,"no backers",Table1[[#This Row],[pledged]]/Table1[[#This Row],[backers_count]])</f>
        <v>44.205882352941174</v>
      </c>
      <c r="U2297" t="str">
        <f>LEFT(Table1[[#This Row],[Category and Sub-Category]],FIND("/",Table1[[#This Row],[Category and Sub-Category]])-1)</f>
        <v>music</v>
      </c>
      <c r="V2297" t="str">
        <f>RIGHT(Table1[[#This Row],[Category and Sub-Category]],LEN(Table1[[#This Row],[Category and Sub-Category]])-FIND("/",Table1[[#This Row],[Category and Sub-Category]]))</f>
        <v>rock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 s="12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>((Table1[[#This Row],[deadline]]/60)/60/24)+DATE(1970,1,1)</f>
        <v>40962.731782407405</v>
      </c>
      <c r="K2298">
        <v>1326994426</v>
      </c>
      <c r="L2298" s="11">
        <f>((Table1[[#This Row],[launched_at]]/60)/60/24)+DATE(1970,1,1)</f>
        <v>40927.731782407405</v>
      </c>
      <c r="M2298">
        <f>MONTH(Table1[[#This Row],[Date Created Conversion]])</f>
        <v>1</v>
      </c>
      <c r="N2298">
        <f>YEAR(Table1[[#This Row],[Date Created Conversion]])</f>
        <v>2012</v>
      </c>
      <c r="O2298" t="b">
        <v>0</v>
      </c>
      <c r="P2298">
        <v>145</v>
      </c>
      <c r="Q2298" t="b">
        <v>1</v>
      </c>
      <c r="R2298" t="s">
        <v>8276</v>
      </c>
      <c r="S2298" s="6">
        <f>Table1[[#This Row],[pledged]]/Table1[[#This Row],[goal]]</f>
        <v>1.4907142857142857</v>
      </c>
      <c r="T2298" s="8">
        <f>IF(Table1[[#This Row],[pledged]]=0,"no backers",Table1[[#This Row],[pledged]]/Table1[[#This Row],[backers_count]])</f>
        <v>71.965517241379317</v>
      </c>
      <c r="U2298" t="str">
        <f>LEFT(Table1[[#This Row],[Category and Sub-Category]],FIND("/",Table1[[#This Row],[Category and Sub-Category]])-1)</f>
        <v>music</v>
      </c>
      <c r="V2298" t="str">
        <f>RIGHT(Table1[[#This Row],[Category and Sub-Category]],LEN(Table1[[#This Row],[Category and Sub-Category]])-FIND("/",Table1[[#This Row],[Category and Sub-Category]]))</f>
        <v>rock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 s="12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>((Table1[[#This Row],[deadline]]/60)/60/24)+DATE(1970,1,1)</f>
        <v>40982.165972222225</v>
      </c>
      <c r="K2299">
        <v>1328749249</v>
      </c>
      <c r="L2299" s="11">
        <f>((Table1[[#This Row],[launched_at]]/60)/60/24)+DATE(1970,1,1)</f>
        <v>40948.042233796295</v>
      </c>
      <c r="M2299">
        <f>MONTH(Table1[[#This Row],[Date Created Conversion]])</f>
        <v>2</v>
      </c>
      <c r="N2299">
        <f>YEAR(Table1[[#This Row],[Date Created Conversion]])</f>
        <v>2012</v>
      </c>
      <c r="O2299" t="b">
        <v>0</v>
      </c>
      <c r="P2299">
        <v>19</v>
      </c>
      <c r="Q2299" t="b">
        <v>1</v>
      </c>
      <c r="R2299" t="s">
        <v>8276</v>
      </c>
      <c r="S2299" s="6">
        <f>Table1[[#This Row],[pledged]]/Table1[[#This Row],[goal]]</f>
        <v>1.006</v>
      </c>
      <c r="T2299" s="8">
        <f>IF(Table1[[#This Row],[pledged]]=0,"no backers",Table1[[#This Row],[pledged]]/Table1[[#This Row],[backers_count]])</f>
        <v>52.94736842105263</v>
      </c>
      <c r="U2299" t="str">
        <f>LEFT(Table1[[#This Row],[Category and Sub-Category]],FIND("/",Table1[[#This Row],[Category and Sub-Category]])-1)</f>
        <v>music</v>
      </c>
      <c r="V2299" t="str">
        <f>RIGHT(Table1[[#This Row],[Category and Sub-Category]],LEN(Table1[[#This Row],[Category and Sub-Category]])-FIND("/",Table1[[#This Row],[Category and Sub-Category]]))</f>
        <v>rock</v>
      </c>
    </row>
    <row r="2300" spans="1:22" ht="43.2" x14ac:dyDescent="0.3">
      <c r="A2300">
        <v>2298</v>
      </c>
      <c r="B2300" s="3" t="s">
        <v>2299</v>
      </c>
      <c r="C2300" s="3" t="s">
        <v>6408</v>
      </c>
      <c r="D2300" s="12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>((Table1[[#This Row],[deadline]]/60)/60/24)+DATE(1970,1,1)</f>
        <v>41724.798993055556</v>
      </c>
      <c r="K2300">
        <v>1393272633</v>
      </c>
      <c r="L2300" s="11">
        <f>((Table1[[#This Row],[launched_at]]/60)/60/24)+DATE(1970,1,1)</f>
        <v>41694.84065972222</v>
      </c>
      <c r="M2300">
        <f>MONTH(Table1[[#This Row],[Date Created Conversion]])</f>
        <v>2</v>
      </c>
      <c r="N2300">
        <f>YEAR(Table1[[#This Row],[Date Created Conversion]])</f>
        <v>2014</v>
      </c>
      <c r="O2300" t="b">
        <v>0</v>
      </c>
      <c r="P2300">
        <v>288</v>
      </c>
      <c r="Q2300" t="b">
        <v>1</v>
      </c>
      <c r="R2300" t="s">
        <v>8276</v>
      </c>
      <c r="S2300" s="6">
        <f>Table1[[#This Row],[pledged]]/Table1[[#This Row],[goal]]</f>
        <v>1.0507333333333333</v>
      </c>
      <c r="T2300" s="8">
        <f>IF(Table1[[#This Row],[pledged]]=0,"no backers",Table1[[#This Row],[pledged]]/Table1[[#This Row],[backers_count]])</f>
        <v>109.45138888888889</v>
      </c>
      <c r="U2300" t="str">
        <f>LEFT(Table1[[#This Row],[Category and Sub-Category]],FIND("/",Table1[[#This Row],[Category and Sub-Category]])-1)</f>
        <v>music</v>
      </c>
      <c r="V2300" t="str">
        <f>RIGHT(Table1[[#This Row],[Category and Sub-Category]],LEN(Table1[[#This Row],[Category and Sub-Category]])-FIND("/",Table1[[#This Row],[Category and Sub-Category]]))</f>
        <v>rock</v>
      </c>
    </row>
    <row r="2301" spans="1:22" ht="43.2" x14ac:dyDescent="0.3">
      <c r="A2301">
        <v>2299</v>
      </c>
      <c r="B2301" s="3" t="s">
        <v>2300</v>
      </c>
      <c r="C2301" s="3" t="s">
        <v>6409</v>
      </c>
      <c r="D2301" s="12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>((Table1[[#This Row],[deadline]]/60)/60/24)+DATE(1970,1,1)</f>
        <v>40580.032511574071</v>
      </c>
      <c r="K2301">
        <v>1295657209</v>
      </c>
      <c r="L2301" s="11">
        <f>((Table1[[#This Row],[launched_at]]/60)/60/24)+DATE(1970,1,1)</f>
        <v>40565.032511574071</v>
      </c>
      <c r="M2301">
        <f>MONTH(Table1[[#This Row],[Date Created Conversion]])</f>
        <v>1</v>
      </c>
      <c r="N2301">
        <f>YEAR(Table1[[#This Row],[Date Created Conversion]])</f>
        <v>2011</v>
      </c>
      <c r="O2301" t="b">
        <v>0</v>
      </c>
      <c r="P2301">
        <v>14</v>
      </c>
      <c r="Q2301" t="b">
        <v>1</v>
      </c>
      <c r="R2301" t="s">
        <v>8276</v>
      </c>
      <c r="S2301" s="6">
        <f>Table1[[#This Row],[pledged]]/Table1[[#This Row],[goal]]</f>
        <v>3.5016666666666665</v>
      </c>
      <c r="T2301" s="8">
        <f>IF(Table1[[#This Row],[pledged]]=0,"no backers",Table1[[#This Row],[pledged]]/Table1[[#This Row],[backers_count]])</f>
        <v>75.035714285714292</v>
      </c>
      <c r="U2301" t="str">
        <f>LEFT(Table1[[#This Row],[Category and Sub-Category]],FIND("/",Table1[[#This Row],[Category and Sub-Category]])-1)</f>
        <v>music</v>
      </c>
      <c r="V2301" t="str">
        <f>RIGHT(Table1[[#This Row],[Category and Sub-Category]],LEN(Table1[[#This Row],[Category and Sub-Category]])-FIND("/",Table1[[#This Row],[Category and Sub-Category]]))</f>
        <v>rock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 s="1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>((Table1[[#This Row],[deadline]]/60)/60/24)+DATE(1970,1,1)</f>
        <v>41088.727037037039</v>
      </c>
      <c r="K2302">
        <v>1339694816</v>
      </c>
      <c r="L2302" s="11">
        <f>((Table1[[#This Row],[launched_at]]/60)/60/24)+DATE(1970,1,1)</f>
        <v>41074.727037037039</v>
      </c>
      <c r="M2302">
        <f>MONTH(Table1[[#This Row],[Date Created Conversion]])</f>
        <v>6</v>
      </c>
      <c r="N2302">
        <f>YEAR(Table1[[#This Row],[Date Created Conversion]])</f>
        <v>2012</v>
      </c>
      <c r="O2302" t="b">
        <v>0</v>
      </c>
      <c r="P2302">
        <v>7</v>
      </c>
      <c r="Q2302" t="b">
        <v>1</v>
      </c>
      <c r="R2302" t="s">
        <v>8276</v>
      </c>
      <c r="S2302" s="6">
        <f>Table1[[#This Row],[pledged]]/Table1[[#This Row],[goal]]</f>
        <v>1.0125</v>
      </c>
      <c r="T2302" s="8">
        <f>IF(Table1[[#This Row],[pledged]]=0,"no backers",Table1[[#This Row],[pledged]]/Table1[[#This Row],[backers_count]])</f>
        <v>115.71428571428571</v>
      </c>
      <c r="U2302" t="str">
        <f>LEFT(Table1[[#This Row],[Category and Sub-Category]],FIND("/",Table1[[#This Row],[Category and Sub-Category]])-1)</f>
        <v>music</v>
      </c>
      <c r="V2302" t="str">
        <f>RIGHT(Table1[[#This Row],[Category and Sub-Category]],LEN(Table1[[#This Row],[Category and Sub-Category]])-FIND("/",Table1[[#This Row],[Category and Sub-Category]]))</f>
        <v>rock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 s="12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>((Table1[[#This Row],[deadline]]/60)/60/24)+DATE(1970,1,1)</f>
        <v>41446.146944444445</v>
      </c>
      <c r="K2303">
        <v>1369193496</v>
      </c>
      <c r="L2303" s="11">
        <f>((Table1[[#This Row],[launched_at]]/60)/60/24)+DATE(1970,1,1)</f>
        <v>41416.146944444445</v>
      </c>
      <c r="M2303">
        <f>MONTH(Table1[[#This Row],[Date Created Conversion]])</f>
        <v>5</v>
      </c>
      <c r="N2303">
        <f>YEAR(Table1[[#This Row],[Date Created Conversion]])</f>
        <v>2013</v>
      </c>
      <c r="O2303" t="b">
        <v>1</v>
      </c>
      <c r="P2303">
        <v>211</v>
      </c>
      <c r="Q2303" t="b">
        <v>1</v>
      </c>
      <c r="R2303" t="s">
        <v>8279</v>
      </c>
      <c r="S2303" s="6">
        <f>Table1[[#This Row],[pledged]]/Table1[[#This Row],[goal]]</f>
        <v>1.336044</v>
      </c>
      <c r="T2303" s="8">
        <f>IF(Table1[[#This Row],[pledged]]=0,"no backers",Table1[[#This Row],[pledged]]/Table1[[#This Row],[backers_count]])</f>
        <v>31.659810426540286</v>
      </c>
      <c r="U2303" t="str">
        <f>LEFT(Table1[[#This Row],[Category and Sub-Category]],FIND("/",Table1[[#This Row],[Category and Sub-Category]])-1)</f>
        <v>music</v>
      </c>
      <c r="V2303" t="str">
        <f>RIGHT(Table1[[#This Row],[Category and Sub-Category]],LEN(Table1[[#This Row],[Category and Sub-Category]])-FIND("/",Table1[[#This Row],[Category and Sub-Category]]))</f>
        <v>indie rock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 s="12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>((Table1[[#This Row],[deadline]]/60)/60/24)+DATE(1970,1,1)</f>
        <v>41639.291666666664</v>
      </c>
      <c r="K2304">
        <v>1385585434</v>
      </c>
      <c r="L2304" s="11">
        <f>((Table1[[#This Row],[launched_at]]/60)/60/24)+DATE(1970,1,1)</f>
        <v>41605.868449074071</v>
      </c>
      <c r="M2304">
        <f>MONTH(Table1[[#This Row],[Date Created Conversion]])</f>
        <v>11</v>
      </c>
      <c r="N2304">
        <f>YEAR(Table1[[#This Row],[Date Created Conversion]])</f>
        <v>2013</v>
      </c>
      <c r="O2304" t="b">
        <v>1</v>
      </c>
      <c r="P2304">
        <v>85</v>
      </c>
      <c r="Q2304" t="b">
        <v>1</v>
      </c>
      <c r="R2304" t="s">
        <v>8279</v>
      </c>
      <c r="S2304" s="6">
        <f>Table1[[#This Row],[pledged]]/Table1[[#This Row],[goal]]</f>
        <v>1.7065217391304348</v>
      </c>
      <c r="T2304" s="8">
        <f>IF(Table1[[#This Row],[pledged]]=0,"no backers",Table1[[#This Row],[pledged]]/Table1[[#This Row],[backers_count]])</f>
        <v>46.176470588235297</v>
      </c>
      <c r="U2304" t="str">
        <f>LEFT(Table1[[#This Row],[Category and Sub-Category]],FIND("/",Table1[[#This Row],[Category and Sub-Category]])-1)</f>
        <v>music</v>
      </c>
      <c r="V2304" t="str">
        <f>RIGHT(Table1[[#This Row],[Category and Sub-Category]],LEN(Table1[[#This Row],[Category and Sub-Category]])-FIND("/",Table1[[#This Row],[Category and Sub-Category]]))</f>
        <v>indie rock</v>
      </c>
    </row>
    <row r="2305" spans="1:22" ht="57.6" x14ac:dyDescent="0.3">
      <c r="A2305">
        <v>2303</v>
      </c>
      <c r="B2305" s="3" t="s">
        <v>2304</v>
      </c>
      <c r="C2305" s="3" t="s">
        <v>6413</v>
      </c>
      <c r="D2305" s="12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>((Table1[[#This Row],[deadline]]/60)/60/24)+DATE(1970,1,1)</f>
        <v>40890.152731481481</v>
      </c>
      <c r="K2305">
        <v>1320287996</v>
      </c>
      <c r="L2305" s="11">
        <f>((Table1[[#This Row],[launched_at]]/60)/60/24)+DATE(1970,1,1)</f>
        <v>40850.111064814817</v>
      </c>
      <c r="M2305">
        <f>MONTH(Table1[[#This Row],[Date Created Conversion]])</f>
        <v>11</v>
      </c>
      <c r="N2305">
        <f>YEAR(Table1[[#This Row],[Date Created Conversion]])</f>
        <v>2011</v>
      </c>
      <c r="O2305" t="b">
        <v>1</v>
      </c>
      <c r="P2305">
        <v>103</v>
      </c>
      <c r="Q2305" t="b">
        <v>1</v>
      </c>
      <c r="R2305" t="s">
        <v>8279</v>
      </c>
      <c r="S2305" s="6">
        <f>Table1[[#This Row],[pledged]]/Table1[[#This Row],[goal]]</f>
        <v>1.0935829457364341</v>
      </c>
      <c r="T2305" s="8">
        <f>IF(Table1[[#This Row],[pledged]]=0,"no backers",Table1[[#This Row],[pledged]]/Table1[[#This Row],[backers_count]])</f>
        <v>68.481650485436887</v>
      </c>
      <c r="U2305" t="str">
        <f>LEFT(Table1[[#This Row],[Category and Sub-Category]],FIND("/",Table1[[#This Row],[Category and Sub-Category]])-1)</f>
        <v>music</v>
      </c>
      <c r="V2305" t="str">
        <f>RIGHT(Table1[[#This Row],[Category and Sub-Category]],LEN(Table1[[#This Row],[Category and Sub-Category]])-FIND("/",Table1[[#This Row],[Category and Sub-Category]]))</f>
        <v>indie rock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 s="12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>((Table1[[#This Row],[deadline]]/60)/60/24)+DATE(1970,1,1)</f>
        <v>40544.207638888889</v>
      </c>
      <c r="K2306">
        <v>1290281691</v>
      </c>
      <c r="L2306" s="11">
        <f>((Table1[[#This Row],[launched_at]]/60)/60/24)+DATE(1970,1,1)</f>
        <v>40502.815868055557</v>
      </c>
      <c r="M2306">
        <f>MONTH(Table1[[#This Row],[Date Created Conversion]])</f>
        <v>11</v>
      </c>
      <c r="N2306">
        <f>YEAR(Table1[[#This Row],[Date Created Conversion]])</f>
        <v>2010</v>
      </c>
      <c r="O2306" t="b">
        <v>1</v>
      </c>
      <c r="P2306">
        <v>113</v>
      </c>
      <c r="Q2306" t="b">
        <v>1</v>
      </c>
      <c r="R2306" t="s">
        <v>8279</v>
      </c>
      <c r="S2306" s="6">
        <f>Table1[[#This Row],[pledged]]/Table1[[#This Row],[goal]]</f>
        <v>1.0070033333333335</v>
      </c>
      <c r="T2306" s="8">
        <f>IF(Table1[[#This Row],[pledged]]=0,"no backers",Table1[[#This Row],[pledged]]/Table1[[#This Row],[backers_count]])</f>
        <v>53.469203539823013</v>
      </c>
      <c r="U2306" t="str">
        <f>LEFT(Table1[[#This Row],[Category and Sub-Category]],FIND("/",Table1[[#This Row],[Category and Sub-Category]])-1)</f>
        <v>music</v>
      </c>
      <c r="V2306" t="str">
        <f>RIGHT(Table1[[#This Row],[Category and Sub-Category]],LEN(Table1[[#This Row],[Category and Sub-Category]])-FIND("/",Table1[[#This Row],[Category and Sub-Category]]))</f>
        <v>indie rock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 s="12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>((Table1[[#This Row],[deadline]]/60)/60/24)+DATE(1970,1,1)</f>
        <v>41859.75</v>
      </c>
      <c r="K2307">
        <v>1405356072</v>
      </c>
      <c r="L2307" s="11">
        <f>((Table1[[#This Row],[launched_at]]/60)/60/24)+DATE(1970,1,1)</f>
        <v>41834.695277777777</v>
      </c>
      <c r="M2307">
        <f>MONTH(Table1[[#This Row],[Date Created Conversion]])</f>
        <v>7</v>
      </c>
      <c r="N2307">
        <f>YEAR(Table1[[#This Row],[Date Created Conversion]])</f>
        <v>2014</v>
      </c>
      <c r="O2307" t="b">
        <v>1</v>
      </c>
      <c r="P2307">
        <v>167</v>
      </c>
      <c r="Q2307" t="b">
        <v>1</v>
      </c>
      <c r="R2307" t="s">
        <v>8279</v>
      </c>
      <c r="S2307" s="6">
        <f>Table1[[#This Row],[pledged]]/Table1[[#This Row],[goal]]</f>
        <v>1.0122777777777778</v>
      </c>
      <c r="T2307" s="8">
        <f>IF(Table1[[#This Row],[pledged]]=0,"no backers",Table1[[#This Row],[pledged]]/Table1[[#This Row],[backers_count]])</f>
        <v>109.10778443113773</v>
      </c>
      <c r="U2307" t="str">
        <f>LEFT(Table1[[#This Row],[Category and Sub-Category]],FIND("/",Table1[[#This Row],[Category and Sub-Category]])-1)</f>
        <v>music</v>
      </c>
      <c r="V2307" t="str">
        <f>RIGHT(Table1[[#This Row],[Category and Sub-Category]],LEN(Table1[[#This Row],[Category and Sub-Category]])-FIND("/",Table1[[#This Row],[Category and Sub-Category]]))</f>
        <v>indie rock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 s="12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>((Table1[[#This Row],[deadline]]/60)/60/24)+DATE(1970,1,1)</f>
        <v>40978.16815972222</v>
      </c>
      <c r="K2308">
        <v>1328760129</v>
      </c>
      <c r="L2308" s="11">
        <f>((Table1[[#This Row],[launched_at]]/60)/60/24)+DATE(1970,1,1)</f>
        <v>40948.16815972222</v>
      </c>
      <c r="M2308">
        <f>MONTH(Table1[[#This Row],[Date Created Conversion]])</f>
        <v>2</v>
      </c>
      <c r="N2308">
        <f>YEAR(Table1[[#This Row],[Date Created Conversion]])</f>
        <v>2012</v>
      </c>
      <c r="O2308" t="b">
        <v>1</v>
      </c>
      <c r="P2308">
        <v>73</v>
      </c>
      <c r="Q2308" t="b">
        <v>1</v>
      </c>
      <c r="R2308" t="s">
        <v>8279</v>
      </c>
      <c r="S2308" s="6">
        <f>Table1[[#This Row],[pledged]]/Table1[[#This Row],[goal]]</f>
        <v>1.0675857142857144</v>
      </c>
      <c r="T2308" s="8">
        <f>IF(Table1[[#This Row],[pledged]]=0,"no backers",Table1[[#This Row],[pledged]]/Table1[[#This Row],[backers_count]])</f>
        <v>51.185616438356163</v>
      </c>
      <c r="U2308" t="str">
        <f>LEFT(Table1[[#This Row],[Category and Sub-Category]],FIND("/",Table1[[#This Row],[Category and Sub-Category]])-1)</f>
        <v>music</v>
      </c>
      <c r="V2308" t="str">
        <f>RIGHT(Table1[[#This Row],[Category and Sub-Category]],LEN(Table1[[#This Row],[Category and Sub-Category]])-FIND("/",Table1[[#This Row],[Category and Sub-Category]]))</f>
        <v>indie rock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 s="12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>((Table1[[#This Row],[deadline]]/60)/60/24)+DATE(1970,1,1)</f>
        <v>41034.802407407406</v>
      </c>
      <c r="K2309">
        <v>1333653333</v>
      </c>
      <c r="L2309" s="11">
        <f>((Table1[[#This Row],[launched_at]]/60)/60/24)+DATE(1970,1,1)</f>
        <v>41004.802465277775</v>
      </c>
      <c r="M2309">
        <f>MONTH(Table1[[#This Row],[Date Created Conversion]])</f>
        <v>4</v>
      </c>
      <c r="N2309">
        <f>YEAR(Table1[[#This Row],[Date Created Conversion]])</f>
        <v>2012</v>
      </c>
      <c r="O2309" t="b">
        <v>1</v>
      </c>
      <c r="P2309">
        <v>75</v>
      </c>
      <c r="Q2309" t="b">
        <v>1</v>
      </c>
      <c r="R2309" t="s">
        <v>8279</v>
      </c>
      <c r="S2309" s="6">
        <f>Table1[[#This Row],[pledged]]/Table1[[#This Row],[goal]]</f>
        <v>1.0665777537961894</v>
      </c>
      <c r="T2309" s="8">
        <f>IF(Table1[[#This Row],[pledged]]=0,"no backers",Table1[[#This Row],[pledged]]/Table1[[#This Row],[backers_count]])</f>
        <v>27.936800000000002</v>
      </c>
      <c r="U2309" t="str">
        <f>LEFT(Table1[[#This Row],[Category and Sub-Category]],FIND("/",Table1[[#This Row],[Category and Sub-Category]])-1)</f>
        <v>music</v>
      </c>
      <c r="V2309" t="str">
        <f>RIGHT(Table1[[#This Row],[Category and Sub-Category]],LEN(Table1[[#This Row],[Category and Sub-Category]])-FIND("/",Table1[[#This Row],[Category and Sub-Category]]))</f>
        <v>indie rock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 s="12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>((Table1[[#This Row],[deadline]]/60)/60/24)+DATE(1970,1,1)</f>
        <v>41880.041666666664</v>
      </c>
      <c r="K2310">
        <v>1406847996</v>
      </c>
      <c r="L2310" s="11">
        <f>((Table1[[#This Row],[launched_at]]/60)/60/24)+DATE(1970,1,1)</f>
        <v>41851.962916666671</v>
      </c>
      <c r="M2310">
        <f>MONTH(Table1[[#This Row],[Date Created Conversion]])</f>
        <v>7</v>
      </c>
      <c r="N2310">
        <f>YEAR(Table1[[#This Row],[Date Created Conversion]])</f>
        <v>2014</v>
      </c>
      <c r="O2310" t="b">
        <v>1</v>
      </c>
      <c r="P2310">
        <v>614</v>
      </c>
      <c r="Q2310" t="b">
        <v>1</v>
      </c>
      <c r="R2310" t="s">
        <v>8279</v>
      </c>
      <c r="S2310" s="6">
        <f>Table1[[#This Row],[pledged]]/Table1[[#This Row],[goal]]</f>
        <v>1.0130622</v>
      </c>
      <c r="T2310" s="8">
        <f>IF(Table1[[#This Row],[pledged]]=0,"no backers",Table1[[#This Row],[pledged]]/Table1[[#This Row],[backers_count]])</f>
        <v>82.496921824104234</v>
      </c>
      <c r="U2310" t="str">
        <f>LEFT(Table1[[#This Row],[Category and Sub-Category]],FIND("/",Table1[[#This Row],[Category and Sub-Category]])-1)</f>
        <v>music</v>
      </c>
      <c r="V2310" t="str">
        <f>RIGHT(Table1[[#This Row],[Category and Sub-Category]],LEN(Table1[[#This Row],[Category and Sub-Category]])-FIND("/",Table1[[#This Row],[Category and Sub-Category]]))</f>
        <v>indie rock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 s="12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>((Table1[[#This Row],[deadline]]/60)/60/24)+DATE(1970,1,1)</f>
        <v>41342.987696759257</v>
      </c>
      <c r="K2311">
        <v>1359848537</v>
      </c>
      <c r="L2311" s="11">
        <f>((Table1[[#This Row],[launched_at]]/60)/60/24)+DATE(1970,1,1)</f>
        <v>41307.987696759257</v>
      </c>
      <c r="M2311">
        <f>MONTH(Table1[[#This Row],[Date Created Conversion]])</f>
        <v>2</v>
      </c>
      <c r="N2311">
        <f>YEAR(Table1[[#This Row],[Date Created Conversion]])</f>
        <v>2013</v>
      </c>
      <c r="O2311" t="b">
        <v>1</v>
      </c>
      <c r="P2311">
        <v>107</v>
      </c>
      <c r="Q2311" t="b">
        <v>1</v>
      </c>
      <c r="R2311" t="s">
        <v>8279</v>
      </c>
      <c r="S2311" s="6">
        <f>Table1[[#This Row],[pledged]]/Table1[[#This Row],[goal]]</f>
        <v>1.0667450000000001</v>
      </c>
      <c r="T2311" s="8">
        <f>IF(Table1[[#This Row],[pledged]]=0,"no backers",Table1[[#This Row],[pledged]]/Table1[[#This Row],[backers_count]])</f>
        <v>59.817476635514019</v>
      </c>
      <c r="U2311" t="str">
        <f>LEFT(Table1[[#This Row],[Category and Sub-Category]],FIND("/",Table1[[#This Row],[Category and Sub-Category]])-1)</f>
        <v>music</v>
      </c>
      <c r="V2311" t="str">
        <f>RIGHT(Table1[[#This Row],[Category and Sub-Category]],LEN(Table1[[#This Row],[Category and Sub-Category]])-FIND("/",Table1[[#This Row],[Category and Sub-Category]]))</f>
        <v>indie rock</v>
      </c>
    </row>
    <row r="2312" spans="1:22" ht="57.6" x14ac:dyDescent="0.3">
      <c r="A2312">
        <v>2310</v>
      </c>
      <c r="B2312" s="3" t="s">
        <v>2311</v>
      </c>
      <c r="C2312" s="3" t="s">
        <v>6420</v>
      </c>
      <c r="D2312" s="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>((Table1[[#This Row],[deadline]]/60)/60/24)+DATE(1970,1,1)</f>
        <v>41354.752488425926</v>
      </c>
      <c r="K2312">
        <v>1361300615</v>
      </c>
      <c r="L2312" s="11">
        <f>((Table1[[#This Row],[launched_at]]/60)/60/24)+DATE(1970,1,1)</f>
        <v>41324.79415509259</v>
      </c>
      <c r="M2312">
        <f>MONTH(Table1[[#This Row],[Date Created Conversion]])</f>
        <v>2</v>
      </c>
      <c r="N2312">
        <f>YEAR(Table1[[#This Row],[Date Created Conversion]])</f>
        <v>2013</v>
      </c>
      <c r="O2312" t="b">
        <v>1</v>
      </c>
      <c r="P2312">
        <v>1224</v>
      </c>
      <c r="Q2312" t="b">
        <v>1</v>
      </c>
      <c r="R2312" t="s">
        <v>8279</v>
      </c>
      <c r="S2312" s="6">
        <f>Table1[[#This Row],[pledged]]/Table1[[#This Row],[goal]]</f>
        <v>4.288397837837838</v>
      </c>
      <c r="T2312" s="8">
        <f>IF(Table1[[#This Row],[pledged]]=0,"no backers",Table1[[#This Row],[pledged]]/Table1[[#This Row],[backers_count]])</f>
        <v>64.816470588235291</v>
      </c>
      <c r="U2312" t="str">
        <f>LEFT(Table1[[#This Row],[Category and Sub-Category]],FIND("/",Table1[[#This Row],[Category and Sub-Category]])-1)</f>
        <v>music</v>
      </c>
      <c r="V2312" t="str">
        <f>RIGHT(Table1[[#This Row],[Category and Sub-Category]],LEN(Table1[[#This Row],[Category and Sub-Category]])-FIND("/",Table1[[#This Row],[Category and Sub-Category]]))</f>
        <v>indie rock</v>
      </c>
    </row>
    <row r="2313" spans="1:22" ht="43.2" x14ac:dyDescent="0.3">
      <c r="A2313">
        <v>2311</v>
      </c>
      <c r="B2313" s="3" t="s">
        <v>2312</v>
      </c>
      <c r="C2313" s="3" t="s">
        <v>6421</v>
      </c>
      <c r="D2313" s="12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>((Table1[[#This Row],[deadline]]/60)/60/24)+DATE(1970,1,1)</f>
        <v>41766.004502314812</v>
      </c>
      <c r="K2313">
        <v>1396829189</v>
      </c>
      <c r="L2313" s="11">
        <f>((Table1[[#This Row],[launched_at]]/60)/60/24)+DATE(1970,1,1)</f>
        <v>41736.004502314812</v>
      </c>
      <c r="M2313">
        <f>MONTH(Table1[[#This Row],[Date Created Conversion]])</f>
        <v>4</v>
      </c>
      <c r="N2313">
        <f>YEAR(Table1[[#This Row],[Date Created Conversion]])</f>
        <v>2014</v>
      </c>
      <c r="O2313" t="b">
        <v>1</v>
      </c>
      <c r="P2313">
        <v>104</v>
      </c>
      <c r="Q2313" t="b">
        <v>1</v>
      </c>
      <c r="R2313" t="s">
        <v>8279</v>
      </c>
      <c r="S2313" s="6">
        <f>Table1[[#This Row],[pledged]]/Table1[[#This Row],[goal]]</f>
        <v>1.0411111111111111</v>
      </c>
      <c r="T2313" s="8">
        <f>IF(Table1[[#This Row],[pledged]]=0,"no backers",Table1[[#This Row],[pledged]]/Table1[[#This Row],[backers_count]])</f>
        <v>90.09615384615384</v>
      </c>
      <c r="U2313" t="str">
        <f>LEFT(Table1[[#This Row],[Category and Sub-Category]],FIND("/",Table1[[#This Row],[Category and Sub-Category]])-1)</f>
        <v>music</v>
      </c>
      <c r="V2313" t="str">
        <f>RIGHT(Table1[[#This Row],[Category and Sub-Category]],LEN(Table1[[#This Row],[Category and Sub-Category]])-FIND("/",Table1[[#This Row],[Category and Sub-Category]]))</f>
        <v>indie rock</v>
      </c>
    </row>
    <row r="2314" spans="1:22" ht="43.2" x14ac:dyDescent="0.3">
      <c r="A2314">
        <v>2312</v>
      </c>
      <c r="B2314" s="3" t="s">
        <v>2313</v>
      </c>
      <c r="C2314" s="3" t="s">
        <v>6422</v>
      </c>
      <c r="D2314" s="12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>((Table1[[#This Row],[deadline]]/60)/60/24)+DATE(1970,1,1)</f>
        <v>41747.958333333336</v>
      </c>
      <c r="K2314">
        <v>1395155478</v>
      </c>
      <c r="L2314" s="11">
        <f>((Table1[[#This Row],[launched_at]]/60)/60/24)+DATE(1970,1,1)</f>
        <v>41716.632847222223</v>
      </c>
      <c r="M2314">
        <f>MONTH(Table1[[#This Row],[Date Created Conversion]])</f>
        <v>3</v>
      </c>
      <c r="N2314">
        <f>YEAR(Table1[[#This Row],[Date Created Conversion]])</f>
        <v>2014</v>
      </c>
      <c r="O2314" t="b">
        <v>1</v>
      </c>
      <c r="P2314">
        <v>79</v>
      </c>
      <c r="Q2314" t="b">
        <v>1</v>
      </c>
      <c r="R2314" t="s">
        <v>8279</v>
      </c>
      <c r="S2314" s="6">
        <f>Table1[[#This Row],[pledged]]/Table1[[#This Row],[goal]]</f>
        <v>1.0786666666666667</v>
      </c>
      <c r="T2314" s="8">
        <f>IF(Table1[[#This Row],[pledged]]=0,"no backers",Table1[[#This Row],[pledged]]/Table1[[#This Row],[backers_count]])</f>
        <v>40.962025316455694</v>
      </c>
      <c r="U2314" t="str">
        <f>LEFT(Table1[[#This Row],[Category and Sub-Category]],FIND("/",Table1[[#This Row],[Category and Sub-Category]])-1)</f>
        <v>music</v>
      </c>
      <c r="V2314" t="str">
        <f>RIGHT(Table1[[#This Row],[Category and Sub-Category]],LEN(Table1[[#This Row],[Category and Sub-Category]])-FIND("/",Table1[[#This Row],[Category and Sub-Category]]))</f>
        <v>indie rock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 s="12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>((Table1[[#This Row],[deadline]]/60)/60/24)+DATE(1970,1,1)</f>
        <v>41032.958634259259</v>
      </c>
      <c r="K2315">
        <v>1333494026</v>
      </c>
      <c r="L2315" s="11">
        <f>((Table1[[#This Row],[launched_at]]/60)/60/24)+DATE(1970,1,1)</f>
        <v>41002.958634259259</v>
      </c>
      <c r="M2315">
        <f>MONTH(Table1[[#This Row],[Date Created Conversion]])</f>
        <v>4</v>
      </c>
      <c r="N2315">
        <f>YEAR(Table1[[#This Row],[Date Created Conversion]])</f>
        <v>2012</v>
      </c>
      <c r="O2315" t="b">
        <v>1</v>
      </c>
      <c r="P2315">
        <v>157</v>
      </c>
      <c r="Q2315" t="b">
        <v>1</v>
      </c>
      <c r="R2315" t="s">
        <v>8279</v>
      </c>
      <c r="S2315" s="6">
        <f>Table1[[#This Row],[pledged]]/Table1[[#This Row],[goal]]</f>
        <v>1.7584040000000001</v>
      </c>
      <c r="T2315" s="8">
        <f>IF(Table1[[#This Row],[pledged]]=0,"no backers",Table1[[#This Row],[pledged]]/Table1[[#This Row],[backers_count]])</f>
        <v>56.000127388535034</v>
      </c>
      <c r="U2315" t="str">
        <f>LEFT(Table1[[#This Row],[Category and Sub-Category]],FIND("/",Table1[[#This Row],[Category and Sub-Category]])-1)</f>
        <v>music</v>
      </c>
      <c r="V2315" t="str">
        <f>RIGHT(Table1[[#This Row],[Category and Sub-Category]],LEN(Table1[[#This Row],[Category and Sub-Category]])-FIND("/",Table1[[#This Row],[Category and Sub-Category]]))</f>
        <v>indie rock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 s="12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>((Table1[[#This Row],[deadline]]/60)/60/24)+DATE(1970,1,1)</f>
        <v>41067.551585648151</v>
      </c>
      <c r="K2316">
        <v>1336482857</v>
      </c>
      <c r="L2316" s="11">
        <f>((Table1[[#This Row],[launched_at]]/60)/60/24)+DATE(1970,1,1)</f>
        <v>41037.551585648151</v>
      </c>
      <c r="M2316">
        <f>MONTH(Table1[[#This Row],[Date Created Conversion]])</f>
        <v>5</v>
      </c>
      <c r="N2316">
        <f>YEAR(Table1[[#This Row],[Date Created Conversion]])</f>
        <v>2012</v>
      </c>
      <c r="O2316" t="b">
        <v>1</v>
      </c>
      <c r="P2316">
        <v>50</v>
      </c>
      <c r="Q2316" t="b">
        <v>1</v>
      </c>
      <c r="R2316" t="s">
        <v>8279</v>
      </c>
      <c r="S2316" s="6">
        <f>Table1[[#This Row],[pledged]]/Table1[[#This Row],[goal]]</f>
        <v>1.5697000000000001</v>
      </c>
      <c r="T2316" s="8">
        <f>IF(Table1[[#This Row],[pledged]]=0,"no backers",Table1[[#This Row],[pledged]]/Table1[[#This Row],[backers_count]])</f>
        <v>37.672800000000002</v>
      </c>
      <c r="U2316" t="str">
        <f>LEFT(Table1[[#This Row],[Category and Sub-Category]],FIND("/",Table1[[#This Row],[Category and Sub-Category]])-1)</f>
        <v>music</v>
      </c>
      <c r="V2316" t="str">
        <f>RIGHT(Table1[[#This Row],[Category and Sub-Category]],LEN(Table1[[#This Row],[Category and Sub-Category]])-FIND("/",Table1[[#This Row],[Category and Sub-Category]]))</f>
        <v>indie rock</v>
      </c>
    </row>
    <row r="2317" spans="1:22" ht="43.2" x14ac:dyDescent="0.3">
      <c r="A2317">
        <v>2315</v>
      </c>
      <c r="B2317" s="3" t="s">
        <v>2316</v>
      </c>
      <c r="C2317" s="3" t="s">
        <v>6425</v>
      </c>
      <c r="D2317" s="12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>((Table1[[#This Row],[deadline]]/60)/60/24)+DATE(1970,1,1)</f>
        <v>41034.72619212963</v>
      </c>
      <c r="K2317">
        <v>1333646743</v>
      </c>
      <c r="L2317" s="11">
        <f>((Table1[[#This Row],[launched_at]]/60)/60/24)+DATE(1970,1,1)</f>
        <v>41004.72619212963</v>
      </c>
      <c r="M2317">
        <f>MONTH(Table1[[#This Row],[Date Created Conversion]])</f>
        <v>4</v>
      </c>
      <c r="N2317">
        <f>YEAR(Table1[[#This Row],[Date Created Conversion]])</f>
        <v>2012</v>
      </c>
      <c r="O2317" t="b">
        <v>1</v>
      </c>
      <c r="P2317">
        <v>64</v>
      </c>
      <c r="Q2317" t="b">
        <v>1</v>
      </c>
      <c r="R2317" t="s">
        <v>8279</v>
      </c>
      <c r="S2317" s="6">
        <f>Table1[[#This Row],[pledged]]/Table1[[#This Row],[goal]]</f>
        <v>1.026</v>
      </c>
      <c r="T2317" s="8">
        <f>IF(Table1[[#This Row],[pledged]]=0,"no backers",Table1[[#This Row],[pledged]]/Table1[[#This Row],[backers_count]])</f>
        <v>40.078125</v>
      </c>
      <c r="U2317" t="str">
        <f>LEFT(Table1[[#This Row],[Category and Sub-Category]],FIND("/",Table1[[#This Row],[Category and Sub-Category]])-1)</f>
        <v>music</v>
      </c>
      <c r="V2317" t="str">
        <f>RIGHT(Table1[[#This Row],[Category and Sub-Category]],LEN(Table1[[#This Row],[Category and Sub-Category]])-FIND("/",Table1[[#This Row],[Category and Sub-Category]]))</f>
        <v>indie rock</v>
      </c>
    </row>
    <row r="2318" spans="1:22" ht="57.6" x14ac:dyDescent="0.3">
      <c r="A2318">
        <v>2316</v>
      </c>
      <c r="B2318" s="3" t="s">
        <v>2317</v>
      </c>
      <c r="C2318" s="3" t="s">
        <v>6426</v>
      </c>
      <c r="D2318" s="12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>((Table1[[#This Row],[deadline]]/60)/60/24)+DATE(1970,1,1)</f>
        <v>40156.76666666667</v>
      </c>
      <c r="K2318">
        <v>1253726650</v>
      </c>
      <c r="L2318" s="11">
        <f>((Table1[[#This Row],[launched_at]]/60)/60/24)+DATE(1970,1,1)</f>
        <v>40079.725115740745</v>
      </c>
      <c r="M2318">
        <f>MONTH(Table1[[#This Row],[Date Created Conversion]])</f>
        <v>9</v>
      </c>
      <c r="N2318">
        <f>YEAR(Table1[[#This Row],[Date Created Conversion]])</f>
        <v>2009</v>
      </c>
      <c r="O2318" t="b">
        <v>1</v>
      </c>
      <c r="P2318">
        <v>200</v>
      </c>
      <c r="Q2318" t="b">
        <v>1</v>
      </c>
      <c r="R2318" t="s">
        <v>8279</v>
      </c>
      <c r="S2318" s="6">
        <f>Table1[[#This Row],[pledged]]/Table1[[#This Row],[goal]]</f>
        <v>1.0404266666666666</v>
      </c>
      <c r="T2318" s="8">
        <f>IF(Table1[[#This Row],[pledged]]=0,"no backers",Table1[[#This Row],[pledged]]/Table1[[#This Row],[backers_count]])</f>
        <v>78.031999999999996</v>
      </c>
      <c r="U2318" t="str">
        <f>LEFT(Table1[[#This Row],[Category and Sub-Category]],FIND("/",Table1[[#This Row],[Category and Sub-Category]])-1)</f>
        <v>music</v>
      </c>
      <c r="V2318" t="str">
        <f>RIGHT(Table1[[#This Row],[Category and Sub-Category]],LEN(Table1[[#This Row],[Category and Sub-Category]])-FIND("/",Table1[[#This Row],[Category and Sub-Category]]))</f>
        <v>indie rock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 s="12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>((Table1[[#This Row],[deadline]]/60)/60/24)+DATE(1970,1,1)</f>
        <v>40224.208333333336</v>
      </c>
      <c r="K2319">
        <v>1263474049</v>
      </c>
      <c r="L2319" s="11">
        <f>((Table1[[#This Row],[launched_at]]/60)/60/24)+DATE(1970,1,1)</f>
        <v>40192.542233796295</v>
      </c>
      <c r="M2319">
        <f>MONTH(Table1[[#This Row],[Date Created Conversion]])</f>
        <v>1</v>
      </c>
      <c r="N2319">
        <f>YEAR(Table1[[#This Row],[Date Created Conversion]])</f>
        <v>2010</v>
      </c>
      <c r="O2319" t="b">
        <v>1</v>
      </c>
      <c r="P2319">
        <v>22</v>
      </c>
      <c r="Q2319" t="b">
        <v>1</v>
      </c>
      <c r="R2319" t="s">
        <v>8279</v>
      </c>
      <c r="S2319" s="6">
        <f>Table1[[#This Row],[pledged]]/Table1[[#This Row],[goal]]</f>
        <v>1.04</v>
      </c>
      <c r="T2319" s="8">
        <f>IF(Table1[[#This Row],[pledged]]=0,"no backers",Table1[[#This Row],[pledged]]/Table1[[#This Row],[backers_count]])</f>
        <v>18.90909090909091</v>
      </c>
      <c r="U2319" t="str">
        <f>LEFT(Table1[[#This Row],[Category and Sub-Category]],FIND("/",Table1[[#This Row],[Category and Sub-Category]])-1)</f>
        <v>music</v>
      </c>
      <c r="V2319" t="str">
        <f>RIGHT(Table1[[#This Row],[Category and Sub-Category]],LEN(Table1[[#This Row],[Category and Sub-Category]])-FIND("/",Table1[[#This Row],[Category and Sub-Category]]))</f>
        <v>indie rock</v>
      </c>
    </row>
    <row r="2320" spans="1:22" ht="57.6" x14ac:dyDescent="0.3">
      <c r="A2320">
        <v>2318</v>
      </c>
      <c r="B2320" s="3" t="s">
        <v>2319</v>
      </c>
      <c r="C2320" s="3" t="s">
        <v>6428</v>
      </c>
      <c r="D2320" s="12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>((Table1[[#This Row],[deadline]]/60)/60/24)+DATE(1970,1,1)</f>
        <v>40082.165972222225</v>
      </c>
      <c r="K2320">
        <v>1251214014</v>
      </c>
      <c r="L2320" s="11">
        <f>((Table1[[#This Row],[launched_at]]/60)/60/24)+DATE(1970,1,1)</f>
        <v>40050.643680555557</v>
      </c>
      <c r="M2320">
        <f>MONTH(Table1[[#This Row],[Date Created Conversion]])</f>
        <v>8</v>
      </c>
      <c r="N2320">
        <f>YEAR(Table1[[#This Row],[Date Created Conversion]])</f>
        <v>2009</v>
      </c>
      <c r="O2320" t="b">
        <v>1</v>
      </c>
      <c r="P2320">
        <v>163</v>
      </c>
      <c r="Q2320" t="b">
        <v>1</v>
      </c>
      <c r="R2320" t="s">
        <v>8279</v>
      </c>
      <c r="S2320" s="6">
        <f>Table1[[#This Row],[pledged]]/Table1[[#This Row],[goal]]</f>
        <v>1.2105999999999999</v>
      </c>
      <c r="T2320" s="8">
        <f>IF(Table1[[#This Row],[pledged]]=0,"no backers",Table1[[#This Row],[pledged]]/Table1[[#This Row],[backers_count]])</f>
        <v>37.134969325153371</v>
      </c>
      <c r="U2320" t="str">
        <f>LEFT(Table1[[#This Row],[Category and Sub-Category]],FIND("/",Table1[[#This Row],[Category and Sub-Category]])-1)</f>
        <v>music</v>
      </c>
      <c r="V2320" t="str">
        <f>RIGHT(Table1[[#This Row],[Category and Sub-Category]],LEN(Table1[[#This Row],[Category and Sub-Category]])-FIND("/",Table1[[#This Row],[Category and Sub-Category]]))</f>
        <v>indie rock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 s="12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>((Table1[[#This Row],[deadline]]/60)/60/24)+DATE(1970,1,1)</f>
        <v>41623.082002314812</v>
      </c>
      <c r="K2321">
        <v>1384480685</v>
      </c>
      <c r="L2321" s="11">
        <f>((Table1[[#This Row],[launched_at]]/60)/60/24)+DATE(1970,1,1)</f>
        <v>41593.082002314812</v>
      </c>
      <c r="M2321">
        <f>MONTH(Table1[[#This Row],[Date Created Conversion]])</f>
        <v>11</v>
      </c>
      <c r="N2321">
        <f>YEAR(Table1[[#This Row],[Date Created Conversion]])</f>
        <v>2013</v>
      </c>
      <c r="O2321" t="b">
        <v>1</v>
      </c>
      <c r="P2321">
        <v>77</v>
      </c>
      <c r="Q2321" t="b">
        <v>1</v>
      </c>
      <c r="R2321" t="s">
        <v>8279</v>
      </c>
      <c r="S2321" s="6">
        <f>Table1[[#This Row],[pledged]]/Table1[[#This Row],[goal]]</f>
        <v>1.077</v>
      </c>
      <c r="T2321" s="8">
        <f>IF(Table1[[#This Row],[pledged]]=0,"no backers",Table1[[#This Row],[pledged]]/Table1[[#This Row],[backers_count]])</f>
        <v>41.961038961038959</v>
      </c>
      <c r="U2321" t="str">
        <f>LEFT(Table1[[#This Row],[Category and Sub-Category]],FIND("/",Table1[[#This Row],[Category and Sub-Category]])-1)</f>
        <v>music</v>
      </c>
      <c r="V2321" t="str">
        <f>RIGHT(Table1[[#This Row],[Category and Sub-Category]],LEN(Table1[[#This Row],[Category and Sub-Category]])-FIND("/",Table1[[#This Row],[Category and Sub-Category]]))</f>
        <v>indie rock</v>
      </c>
    </row>
    <row r="2322" spans="1:22" ht="57.6" x14ac:dyDescent="0.3">
      <c r="A2322">
        <v>2320</v>
      </c>
      <c r="B2322" s="3" t="s">
        <v>2321</v>
      </c>
      <c r="C2322" s="3" t="s">
        <v>6430</v>
      </c>
      <c r="D2322" s="1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>((Table1[[#This Row],[deadline]]/60)/60/24)+DATE(1970,1,1)</f>
        <v>41731.775462962964</v>
      </c>
      <c r="K2322">
        <v>1393443400</v>
      </c>
      <c r="L2322" s="11">
        <f>((Table1[[#This Row],[launched_at]]/60)/60/24)+DATE(1970,1,1)</f>
        <v>41696.817129629628</v>
      </c>
      <c r="M2322">
        <f>MONTH(Table1[[#This Row],[Date Created Conversion]])</f>
        <v>2</v>
      </c>
      <c r="N2322">
        <f>YEAR(Table1[[#This Row],[Date Created Conversion]])</f>
        <v>2014</v>
      </c>
      <c r="O2322" t="b">
        <v>1</v>
      </c>
      <c r="P2322">
        <v>89</v>
      </c>
      <c r="Q2322" t="b">
        <v>1</v>
      </c>
      <c r="R2322" t="s">
        <v>8279</v>
      </c>
      <c r="S2322" s="6">
        <f>Table1[[#This Row],[pledged]]/Table1[[#This Row],[goal]]</f>
        <v>1.0866</v>
      </c>
      <c r="T2322" s="8">
        <f>IF(Table1[[#This Row],[pledged]]=0,"no backers",Table1[[#This Row],[pledged]]/Table1[[#This Row],[backers_count]])</f>
        <v>61.044943820224717</v>
      </c>
      <c r="U2322" t="str">
        <f>LEFT(Table1[[#This Row],[Category and Sub-Category]],FIND("/",Table1[[#This Row],[Category and Sub-Category]])-1)</f>
        <v>music</v>
      </c>
      <c r="V2322" t="str">
        <f>RIGHT(Table1[[#This Row],[Category and Sub-Category]],LEN(Table1[[#This Row],[Category and Sub-Category]])-FIND("/",Table1[[#This Row],[Category and Sub-Category]]))</f>
        <v>indie rock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 s="12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>((Table1[[#This Row],[deadline]]/60)/60/24)+DATE(1970,1,1)</f>
        <v>42829.21876157407</v>
      </c>
      <c r="K2323">
        <v>1488694501</v>
      </c>
      <c r="L2323" s="11">
        <f>((Table1[[#This Row],[launched_at]]/60)/60/24)+DATE(1970,1,1)</f>
        <v>42799.260428240741</v>
      </c>
      <c r="M2323">
        <f>MONTH(Table1[[#This Row],[Date Created Conversion]])</f>
        <v>3</v>
      </c>
      <c r="N2323">
        <f>YEAR(Table1[[#This Row],[Date Created Conversion]])</f>
        <v>2017</v>
      </c>
      <c r="O2323" t="b">
        <v>0</v>
      </c>
      <c r="P2323">
        <v>64</v>
      </c>
      <c r="Q2323" t="b">
        <v>0</v>
      </c>
      <c r="R2323" t="s">
        <v>8298</v>
      </c>
      <c r="S2323" s="6">
        <f>Table1[[#This Row],[pledged]]/Table1[[#This Row],[goal]]</f>
        <v>0.39120962394619685</v>
      </c>
      <c r="T2323" s="8">
        <f>IF(Table1[[#This Row],[pledged]]=0,"no backers",Table1[[#This Row],[pledged]]/Table1[[#This Row],[backers_count]])</f>
        <v>64.53125</v>
      </c>
      <c r="U2323" t="str">
        <f>LEFT(Table1[[#This Row],[Category and Sub-Category]],FIND("/",Table1[[#This Row],[Category and Sub-Category]])-1)</f>
        <v>food</v>
      </c>
      <c r="V2323" t="str">
        <f>RIGHT(Table1[[#This Row],[Category and Sub-Category]],LEN(Table1[[#This Row],[Category and Sub-Category]])-FIND("/",Table1[[#This Row],[Category and Sub-Category]]))</f>
        <v>small batch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 s="12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>((Table1[[#This Row],[deadline]]/60)/60/24)+DATE(1970,1,1)</f>
        <v>42834.853807870371</v>
      </c>
      <c r="K2324">
        <v>1489181369</v>
      </c>
      <c r="L2324" s="11">
        <f>((Table1[[#This Row],[launched_at]]/60)/60/24)+DATE(1970,1,1)</f>
        <v>42804.895474537043</v>
      </c>
      <c r="M2324">
        <f>MONTH(Table1[[#This Row],[Date Created Conversion]])</f>
        <v>3</v>
      </c>
      <c r="N2324">
        <f>YEAR(Table1[[#This Row],[Date Created Conversion]])</f>
        <v>2017</v>
      </c>
      <c r="O2324" t="b">
        <v>0</v>
      </c>
      <c r="P2324">
        <v>4</v>
      </c>
      <c r="Q2324" t="b">
        <v>0</v>
      </c>
      <c r="R2324" t="s">
        <v>8298</v>
      </c>
      <c r="S2324" s="6">
        <f>Table1[[#This Row],[pledged]]/Table1[[#This Row],[goal]]</f>
        <v>3.1481481481481478E-2</v>
      </c>
      <c r="T2324" s="8">
        <f>IF(Table1[[#This Row],[pledged]]=0,"no backers",Table1[[#This Row],[pledged]]/Table1[[#This Row],[backers_count]])</f>
        <v>21.25</v>
      </c>
      <c r="U2324" t="str">
        <f>LEFT(Table1[[#This Row],[Category and Sub-Category]],FIND("/",Table1[[#This Row],[Category and Sub-Category]])-1)</f>
        <v>food</v>
      </c>
      <c r="V2324" t="str">
        <f>RIGHT(Table1[[#This Row],[Category and Sub-Category]],LEN(Table1[[#This Row],[Category and Sub-Category]])-FIND("/",Table1[[#This Row],[Category and Sub-Category]]))</f>
        <v>small batch</v>
      </c>
    </row>
    <row r="2325" spans="1:22" ht="43.2" x14ac:dyDescent="0.3">
      <c r="A2325">
        <v>2323</v>
      </c>
      <c r="B2325" s="3" t="s">
        <v>2324</v>
      </c>
      <c r="C2325" s="3" t="s">
        <v>6433</v>
      </c>
      <c r="D2325" s="12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>((Table1[[#This Row],[deadline]]/60)/60/24)+DATE(1970,1,1)</f>
        <v>42814.755173611105</v>
      </c>
      <c r="K2325">
        <v>1489428447</v>
      </c>
      <c r="L2325" s="11">
        <f>((Table1[[#This Row],[launched_at]]/60)/60/24)+DATE(1970,1,1)</f>
        <v>42807.755173611105</v>
      </c>
      <c r="M2325">
        <f>MONTH(Table1[[#This Row],[Date Created Conversion]])</f>
        <v>3</v>
      </c>
      <c r="N2325">
        <f>YEAR(Table1[[#This Row],[Date Created Conversion]])</f>
        <v>2017</v>
      </c>
      <c r="O2325" t="b">
        <v>0</v>
      </c>
      <c r="P2325">
        <v>4</v>
      </c>
      <c r="Q2325" t="b">
        <v>0</v>
      </c>
      <c r="R2325" t="s">
        <v>8298</v>
      </c>
      <c r="S2325" s="6">
        <f>Table1[[#This Row],[pledged]]/Table1[[#This Row],[goal]]</f>
        <v>0.48</v>
      </c>
      <c r="T2325" s="8">
        <f>IF(Table1[[#This Row],[pledged]]=0,"no backers",Table1[[#This Row],[pledged]]/Table1[[#This Row],[backers_count]])</f>
        <v>30</v>
      </c>
      <c r="U2325" t="str">
        <f>LEFT(Table1[[#This Row],[Category and Sub-Category]],FIND("/",Table1[[#This Row],[Category and Sub-Category]])-1)</f>
        <v>food</v>
      </c>
      <c r="V2325" t="str">
        <f>RIGHT(Table1[[#This Row],[Category and Sub-Category]],LEN(Table1[[#This Row],[Category and Sub-Category]])-FIND("/",Table1[[#This Row],[Category and Sub-Category]]))</f>
        <v>small batch</v>
      </c>
    </row>
    <row r="2326" spans="1:22" ht="43.2" x14ac:dyDescent="0.3">
      <c r="A2326">
        <v>2324</v>
      </c>
      <c r="B2326" s="3" t="s">
        <v>2325</v>
      </c>
      <c r="C2326" s="3" t="s">
        <v>6434</v>
      </c>
      <c r="D2326" s="12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>((Table1[[#This Row],[deadline]]/60)/60/24)+DATE(1970,1,1)</f>
        <v>42820.843576388885</v>
      </c>
      <c r="K2326">
        <v>1487970885</v>
      </c>
      <c r="L2326" s="11">
        <f>((Table1[[#This Row],[launched_at]]/60)/60/24)+DATE(1970,1,1)</f>
        <v>42790.885243055556</v>
      </c>
      <c r="M2326">
        <f>MONTH(Table1[[#This Row],[Date Created Conversion]])</f>
        <v>2</v>
      </c>
      <c r="N2326">
        <f>YEAR(Table1[[#This Row],[Date Created Conversion]])</f>
        <v>2017</v>
      </c>
      <c r="O2326" t="b">
        <v>0</v>
      </c>
      <c r="P2326">
        <v>61</v>
      </c>
      <c r="Q2326" t="b">
        <v>0</v>
      </c>
      <c r="R2326" t="s">
        <v>8298</v>
      </c>
      <c r="S2326" s="6">
        <f>Table1[[#This Row],[pledged]]/Table1[[#This Row],[goal]]</f>
        <v>0.20733333333333334</v>
      </c>
      <c r="T2326" s="8">
        <f>IF(Table1[[#This Row],[pledged]]=0,"no backers",Table1[[#This Row],[pledged]]/Table1[[#This Row],[backers_count]])</f>
        <v>25.491803278688526</v>
      </c>
      <c r="U2326" t="str">
        <f>LEFT(Table1[[#This Row],[Category and Sub-Category]],FIND("/",Table1[[#This Row],[Category and Sub-Category]])-1)</f>
        <v>food</v>
      </c>
      <c r="V2326" t="str">
        <f>RIGHT(Table1[[#This Row],[Category and Sub-Category]],LEN(Table1[[#This Row],[Category and Sub-Category]])-FIND("/",Table1[[#This Row],[Category and Sub-Category]]))</f>
        <v>small batch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 s="12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>((Table1[[#This Row],[deadline]]/60)/60/24)+DATE(1970,1,1)</f>
        <v>42823.980682870373</v>
      </c>
      <c r="K2327">
        <v>1488241931</v>
      </c>
      <c r="L2327" s="11">
        <f>((Table1[[#This Row],[launched_at]]/60)/60/24)+DATE(1970,1,1)</f>
        <v>42794.022349537037</v>
      </c>
      <c r="M2327">
        <f>MONTH(Table1[[#This Row],[Date Created Conversion]])</f>
        <v>2</v>
      </c>
      <c r="N2327">
        <f>YEAR(Table1[[#This Row],[Date Created Conversion]])</f>
        <v>2017</v>
      </c>
      <c r="O2327" t="b">
        <v>0</v>
      </c>
      <c r="P2327">
        <v>7</v>
      </c>
      <c r="Q2327" t="b">
        <v>0</v>
      </c>
      <c r="R2327" t="s">
        <v>8298</v>
      </c>
      <c r="S2327" s="6">
        <f>Table1[[#This Row],[pledged]]/Table1[[#This Row],[goal]]</f>
        <v>0.08</v>
      </c>
      <c r="T2327" s="8">
        <f>IF(Table1[[#This Row],[pledged]]=0,"no backers",Table1[[#This Row],[pledged]]/Table1[[#This Row],[backers_count]])</f>
        <v>11.428571428571429</v>
      </c>
      <c r="U2327" t="str">
        <f>LEFT(Table1[[#This Row],[Category and Sub-Category]],FIND("/",Table1[[#This Row],[Category and Sub-Category]])-1)</f>
        <v>food</v>
      </c>
      <c r="V2327" t="str">
        <f>RIGHT(Table1[[#This Row],[Category and Sub-Category]],LEN(Table1[[#This Row],[Category and Sub-Category]])-FIND("/",Table1[[#This Row],[Category and Sub-Category]]))</f>
        <v>small batch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 s="12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>((Table1[[#This Row],[deadline]]/60)/60/24)+DATE(1970,1,1)</f>
        <v>42855.708333333328</v>
      </c>
      <c r="K2328">
        <v>1489106948</v>
      </c>
      <c r="L2328" s="11">
        <f>((Table1[[#This Row],[launched_at]]/60)/60/24)+DATE(1970,1,1)</f>
        <v>42804.034120370372</v>
      </c>
      <c r="M2328">
        <f>MONTH(Table1[[#This Row],[Date Created Conversion]])</f>
        <v>3</v>
      </c>
      <c r="N2328">
        <f>YEAR(Table1[[#This Row],[Date Created Conversion]])</f>
        <v>2017</v>
      </c>
      <c r="O2328" t="b">
        <v>0</v>
      </c>
      <c r="P2328">
        <v>1</v>
      </c>
      <c r="Q2328" t="b">
        <v>0</v>
      </c>
      <c r="R2328" t="s">
        <v>8298</v>
      </c>
      <c r="S2328" s="6">
        <f>Table1[[#This Row],[pledged]]/Table1[[#This Row],[goal]]</f>
        <v>7.1999999999999998E-3</v>
      </c>
      <c r="T2328" s="8">
        <f>IF(Table1[[#This Row],[pledged]]=0,"no backers",Table1[[#This Row],[pledged]]/Table1[[#This Row],[backers_count]])</f>
        <v>108</v>
      </c>
      <c r="U2328" t="str">
        <f>LEFT(Table1[[#This Row],[Category and Sub-Category]],FIND("/",Table1[[#This Row],[Category and Sub-Category]])-1)</f>
        <v>food</v>
      </c>
      <c r="V2328" t="str">
        <f>RIGHT(Table1[[#This Row],[Category and Sub-Category]],LEN(Table1[[#This Row],[Category and Sub-Category]])-FIND("/",Table1[[#This Row],[Category and Sub-Category]]))</f>
        <v>small batch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 s="12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>((Table1[[#This Row],[deadline]]/60)/60/24)+DATE(1970,1,1)</f>
        <v>41877.917129629634</v>
      </c>
      <c r="K2329">
        <v>1406066440</v>
      </c>
      <c r="L2329" s="11">
        <f>((Table1[[#This Row],[launched_at]]/60)/60/24)+DATE(1970,1,1)</f>
        <v>41842.917129629634</v>
      </c>
      <c r="M2329">
        <f>MONTH(Table1[[#This Row],[Date Created Conversion]])</f>
        <v>7</v>
      </c>
      <c r="N2329">
        <f>YEAR(Table1[[#This Row],[Date Created Conversion]])</f>
        <v>2014</v>
      </c>
      <c r="O2329" t="b">
        <v>1</v>
      </c>
      <c r="P2329">
        <v>3355</v>
      </c>
      <c r="Q2329" t="b">
        <v>1</v>
      </c>
      <c r="R2329" t="s">
        <v>8298</v>
      </c>
      <c r="S2329" s="6">
        <f>Table1[[#This Row],[pledged]]/Table1[[#This Row],[goal]]</f>
        <v>5.2609431428571432</v>
      </c>
      <c r="T2329" s="8">
        <f>IF(Table1[[#This Row],[pledged]]=0,"no backers",Table1[[#This Row],[pledged]]/Table1[[#This Row],[backers_count]])</f>
        <v>54.883162444113267</v>
      </c>
      <c r="U2329" t="str">
        <f>LEFT(Table1[[#This Row],[Category and Sub-Category]],FIND("/",Table1[[#This Row],[Category and Sub-Category]])-1)</f>
        <v>food</v>
      </c>
      <c r="V2329" t="str">
        <f>RIGHT(Table1[[#This Row],[Category and Sub-Category]],LEN(Table1[[#This Row],[Category and Sub-Category]])-FIND("/",Table1[[#This Row],[Category and Sub-Category]]))</f>
        <v>small batch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 s="12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>((Table1[[#This Row],[deadline]]/60)/60/24)+DATE(1970,1,1)</f>
        <v>42169.781678240746</v>
      </c>
      <c r="K2330">
        <v>1431715537</v>
      </c>
      <c r="L2330" s="11">
        <f>((Table1[[#This Row],[launched_at]]/60)/60/24)+DATE(1970,1,1)</f>
        <v>42139.781678240746</v>
      </c>
      <c r="M2330">
        <f>MONTH(Table1[[#This Row],[Date Created Conversion]])</f>
        <v>5</v>
      </c>
      <c r="N2330">
        <f>YEAR(Table1[[#This Row],[Date Created Conversion]])</f>
        <v>2015</v>
      </c>
      <c r="O2330" t="b">
        <v>1</v>
      </c>
      <c r="P2330">
        <v>537</v>
      </c>
      <c r="Q2330" t="b">
        <v>1</v>
      </c>
      <c r="R2330" t="s">
        <v>8298</v>
      </c>
      <c r="S2330" s="6">
        <f>Table1[[#This Row],[pledged]]/Table1[[#This Row],[goal]]</f>
        <v>2.5445000000000002</v>
      </c>
      <c r="T2330" s="8">
        <f>IF(Table1[[#This Row],[pledged]]=0,"no backers",Table1[[#This Row],[pledged]]/Table1[[#This Row],[backers_count]])</f>
        <v>47.383612662942269</v>
      </c>
      <c r="U2330" t="str">
        <f>LEFT(Table1[[#This Row],[Category and Sub-Category]],FIND("/",Table1[[#This Row],[Category and Sub-Category]])-1)</f>
        <v>food</v>
      </c>
      <c r="V2330" t="str">
        <f>RIGHT(Table1[[#This Row],[Category and Sub-Category]],LEN(Table1[[#This Row],[Category and Sub-Category]])-FIND("/",Table1[[#This Row],[Category and Sub-Category]]))</f>
        <v>small batch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 s="12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>((Table1[[#This Row],[deadline]]/60)/60/24)+DATE(1970,1,1)</f>
        <v>41837.624374999999</v>
      </c>
      <c r="K2331">
        <v>1403017146</v>
      </c>
      <c r="L2331" s="11">
        <f>((Table1[[#This Row],[launched_at]]/60)/60/24)+DATE(1970,1,1)</f>
        <v>41807.624374999999</v>
      </c>
      <c r="M2331">
        <f>MONTH(Table1[[#This Row],[Date Created Conversion]])</f>
        <v>6</v>
      </c>
      <c r="N2331">
        <f>YEAR(Table1[[#This Row],[Date Created Conversion]])</f>
        <v>2014</v>
      </c>
      <c r="O2331" t="b">
        <v>1</v>
      </c>
      <c r="P2331">
        <v>125</v>
      </c>
      <c r="Q2331" t="b">
        <v>1</v>
      </c>
      <c r="R2331" t="s">
        <v>8298</v>
      </c>
      <c r="S2331" s="6">
        <f>Table1[[#This Row],[pledged]]/Table1[[#This Row],[goal]]</f>
        <v>1.0591999999999999</v>
      </c>
      <c r="T2331" s="8">
        <f>IF(Table1[[#This Row],[pledged]]=0,"no backers",Table1[[#This Row],[pledged]]/Table1[[#This Row],[backers_count]])</f>
        <v>211.84</v>
      </c>
      <c r="U2331" t="str">
        <f>LEFT(Table1[[#This Row],[Category and Sub-Category]],FIND("/",Table1[[#This Row],[Category and Sub-Category]])-1)</f>
        <v>food</v>
      </c>
      <c r="V2331" t="str">
        <f>RIGHT(Table1[[#This Row],[Category and Sub-Category]],LEN(Table1[[#This Row],[Category and Sub-Category]])-FIND("/",Table1[[#This Row],[Category and Sub-Category]]))</f>
        <v>small batch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 s="1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>((Table1[[#This Row],[deadline]]/60)/60/24)+DATE(1970,1,1)</f>
        <v>42363</v>
      </c>
      <c r="K2332">
        <v>1448400943</v>
      </c>
      <c r="L2332" s="11">
        <f>((Table1[[#This Row],[launched_at]]/60)/60/24)+DATE(1970,1,1)</f>
        <v>42332.89980324074</v>
      </c>
      <c r="M2332">
        <f>MONTH(Table1[[#This Row],[Date Created Conversion]])</f>
        <v>11</v>
      </c>
      <c r="N2332">
        <f>YEAR(Table1[[#This Row],[Date Created Conversion]])</f>
        <v>2015</v>
      </c>
      <c r="O2332" t="b">
        <v>1</v>
      </c>
      <c r="P2332">
        <v>163</v>
      </c>
      <c r="Q2332" t="b">
        <v>1</v>
      </c>
      <c r="R2332" t="s">
        <v>8298</v>
      </c>
      <c r="S2332" s="6">
        <f>Table1[[#This Row],[pledged]]/Table1[[#This Row],[goal]]</f>
        <v>1.0242285714285715</v>
      </c>
      <c r="T2332" s="8">
        <f>IF(Table1[[#This Row],[pledged]]=0,"no backers",Table1[[#This Row],[pledged]]/Table1[[#This Row],[backers_count]])</f>
        <v>219.92638036809817</v>
      </c>
      <c r="U2332" t="str">
        <f>LEFT(Table1[[#This Row],[Category and Sub-Category]],FIND("/",Table1[[#This Row],[Category and Sub-Category]])-1)</f>
        <v>food</v>
      </c>
      <c r="V2332" t="str">
        <f>RIGHT(Table1[[#This Row],[Category and Sub-Category]],LEN(Table1[[#This Row],[Category and Sub-Category]])-FIND("/",Table1[[#This Row],[Category and Sub-Category]]))</f>
        <v>small batch</v>
      </c>
    </row>
    <row r="2333" spans="1:22" ht="43.2" x14ac:dyDescent="0.3">
      <c r="A2333">
        <v>2331</v>
      </c>
      <c r="B2333" s="3" t="s">
        <v>2332</v>
      </c>
      <c r="C2333" s="3" t="s">
        <v>6441</v>
      </c>
      <c r="D2333" s="12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>((Table1[[#This Row],[deadline]]/60)/60/24)+DATE(1970,1,1)</f>
        <v>41869.005671296298</v>
      </c>
      <c r="K2333">
        <v>1405728490</v>
      </c>
      <c r="L2333" s="11">
        <f>((Table1[[#This Row],[launched_at]]/60)/60/24)+DATE(1970,1,1)</f>
        <v>41839.005671296298</v>
      </c>
      <c r="M2333">
        <f>MONTH(Table1[[#This Row],[Date Created Conversion]])</f>
        <v>7</v>
      </c>
      <c r="N2333">
        <f>YEAR(Table1[[#This Row],[Date Created Conversion]])</f>
        <v>2014</v>
      </c>
      <c r="O2333" t="b">
        <v>1</v>
      </c>
      <c r="P2333">
        <v>283</v>
      </c>
      <c r="Q2333" t="b">
        <v>1</v>
      </c>
      <c r="R2333" t="s">
        <v>8298</v>
      </c>
      <c r="S2333" s="6">
        <f>Table1[[#This Row],[pledged]]/Table1[[#This Row],[goal]]</f>
        <v>1.4431375</v>
      </c>
      <c r="T2333" s="8">
        <f>IF(Table1[[#This Row],[pledged]]=0,"no backers",Table1[[#This Row],[pledged]]/Table1[[#This Row],[backers_count]])</f>
        <v>40.795406360424032</v>
      </c>
      <c r="U2333" t="str">
        <f>LEFT(Table1[[#This Row],[Category and Sub-Category]],FIND("/",Table1[[#This Row],[Category and Sub-Category]])-1)</f>
        <v>food</v>
      </c>
      <c r="V2333" t="str">
        <f>RIGHT(Table1[[#This Row],[Category and Sub-Category]],LEN(Table1[[#This Row],[Category and Sub-Category]])-FIND("/",Table1[[#This Row],[Category and Sub-Category]]))</f>
        <v>small batch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 s="12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>((Table1[[#This Row],[deadline]]/60)/60/24)+DATE(1970,1,1)</f>
        <v>42041.628136574072</v>
      </c>
      <c r="K2334">
        <v>1420643071</v>
      </c>
      <c r="L2334" s="11">
        <f>((Table1[[#This Row],[launched_at]]/60)/60/24)+DATE(1970,1,1)</f>
        <v>42011.628136574072</v>
      </c>
      <c r="M2334">
        <f>MONTH(Table1[[#This Row],[Date Created Conversion]])</f>
        <v>1</v>
      </c>
      <c r="N2334">
        <f>YEAR(Table1[[#This Row],[Date Created Conversion]])</f>
        <v>2015</v>
      </c>
      <c r="O2334" t="b">
        <v>1</v>
      </c>
      <c r="P2334">
        <v>352</v>
      </c>
      <c r="Q2334" t="b">
        <v>1</v>
      </c>
      <c r="R2334" t="s">
        <v>8298</v>
      </c>
      <c r="S2334" s="6">
        <f>Table1[[#This Row],[pledged]]/Table1[[#This Row],[goal]]</f>
        <v>1.06308</v>
      </c>
      <c r="T2334" s="8">
        <f>IF(Table1[[#This Row],[pledged]]=0,"no backers",Table1[[#This Row],[pledged]]/Table1[[#This Row],[backers_count]])</f>
        <v>75.502840909090907</v>
      </c>
      <c r="U2334" t="str">
        <f>LEFT(Table1[[#This Row],[Category and Sub-Category]],FIND("/",Table1[[#This Row],[Category and Sub-Category]])-1)</f>
        <v>food</v>
      </c>
      <c r="V2334" t="str">
        <f>RIGHT(Table1[[#This Row],[Category and Sub-Category]],LEN(Table1[[#This Row],[Category and Sub-Category]])-FIND("/",Table1[[#This Row],[Category and Sub-Category]]))</f>
        <v>small batch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 s="12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>((Table1[[#This Row],[deadline]]/60)/60/24)+DATE(1970,1,1)</f>
        <v>41788.743055555555</v>
      </c>
      <c r="K2335">
        <v>1399563390</v>
      </c>
      <c r="L2335" s="11">
        <f>((Table1[[#This Row],[launched_at]]/60)/60/24)+DATE(1970,1,1)</f>
        <v>41767.650347222225</v>
      </c>
      <c r="M2335">
        <f>MONTH(Table1[[#This Row],[Date Created Conversion]])</f>
        <v>5</v>
      </c>
      <c r="N2335">
        <f>YEAR(Table1[[#This Row],[Date Created Conversion]])</f>
        <v>2014</v>
      </c>
      <c r="O2335" t="b">
        <v>1</v>
      </c>
      <c r="P2335">
        <v>94</v>
      </c>
      <c r="Q2335" t="b">
        <v>1</v>
      </c>
      <c r="R2335" t="s">
        <v>8298</v>
      </c>
      <c r="S2335" s="6">
        <f>Table1[[#This Row],[pledged]]/Table1[[#This Row],[goal]]</f>
        <v>2.1216666666666666</v>
      </c>
      <c r="T2335" s="8">
        <f>IF(Table1[[#This Row],[pledged]]=0,"no backers",Table1[[#This Row],[pledged]]/Table1[[#This Row],[backers_count]])</f>
        <v>13.542553191489361</v>
      </c>
      <c r="U2335" t="str">
        <f>LEFT(Table1[[#This Row],[Category and Sub-Category]],FIND("/",Table1[[#This Row],[Category and Sub-Category]])-1)</f>
        <v>food</v>
      </c>
      <c r="V2335" t="str">
        <f>RIGHT(Table1[[#This Row],[Category and Sub-Category]],LEN(Table1[[#This Row],[Category and Sub-Category]])-FIND("/",Table1[[#This Row],[Category and Sub-Category]]))</f>
        <v>small batch</v>
      </c>
    </row>
    <row r="2336" spans="1:22" ht="43.2" x14ac:dyDescent="0.3">
      <c r="A2336">
        <v>2334</v>
      </c>
      <c r="B2336" s="3" t="s">
        <v>2335</v>
      </c>
      <c r="C2336" s="3" t="s">
        <v>6444</v>
      </c>
      <c r="D2336" s="12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>((Table1[[#This Row],[deadline]]/60)/60/24)+DATE(1970,1,1)</f>
        <v>41948.731944444444</v>
      </c>
      <c r="K2336">
        <v>1412611498</v>
      </c>
      <c r="L2336" s="11">
        <f>((Table1[[#This Row],[launched_at]]/60)/60/24)+DATE(1970,1,1)</f>
        <v>41918.670115740737</v>
      </c>
      <c r="M2336">
        <f>MONTH(Table1[[#This Row],[Date Created Conversion]])</f>
        <v>10</v>
      </c>
      <c r="N2336">
        <f>YEAR(Table1[[#This Row],[Date Created Conversion]])</f>
        <v>2014</v>
      </c>
      <c r="O2336" t="b">
        <v>1</v>
      </c>
      <c r="P2336">
        <v>67</v>
      </c>
      <c r="Q2336" t="b">
        <v>1</v>
      </c>
      <c r="R2336" t="s">
        <v>8298</v>
      </c>
      <c r="S2336" s="6">
        <f>Table1[[#This Row],[pledged]]/Table1[[#This Row],[goal]]</f>
        <v>1.0195000000000001</v>
      </c>
      <c r="T2336" s="8">
        <f>IF(Table1[[#This Row],[pledged]]=0,"no backers",Table1[[#This Row],[pledged]]/Table1[[#This Row],[backers_count]])</f>
        <v>60.865671641791046</v>
      </c>
      <c r="U2336" t="str">
        <f>LEFT(Table1[[#This Row],[Category and Sub-Category]],FIND("/",Table1[[#This Row],[Category and Sub-Category]])-1)</f>
        <v>food</v>
      </c>
      <c r="V2336" t="str">
        <f>RIGHT(Table1[[#This Row],[Category and Sub-Category]],LEN(Table1[[#This Row],[Category and Sub-Category]])-FIND("/",Table1[[#This Row],[Category and Sub-Category]]))</f>
        <v>small batch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 s="12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>((Table1[[#This Row],[deadline]]/60)/60/24)+DATE(1970,1,1)</f>
        <v>41801.572256944448</v>
      </c>
      <c r="K2337">
        <v>1399902243</v>
      </c>
      <c r="L2337" s="11">
        <f>((Table1[[#This Row],[launched_at]]/60)/60/24)+DATE(1970,1,1)</f>
        <v>41771.572256944448</v>
      </c>
      <c r="M2337">
        <f>MONTH(Table1[[#This Row],[Date Created Conversion]])</f>
        <v>5</v>
      </c>
      <c r="N2337">
        <f>YEAR(Table1[[#This Row],[Date Created Conversion]])</f>
        <v>2014</v>
      </c>
      <c r="O2337" t="b">
        <v>1</v>
      </c>
      <c r="P2337">
        <v>221</v>
      </c>
      <c r="Q2337" t="b">
        <v>1</v>
      </c>
      <c r="R2337" t="s">
        <v>8298</v>
      </c>
      <c r="S2337" s="6">
        <f>Table1[[#This Row],[pledged]]/Table1[[#This Row],[goal]]</f>
        <v>1.0227200000000001</v>
      </c>
      <c r="T2337" s="8">
        <f>IF(Table1[[#This Row],[pledged]]=0,"no backers",Table1[[#This Row],[pledged]]/Table1[[#This Row],[backers_count]])</f>
        <v>115.69230769230769</v>
      </c>
      <c r="U2337" t="str">
        <f>LEFT(Table1[[#This Row],[Category and Sub-Category]],FIND("/",Table1[[#This Row],[Category and Sub-Category]])-1)</f>
        <v>food</v>
      </c>
      <c r="V2337" t="str">
        <f>RIGHT(Table1[[#This Row],[Category and Sub-Category]],LEN(Table1[[#This Row],[Category and Sub-Category]])-FIND("/",Table1[[#This Row],[Category and Sub-Category]]))</f>
        <v>small batch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 s="12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>((Table1[[#This Row],[deadline]]/60)/60/24)+DATE(1970,1,1)</f>
        <v>41706.924710648149</v>
      </c>
      <c r="K2338">
        <v>1390860695</v>
      </c>
      <c r="L2338" s="11">
        <f>((Table1[[#This Row],[launched_at]]/60)/60/24)+DATE(1970,1,1)</f>
        <v>41666.924710648149</v>
      </c>
      <c r="M2338">
        <f>MONTH(Table1[[#This Row],[Date Created Conversion]])</f>
        <v>1</v>
      </c>
      <c r="N2338">
        <f>YEAR(Table1[[#This Row],[Date Created Conversion]])</f>
        <v>2014</v>
      </c>
      <c r="O2338" t="b">
        <v>1</v>
      </c>
      <c r="P2338">
        <v>2165</v>
      </c>
      <c r="Q2338" t="b">
        <v>1</v>
      </c>
      <c r="R2338" t="s">
        <v>8298</v>
      </c>
      <c r="S2338" s="6">
        <f>Table1[[#This Row],[pledged]]/Table1[[#This Row],[goal]]</f>
        <v>5.2073254999999996</v>
      </c>
      <c r="T2338" s="8">
        <f>IF(Table1[[#This Row],[pledged]]=0,"no backers",Table1[[#This Row],[pledged]]/Table1[[#This Row],[backers_count]])</f>
        <v>48.104623556581984</v>
      </c>
      <c r="U2338" t="str">
        <f>LEFT(Table1[[#This Row],[Category and Sub-Category]],FIND("/",Table1[[#This Row],[Category and Sub-Category]])-1)</f>
        <v>food</v>
      </c>
      <c r="V2338" t="str">
        <f>RIGHT(Table1[[#This Row],[Category and Sub-Category]],LEN(Table1[[#This Row],[Category and Sub-Category]])-FIND("/",Table1[[#This Row],[Category and Sub-Category]]))</f>
        <v>small batch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 s="12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>((Table1[[#This Row],[deadline]]/60)/60/24)+DATE(1970,1,1)</f>
        <v>41816.640543981484</v>
      </c>
      <c r="K2339">
        <v>1401204143</v>
      </c>
      <c r="L2339" s="11">
        <f>((Table1[[#This Row],[launched_at]]/60)/60/24)+DATE(1970,1,1)</f>
        <v>41786.640543981484</v>
      </c>
      <c r="M2339">
        <f>MONTH(Table1[[#This Row],[Date Created Conversion]])</f>
        <v>5</v>
      </c>
      <c r="N2339">
        <f>YEAR(Table1[[#This Row],[Date Created Conversion]])</f>
        <v>2014</v>
      </c>
      <c r="O2339" t="b">
        <v>1</v>
      </c>
      <c r="P2339">
        <v>179</v>
      </c>
      <c r="Q2339" t="b">
        <v>1</v>
      </c>
      <c r="R2339" t="s">
        <v>8298</v>
      </c>
      <c r="S2339" s="6">
        <f>Table1[[#This Row],[pledged]]/Table1[[#This Row],[goal]]</f>
        <v>1.1065833333333333</v>
      </c>
      <c r="T2339" s="8">
        <f>IF(Table1[[#This Row],[pledged]]=0,"no backers",Table1[[#This Row],[pledged]]/Table1[[#This Row],[backers_count]])</f>
        <v>74.184357541899445</v>
      </c>
      <c r="U2339" t="str">
        <f>LEFT(Table1[[#This Row],[Category and Sub-Category]],FIND("/",Table1[[#This Row],[Category and Sub-Category]])-1)</f>
        <v>food</v>
      </c>
      <c r="V2339" t="str">
        <f>RIGHT(Table1[[#This Row],[Category and Sub-Category]],LEN(Table1[[#This Row],[Category and Sub-Category]])-FIND("/",Table1[[#This Row],[Category and Sub-Category]]))</f>
        <v>small batch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 s="12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>((Table1[[#This Row],[deadline]]/60)/60/24)+DATE(1970,1,1)</f>
        <v>41819.896805555552</v>
      </c>
      <c r="K2340">
        <v>1401485484</v>
      </c>
      <c r="L2340" s="11">
        <f>((Table1[[#This Row],[launched_at]]/60)/60/24)+DATE(1970,1,1)</f>
        <v>41789.896805555552</v>
      </c>
      <c r="M2340">
        <f>MONTH(Table1[[#This Row],[Date Created Conversion]])</f>
        <v>5</v>
      </c>
      <c r="N2340">
        <f>YEAR(Table1[[#This Row],[Date Created Conversion]])</f>
        <v>2014</v>
      </c>
      <c r="O2340" t="b">
        <v>1</v>
      </c>
      <c r="P2340">
        <v>123</v>
      </c>
      <c r="Q2340" t="b">
        <v>1</v>
      </c>
      <c r="R2340" t="s">
        <v>8298</v>
      </c>
      <c r="S2340" s="6">
        <f>Table1[[#This Row],[pledged]]/Table1[[#This Row],[goal]]</f>
        <v>1.0114333333333334</v>
      </c>
      <c r="T2340" s="8">
        <f>IF(Table1[[#This Row],[pledged]]=0,"no backers",Table1[[#This Row],[pledged]]/Table1[[#This Row],[backers_count]])</f>
        <v>123.34552845528455</v>
      </c>
      <c r="U2340" t="str">
        <f>LEFT(Table1[[#This Row],[Category and Sub-Category]],FIND("/",Table1[[#This Row],[Category and Sub-Category]])-1)</f>
        <v>food</v>
      </c>
      <c r="V2340" t="str">
        <f>RIGHT(Table1[[#This Row],[Category and Sub-Category]],LEN(Table1[[#This Row],[Category and Sub-Category]])-FIND("/",Table1[[#This Row],[Category and Sub-Category]]))</f>
        <v>small batch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 s="12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>((Table1[[#This Row],[deadline]]/60)/60/24)+DATE(1970,1,1)</f>
        <v>42723.332638888889</v>
      </c>
      <c r="K2341">
        <v>1479496309</v>
      </c>
      <c r="L2341" s="11">
        <f>((Table1[[#This Row],[launched_at]]/60)/60/24)+DATE(1970,1,1)</f>
        <v>42692.79987268518</v>
      </c>
      <c r="M2341">
        <f>MONTH(Table1[[#This Row],[Date Created Conversion]])</f>
        <v>11</v>
      </c>
      <c r="N2341">
        <f>YEAR(Table1[[#This Row],[Date Created Conversion]])</f>
        <v>2016</v>
      </c>
      <c r="O2341" t="b">
        <v>1</v>
      </c>
      <c r="P2341">
        <v>1104</v>
      </c>
      <c r="Q2341" t="b">
        <v>1</v>
      </c>
      <c r="R2341" t="s">
        <v>8298</v>
      </c>
      <c r="S2341" s="6">
        <f>Table1[[#This Row],[pledged]]/Table1[[#This Row],[goal]]</f>
        <v>2.9420799999999998</v>
      </c>
      <c r="T2341" s="8">
        <f>IF(Table1[[#This Row],[pledged]]=0,"no backers",Table1[[#This Row],[pledged]]/Table1[[#This Row],[backers_count]])</f>
        <v>66.623188405797094</v>
      </c>
      <c r="U2341" t="str">
        <f>LEFT(Table1[[#This Row],[Category and Sub-Category]],FIND("/",Table1[[#This Row],[Category and Sub-Category]])-1)</f>
        <v>food</v>
      </c>
      <c r="V2341" t="str">
        <f>RIGHT(Table1[[#This Row],[Category and Sub-Category]],LEN(Table1[[#This Row],[Category and Sub-Category]])-FIND("/",Table1[[#This Row],[Category and Sub-Category]]))</f>
        <v>small batch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 s="1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>((Table1[[#This Row],[deadline]]/60)/60/24)+DATE(1970,1,1)</f>
        <v>42673.642800925925</v>
      </c>
      <c r="K2342">
        <v>1475249138</v>
      </c>
      <c r="L2342" s="11">
        <f>((Table1[[#This Row],[launched_at]]/60)/60/24)+DATE(1970,1,1)</f>
        <v>42643.642800925925</v>
      </c>
      <c r="M2342">
        <f>MONTH(Table1[[#This Row],[Date Created Conversion]])</f>
        <v>9</v>
      </c>
      <c r="N2342">
        <f>YEAR(Table1[[#This Row],[Date Created Conversion]])</f>
        <v>2016</v>
      </c>
      <c r="O2342" t="b">
        <v>1</v>
      </c>
      <c r="P2342">
        <v>403</v>
      </c>
      <c r="Q2342" t="b">
        <v>1</v>
      </c>
      <c r="R2342" t="s">
        <v>8298</v>
      </c>
      <c r="S2342" s="6">
        <f>Table1[[#This Row],[pledged]]/Table1[[#This Row],[goal]]</f>
        <v>1.0577749999999999</v>
      </c>
      <c r="T2342" s="8">
        <f>IF(Table1[[#This Row],[pledged]]=0,"no backers",Table1[[#This Row],[pledged]]/Table1[[#This Row],[backers_count]])</f>
        <v>104.99007444168734</v>
      </c>
      <c r="U2342" t="str">
        <f>LEFT(Table1[[#This Row],[Category and Sub-Category]],FIND("/",Table1[[#This Row],[Category and Sub-Category]])-1)</f>
        <v>food</v>
      </c>
      <c r="V2342" t="str">
        <f>RIGHT(Table1[[#This Row],[Category and Sub-Category]],LEN(Table1[[#This Row],[Category and Sub-Category]])-FIND("/",Table1[[#This Row],[Category and Sub-Category]]))</f>
        <v>small batch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 s="12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>((Table1[[#This Row],[deadline]]/60)/60/24)+DATE(1970,1,1)</f>
        <v>42197.813703703709</v>
      </c>
      <c r="K2343">
        <v>1434137504</v>
      </c>
      <c r="L2343" s="11">
        <f>((Table1[[#This Row],[launched_at]]/60)/60/24)+DATE(1970,1,1)</f>
        <v>42167.813703703709</v>
      </c>
      <c r="M2343">
        <f>MONTH(Table1[[#This Row],[Date Created Conversion]])</f>
        <v>6</v>
      </c>
      <c r="N2343">
        <f>YEAR(Table1[[#This Row],[Date Created Conversion]])</f>
        <v>2015</v>
      </c>
      <c r="O2343" t="b">
        <v>0</v>
      </c>
      <c r="P2343">
        <v>0</v>
      </c>
      <c r="Q2343" t="b">
        <v>0</v>
      </c>
      <c r="R2343" t="s">
        <v>8272</v>
      </c>
      <c r="S2343" s="6">
        <f>Table1[[#This Row],[pledged]]/Table1[[#This Row],[goal]]</f>
        <v>0</v>
      </c>
      <c r="T2343" s="8" t="str">
        <f>IF(Table1[[#This Row],[pledged]]=0,"no backers",Table1[[#This Row],[pledged]]/Table1[[#This Row],[backers_count]])</f>
        <v>no backers</v>
      </c>
      <c r="U2343" t="str">
        <f>LEFT(Table1[[#This Row],[Category and Sub-Category]],FIND("/",Table1[[#This Row],[Category and Sub-Category]])-1)</f>
        <v>technology</v>
      </c>
      <c r="V2343" t="str">
        <f>RIGHT(Table1[[#This Row],[Category and Sub-Category]],LEN(Table1[[#This Row],[Category and Sub-Category]])-FIND("/",Table1[[#This Row],[Category and Sub-Category]]))</f>
        <v>web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 s="12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>((Table1[[#This Row],[deadline]]/60)/60/24)+DATE(1970,1,1)</f>
        <v>41918.208333333336</v>
      </c>
      <c r="K2344">
        <v>1410799870</v>
      </c>
      <c r="L2344" s="11">
        <f>((Table1[[#This Row],[launched_at]]/60)/60/24)+DATE(1970,1,1)</f>
        <v>41897.702199074076</v>
      </c>
      <c r="M2344">
        <f>MONTH(Table1[[#This Row],[Date Created Conversion]])</f>
        <v>9</v>
      </c>
      <c r="N2344">
        <f>YEAR(Table1[[#This Row],[Date Created Conversion]])</f>
        <v>2014</v>
      </c>
      <c r="O2344" t="b">
        <v>0</v>
      </c>
      <c r="P2344">
        <v>0</v>
      </c>
      <c r="Q2344" t="b">
        <v>0</v>
      </c>
      <c r="R2344" t="s">
        <v>8272</v>
      </c>
      <c r="S2344" s="6">
        <f>Table1[[#This Row],[pledged]]/Table1[[#This Row],[goal]]</f>
        <v>0</v>
      </c>
      <c r="T2344" s="8" t="str">
        <f>IF(Table1[[#This Row],[pledged]]=0,"no backers",Table1[[#This Row],[pledged]]/Table1[[#This Row],[backers_count]])</f>
        <v>no backers</v>
      </c>
      <c r="U2344" t="str">
        <f>LEFT(Table1[[#This Row],[Category and Sub-Category]],FIND("/",Table1[[#This Row],[Category and Sub-Category]])-1)</f>
        <v>technology</v>
      </c>
      <c r="V2344" t="str">
        <f>RIGHT(Table1[[#This Row],[Category and Sub-Category]],LEN(Table1[[#This Row],[Category and Sub-Category]])-FIND("/",Table1[[#This Row],[Category and Sub-Category]]))</f>
        <v>web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 s="12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>((Table1[[#This Row],[deadline]]/60)/60/24)+DATE(1970,1,1)</f>
        <v>42377.82430555555</v>
      </c>
      <c r="K2345">
        <v>1447962505</v>
      </c>
      <c r="L2345" s="11">
        <f>((Table1[[#This Row],[launched_at]]/60)/60/24)+DATE(1970,1,1)</f>
        <v>42327.825289351851</v>
      </c>
      <c r="M2345">
        <f>MONTH(Table1[[#This Row],[Date Created Conversion]])</f>
        <v>11</v>
      </c>
      <c r="N2345">
        <f>YEAR(Table1[[#This Row],[Date Created Conversion]])</f>
        <v>2015</v>
      </c>
      <c r="O2345" t="b">
        <v>0</v>
      </c>
      <c r="P2345">
        <v>1</v>
      </c>
      <c r="Q2345" t="b">
        <v>0</v>
      </c>
      <c r="R2345" t="s">
        <v>8272</v>
      </c>
      <c r="S2345" s="6">
        <f>Table1[[#This Row],[pledged]]/Table1[[#This Row],[goal]]</f>
        <v>0.03</v>
      </c>
      <c r="T2345" s="8">
        <f>IF(Table1[[#This Row],[pledged]]=0,"no backers",Table1[[#This Row],[pledged]]/Table1[[#This Row],[backers_count]])</f>
        <v>300</v>
      </c>
      <c r="U2345" t="str">
        <f>LEFT(Table1[[#This Row],[Category and Sub-Category]],FIND("/",Table1[[#This Row],[Category and Sub-Category]])-1)</f>
        <v>technology</v>
      </c>
      <c r="V2345" t="str">
        <f>RIGHT(Table1[[#This Row],[Category and Sub-Category]],LEN(Table1[[#This Row],[Category and Sub-Category]])-FIND("/",Table1[[#This Row],[Category and Sub-Category]]))</f>
        <v>web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 s="12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>((Table1[[#This Row],[deadline]]/60)/60/24)+DATE(1970,1,1)</f>
        <v>42545.727650462963</v>
      </c>
      <c r="K2346">
        <v>1464197269</v>
      </c>
      <c r="L2346" s="11">
        <f>((Table1[[#This Row],[launched_at]]/60)/60/24)+DATE(1970,1,1)</f>
        <v>42515.727650462963</v>
      </c>
      <c r="M2346">
        <f>MONTH(Table1[[#This Row],[Date Created Conversion]])</f>
        <v>5</v>
      </c>
      <c r="N2346">
        <f>YEAR(Table1[[#This Row],[Date Created Conversion]])</f>
        <v>2016</v>
      </c>
      <c r="O2346" t="b">
        <v>0</v>
      </c>
      <c r="P2346">
        <v>1</v>
      </c>
      <c r="Q2346" t="b">
        <v>0</v>
      </c>
      <c r="R2346" t="s">
        <v>8272</v>
      </c>
      <c r="S2346" s="6">
        <f>Table1[[#This Row],[pledged]]/Table1[[#This Row],[goal]]</f>
        <v>1E-3</v>
      </c>
      <c r="T2346" s="8">
        <f>IF(Table1[[#This Row],[pledged]]=0,"no backers",Table1[[#This Row],[pledged]]/Table1[[#This Row],[backers_count]])</f>
        <v>1</v>
      </c>
      <c r="U2346" t="str">
        <f>LEFT(Table1[[#This Row],[Category and Sub-Category]],FIND("/",Table1[[#This Row],[Category and Sub-Category]])-1)</f>
        <v>technology</v>
      </c>
      <c r="V2346" t="str">
        <f>RIGHT(Table1[[#This Row],[Category and Sub-Category]],LEN(Table1[[#This Row],[Category and Sub-Category]])-FIND("/",Table1[[#This Row],[Category and Sub-Category]]))</f>
        <v>web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 s="12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>((Table1[[#This Row],[deadline]]/60)/60/24)+DATE(1970,1,1)</f>
        <v>42094.985416666663</v>
      </c>
      <c r="K2347">
        <v>1424822556</v>
      </c>
      <c r="L2347" s="11">
        <f>((Table1[[#This Row],[launched_at]]/60)/60/24)+DATE(1970,1,1)</f>
        <v>42060.001805555556</v>
      </c>
      <c r="M2347">
        <f>MONTH(Table1[[#This Row],[Date Created Conversion]])</f>
        <v>2</v>
      </c>
      <c r="N2347">
        <f>YEAR(Table1[[#This Row],[Date Created Conversion]])</f>
        <v>2015</v>
      </c>
      <c r="O2347" t="b">
        <v>0</v>
      </c>
      <c r="P2347">
        <v>0</v>
      </c>
      <c r="Q2347" t="b">
        <v>0</v>
      </c>
      <c r="R2347" t="s">
        <v>8272</v>
      </c>
      <c r="S2347" s="6">
        <f>Table1[[#This Row],[pledged]]/Table1[[#This Row],[goal]]</f>
        <v>0</v>
      </c>
      <c r="T2347" s="8" t="str">
        <f>IF(Table1[[#This Row],[pledged]]=0,"no backers",Table1[[#This Row],[pledged]]/Table1[[#This Row],[backers_count]])</f>
        <v>no backers</v>
      </c>
      <c r="U2347" t="str">
        <f>LEFT(Table1[[#This Row],[Category and Sub-Category]],FIND("/",Table1[[#This Row],[Category and Sub-Category]])-1)</f>
        <v>technology</v>
      </c>
      <c r="V2347" t="str">
        <f>RIGHT(Table1[[#This Row],[Category and Sub-Category]],LEN(Table1[[#This Row],[Category and Sub-Category]])-FIND("/",Table1[[#This Row],[Category and Sub-Category]]))</f>
        <v>web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 s="12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>((Table1[[#This Row],[deadline]]/60)/60/24)+DATE(1970,1,1)</f>
        <v>42660.79896990741</v>
      </c>
      <c r="K2348">
        <v>1472843431</v>
      </c>
      <c r="L2348" s="11">
        <f>((Table1[[#This Row],[launched_at]]/60)/60/24)+DATE(1970,1,1)</f>
        <v>42615.79896990741</v>
      </c>
      <c r="M2348">
        <f>MONTH(Table1[[#This Row],[Date Created Conversion]])</f>
        <v>9</v>
      </c>
      <c r="N2348">
        <f>YEAR(Table1[[#This Row],[Date Created Conversion]])</f>
        <v>2016</v>
      </c>
      <c r="O2348" t="b">
        <v>0</v>
      </c>
      <c r="P2348">
        <v>3</v>
      </c>
      <c r="Q2348" t="b">
        <v>0</v>
      </c>
      <c r="R2348" t="s">
        <v>8272</v>
      </c>
      <c r="S2348" s="6">
        <f>Table1[[#This Row],[pledged]]/Table1[[#This Row],[goal]]</f>
        <v>6.4999999999999997E-4</v>
      </c>
      <c r="T2348" s="8">
        <f>IF(Table1[[#This Row],[pledged]]=0,"no backers",Table1[[#This Row],[pledged]]/Table1[[#This Row],[backers_count]])</f>
        <v>13</v>
      </c>
      <c r="U2348" t="str">
        <f>LEFT(Table1[[#This Row],[Category and Sub-Category]],FIND("/",Table1[[#This Row],[Category and Sub-Category]])-1)</f>
        <v>technology</v>
      </c>
      <c r="V2348" t="str">
        <f>RIGHT(Table1[[#This Row],[Category and Sub-Category]],LEN(Table1[[#This Row],[Category and Sub-Category]])-FIND("/",Table1[[#This Row],[Category and Sub-Category]]))</f>
        <v>web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 s="12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>((Table1[[#This Row],[deadline]]/60)/60/24)+DATE(1970,1,1)</f>
        <v>42607.607361111113</v>
      </c>
      <c r="K2349">
        <v>1469543676</v>
      </c>
      <c r="L2349" s="11">
        <f>((Table1[[#This Row],[launched_at]]/60)/60/24)+DATE(1970,1,1)</f>
        <v>42577.607361111113</v>
      </c>
      <c r="M2349">
        <f>MONTH(Table1[[#This Row],[Date Created Conversion]])</f>
        <v>7</v>
      </c>
      <c r="N2349">
        <f>YEAR(Table1[[#This Row],[Date Created Conversion]])</f>
        <v>2016</v>
      </c>
      <c r="O2349" t="b">
        <v>0</v>
      </c>
      <c r="P2349">
        <v>1</v>
      </c>
      <c r="Q2349" t="b">
        <v>0</v>
      </c>
      <c r="R2349" t="s">
        <v>8272</v>
      </c>
      <c r="S2349" s="6">
        <f>Table1[[#This Row],[pledged]]/Table1[[#This Row],[goal]]</f>
        <v>1.4999999999999999E-2</v>
      </c>
      <c r="T2349" s="8">
        <f>IF(Table1[[#This Row],[pledged]]=0,"no backers",Table1[[#This Row],[pledged]]/Table1[[#This Row],[backers_count]])</f>
        <v>15</v>
      </c>
      <c r="U2349" t="str">
        <f>LEFT(Table1[[#This Row],[Category and Sub-Category]],FIND("/",Table1[[#This Row],[Category and Sub-Category]])-1)</f>
        <v>technology</v>
      </c>
      <c r="V2349" t="str">
        <f>RIGHT(Table1[[#This Row],[Category and Sub-Category]],LEN(Table1[[#This Row],[Category and Sub-Category]])-FIND("/",Table1[[#This Row],[Category and Sub-Category]]))</f>
        <v>web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 s="12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>((Table1[[#This Row],[deadline]]/60)/60/24)+DATE(1970,1,1)</f>
        <v>42420.932152777779</v>
      </c>
      <c r="K2350">
        <v>1450822938</v>
      </c>
      <c r="L2350" s="11">
        <f>((Table1[[#This Row],[launched_at]]/60)/60/24)+DATE(1970,1,1)</f>
        <v>42360.932152777779</v>
      </c>
      <c r="M2350">
        <f>MONTH(Table1[[#This Row],[Date Created Conversion]])</f>
        <v>12</v>
      </c>
      <c r="N2350">
        <f>YEAR(Table1[[#This Row],[Date Created Conversion]])</f>
        <v>2015</v>
      </c>
      <c r="O2350" t="b">
        <v>0</v>
      </c>
      <c r="P2350">
        <v>5</v>
      </c>
      <c r="Q2350" t="b">
        <v>0</v>
      </c>
      <c r="R2350" t="s">
        <v>8272</v>
      </c>
      <c r="S2350" s="6">
        <f>Table1[[#This Row],[pledged]]/Table1[[#This Row],[goal]]</f>
        <v>3.8571428571428572E-3</v>
      </c>
      <c r="T2350" s="8">
        <f>IF(Table1[[#This Row],[pledged]]=0,"no backers",Table1[[#This Row],[pledged]]/Table1[[#This Row],[backers_count]])</f>
        <v>54</v>
      </c>
      <c r="U2350" t="str">
        <f>LEFT(Table1[[#This Row],[Category and Sub-Category]],FIND("/",Table1[[#This Row],[Category and Sub-Category]])-1)</f>
        <v>technology</v>
      </c>
      <c r="V2350" t="str">
        <f>RIGHT(Table1[[#This Row],[Category and Sub-Category]],LEN(Table1[[#This Row],[Category and Sub-Category]])-FIND("/",Table1[[#This Row],[Category and Sub-Category]]))</f>
        <v>web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 s="12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>((Table1[[#This Row],[deadline]]/60)/60/24)+DATE(1970,1,1)</f>
        <v>42227.775787037041</v>
      </c>
      <c r="K2351">
        <v>1436812628</v>
      </c>
      <c r="L2351" s="11">
        <f>((Table1[[#This Row],[launched_at]]/60)/60/24)+DATE(1970,1,1)</f>
        <v>42198.775787037041</v>
      </c>
      <c r="M2351">
        <f>MONTH(Table1[[#This Row],[Date Created Conversion]])</f>
        <v>7</v>
      </c>
      <c r="N2351">
        <f>YEAR(Table1[[#This Row],[Date Created Conversion]])</f>
        <v>2015</v>
      </c>
      <c r="O2351" t="b">
        <v>0</v>
      </c>
      <c r="P2351">
        <v>0</v>
      </c>
      <c r="Q2351" t="b">
        <v>0</v>
      </c>
      <c r="R2351" t="s">
        <v>8272</v>
      </c>
      <c r="S2351" s="6">
        <f>Table1[[#This Row],[pledged]]/Table1[[#This Row],[goal]]</f>
        <v>0</v>
      </c>
      <c r="T2351" s="8" t="str">
        <f>IF(Table1[[#This Row],[pledged]]=0,"no backers",Table1[[#This Row],[pledged]]/Table1[[#This Row],[backers_count]])</f>
        <v>no backers</v>
      </c>
      <c r="U2351" t="str">
        <f>LEFT(Table1[[#This Row],[Category and Sub-Category]],FIND("/",Table1[[#This Row],[Category and Sub-Category]])-1)</f>
        <v>technology</v>
      </c>
      <c r="V2351" t="str">
        <f>RIGHT(Table1[[#This Row],[Category and Sub-Category]],LEN(Table1[[#This Row],[Category and Sub-Category]])-FIND("/",Table1[[#This Row],[Category and Sub-Category]]))</f>
        <v>web</v>
      </c>
    </row>
    <row r="2352" spans="1:22" ht="43.2" x14ac:dyDescent="0.3">
      <c r="A2352">
        <v>2350</v>
      </c>
      <c r="B2352" s="3" t="s">
        <v>2351</v>
      </c>
      <c r="C2352" s="3" t="s">
        <v>6460</v>
      </c>
      <c r="D2352" s="1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>((Table1[[#This Row],[deadline]]/60)/60/24)+DATE(1970,1,1)</f>
        <v>42738.842245370368</v>
      </c>
      <c r="K2352">
        <v>1480882370</v>
      </c>
      <c r="L2352" s="11">
        <f>((Table1[[#This Row],[launched_at]]/60)/60/24)+DATE(1970,1,1)</f>
        <v>42708.842245370368</v>
      </c>
      <c r="M2352">
        <f>MONTH(Table1[[#This Row],[Date Created Conversion]])</f>
        <v>12</v>
      </c>
      <c r="N2352">
        <f>YEAR(Table1[[#This Row],[Date Created Conversion]])</f>
        <v>2016</v>
      </c>
      <c r="O2352" t="b">
        <v>0</v>
      </c>
      <c r="P2352">
        <v>0</v>
      </c>
      <c r="Q2352" t="b">
        <v>0</v>
      </c>
      <c r="R2352" t="s">
        <v>8272</v>
      </c>
      <c r="S2352" s="6">
        <f>Table1[[#This Row],[pledged]]/Table1[[#This Row],[goal]]</f>
        <v>0</v>
      </c>
      <c r="T2352" s="8" t="str">
        <f>IF(Table1[[#This Row],[pledged]]=0,"no backers",Table1[[#This Row],[pledged]]/Table1[[#This Row],[backers_count]])</f>
        <v>no backers</v>
      </c>
      <c r="U2352" t="str">
        <f>LEFT(Table1[[#This Row],[Category and Sub-Category]],FIND("/",Table1[[#This Row],[Category and Sub-Category]])-1)</f>
        <v>technology</v>
      </c>
      <c r="V2352" t="str">
        <f>RIGHT(Table1[[#This Row],[Category and Sub-Category]],LEN(Table1[[#This Row],[Category and Sub-Category]])-FIND("/",Table1[[#This Row],[Category and Sub-Category]]))</f>
        <v>web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 s="12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>((Table1[[#This Row],[deadline]]/60)/60/24)+DATE(1970,1,1)</f>
        <v>42124.101145833338</v>
      </c>
      <c r="K2353">
        <v>1427768739</v>
      </c>
      <c r="L2353" s="11">
        <f>((Table1[[#This Row],[launched_at]]/60)/60/24)+DATE(1970,1,1)</f>
        <v>42094.101145833338</v>
      </c>
      <c r="M2353">
        <f>MONTH(Table1[[#This Row],[Date Created Conversion]])</f>
        <v>3</v>
      </c>
      <c r="N2353">
        <f>YEAR(Table1[[#This Row],[Date Created Conversion]])</f>
        <v>2015</v>
      </c>
      <c r="O2353" t="b">
        <v>0</v>
      </c>
      <c r="P2353">
        <v>7</v>
      </c>
      <c r="Q2353" t="b">
        <v>0</v>
      </c>
      <c r="R2353" t="s">
        <v>8272</v>
      </c>
      <c r="S2353" s="6">
        <f>Table1[[#This Row],[pledged]]/Table1[[#This Row],[goal]]</f>
        <v>5.7142857142857143E-3</v>
      </c>
      <c r="T2353" s="8">
        <f>IF(Table1[[#This Row],[pledged]]=0,"no backers",Table1[[#This Row],[pledged]]/Table1[[#This Row],[backers_count]])</f>
        <v>15.428571428571429</v>
      </c>
      <c r="U2353" t="str">
        <f>LEFT(Table1[[#This Row],[Category and Sub-Category]],FIND("/",Table1[[#This Row],[Category and Sub-Category]])-1)</f>
        <v>technology</v>
      </c>
      <c r="V2353" t="str">
        <f>RIGHT(Table1[[#This Row],[Category and Sub-Category]],LEN(Table1[[#This Row],[Category and Sub-Category]])-FIND("/",Table1[[#This Row],[Category and Sub-Category]]))</f>
        <v>web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 s="12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>((Table1[[#This Row],[deadline]]/60)/60/24)+DATE(1970,1,1)</f>
        <v>42161.633703703701</v>
      </c>
      <c r="K2354">
        <v>1428419552</v>
      </c>
      <c r="L2354" s="11">
        <f>((Table1[[#This Row],[launched_at]]/60)/60/24)+DATE(1970,1,1)</f>
        <v>42101.633703703701</v>
      </c>
      <c r="M2354">
        <f>MONTH(Table1[[#This Row],[Date Created Conversion]])</f>
        <v>4</v>
      </c>
      <c r="N2354">
        <f>YEAR(Table1[[#This Row],[Date Created Conversion]])</f>
        <v>2015</v>
      </c>
      <c r="O2354" t="b">
        <v>0</v>
      </c>
      <c r="P2354">
        <v>0</v>
      </c>
      <c r="Q2354" t="b">
        <v>0</v>
      </c>
      <c r="R2354" t="s">
        <v>8272</v>
      </c>
      <c r="S2354" s="6">
        <f>Table1[[#This Row],[pledged]]/Table1[[#This Row],[goal]]</f>
        <v>0</v>
      </c>
      <c r="T2354" s="8" t="str">
        <f>IF(Table1[[#This Row],[pledged]]=0,"no backers",Table1[[#This Row],[pledged]]/Table1[[#This Row],[backers_count]])</f>
        <v>no backers</v>
      </c>
      <c r="U2354" t="str">
        <f>LEFT(Table1[[#This Row],[Category and Sub-Category]],FIND("/",Table1[[#This Row],[Category and Sub-Category]])-1)</f>
        <v>technology</v>
      </c>
      <c r="V2354" t="str">
        <f>RIGHT(Table1[[#This Row],[Category and Sub-Category]],LEN(Table1[[#This Row],[Category and Sub-Category]])-FIND("/",Table1[[#This Row],[Category and Sub-Category]]))</f>
        <v>web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 s="12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>((Table1[[#This Row],[deadline]]/60)/60/24)+DATE(1970,1,1)</f>
        <v>42115.676180555558</v>
      </c>
      <c r="K2355">
        <v>1428596022</v>
      </c>
      <c r="L2355" s="11">
        <f>((Table1[[#This Row],[launched_at]]/60)/60/24)+DATE(1970,1,1)</f>
        <v>42103.676180555558</v>
      </c>
      <c r="M2355">
        <f>MONTH(Table1[[#This Row],[Date Created Conversion]])</f>
        <v>4</v>
      </c>
      <c r="N2355">
        <f>YEAR(Table1[[#This Row],[Date Created Conversion]])</f>
        <v>2015</v>
      </c>
      <c r="O2355" t="b">
        <v>0</v>
      </c>
      <c r="P2355">
        <v>0</v>
      </c>
      <c r="Q2355" t="b">
        <v>0</v>
      </c>
      <c r="R2355" t="s">
        <v>8272</v>
      </c>
      <c r="S2355" s="6">
        <f>Table1[[#This Row],[pledged]]/Table1[[#This Row],[goal]]</f>
        <v>0</v>
      </c>
      <c r="T2355" s="8" t="str">
        <f>IF(Table1[[#This Row],[pledged]]=0,"no backers",Table1[[#This Row],[pledged]]/Table1[[#This Row],[backers_count]])</f>
        <v>no backers</v>
      </c>
      <c r="U2355" t="str">
        <f>LEFT(Table1[[#This Row],[Category and Sub-Category]],FIND("/",Table1[[#This Row],[Category and Sub-Category]])-1)</f>
        <v>technology</v>
      </c>
      <c r="V2355" t="str">
        <f>RIGHT(Table1[[#This Row],[Category and Sub-Category]],LEN(Table1[[#This Row],[Category and Sub-Category]])-FIND("/",Table1[[#This Row],[Category and Sub-Category]]))</f>
        <v>web</v>
      </c>
    </row>
    <row r="2356" spans="1:22" ht="43.2" x14ac:dyDescent="0.3">
      <c r="A2356">
        <v>2354</v>
      </c>
      <c r="B2356" s="3" t="s">
        <v>2355</v>
      </c>
      <c r="C2356" s="3" t="s">
        <v>6464</v>
      </c>
      <c r="D2356" s="12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>((Table1[[#This Row],[deadline]]/60)/60/24)+DATE(1970,1,1)</f>
        <v>42014.722916666666</v>
      </c>
      <c r="K2356">
        <v>1415726460</v>
      </c>
      <c r="L2356" s="11">
        <f>((Table1[[#This Row],[launched_at]]/60)/60/24)+DATE(1970,1,1)</f>
        <v>41954.722916666666</v>
      </c>
      <c r="M2356">
        <f>MONTH(Table1[[#This Row],[Date Created Conversion]])</f>
        <v>11</v>
      </c>
      <c r="N2356">
        <f>YEAR(Table1[[#This Row],[Date Created Conversion]])</f>
        <v>2014</v>
      </c>
      <c r="O2356" t="b">
        <v>0</v>
      </c>
      <c r="P2356">
        <v>1</v>
      </c>
      <c r="Q2356" t="b">
        <v>0</v>
      </c>
      <c r="R2356" t="s">
        <v>8272</v>
      </c>
      <c r="S2356" s="6">
        <f>Table1[[#This Row],[pledged]]/Table1[[#This Row],[goal]]</f>
        <v>7.1428571428571429E-4</v>
      </c>
      <c r="T2356" s="8">
        <f>IF(Table1[[#This Row],[pledged]]=0,"no backers",Table1[[#This Row],[pledged]]/Table1[[#This Row],[backers_count]])</f>
        <v>25</v>
      </c>
      <c r="U2356" t="str">
        <f>LEFT(Table1[[#This Row],[Category and Sub-Category]],FIND("/",Table1[[#This Row],[Category and Sub-Category]])-1)</f>
        <v>technology</v>
      </c>
      <c r="V2356" t="str">
        <f>RIGHT(Table1[[#This Row],[Category and Sub-Category]],LEN(Table1[[#This Row],[Category and Sub-Category]])-FIND("/",Table1[[#This Row],[Category and Sub-Category]]))</f>
        <v>web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 s="12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>((Table1[[#This Row],[deadline]]/60)/60/24)+DATE(1970,1,1)</f>
        <v>42126.918240740735</v>
      </c>
      <c r="K2357">
        <v>1428012136</v>
      </c>
      <c r="L2357" s="11">
        <f>((Table1[[#This Row],[launched_at]]/60)/60/24)+DATE(1970,1,1)</f>
        <v>42096.918240740735</v>
      </c>
      <c r="M2357">
        <f>MONTH(Table1[[#This Row],[Date Created Conversion]])</f>
        <v>4</v>
      </c>
      <c r="N2357">
        <f>YEAR(Table1[[#This Row],[Date Created Conversion]])</f>
        <v>2015</v>
      </c>
      <c r="O2357" t="b">
        <v>0</v>
      </c>
      <c r="P2357">
        <v>2</v>
      </c>
      <c r="Q2357" t="b">
        <v>0</v>
      </c>
      <c r="R2357" t="s">
        <v>8272</v>
      </c>
      <c r="S2357" s="6">
        <f>Table1[[#This Row],[pledged]]/Table1[[#This Row],[goal]]</f>
        <v>6.875E-3</v>
      </c>
      <c r="T2357" s="8">
        <f>IF(Table1[[#This Row],[pledged]]=0,"no backers",Table1[[#This Row],[pledged]]/Table1[[#This Row],[backers_count]])</f>
        <v>27.5</v>
      </c>
      <c r="U2357" t="str">
        <f>LEFT(Table1[[#This Row],[Category and Sub-Category]],FIND("/",Table1[[#This Row],[Category and Sub-Category]])-1)</f>
        <v>technology</v>
      </c>
      <c r="V2357" t="str">
        <f>RIGHT(Table1[[#This Row],[Category and Sub-Category]],LEN(Table1[[#This Row],[Category and Sub-Category]])-FIND("/",Table1[[#This Row],[Category and Sub-Category]]))</f>
        <v>web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 s="12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>((Table1[[#This Row],[deadline]]/60)/60/24)+DATE(1970,1,1)</f>
        <v>42160.78361111111</v>
      </c>
      <c r="K2358">
        <v>1430938104</v>
      </c>
      <c r="L2358" s="11">
        <f>((Table1[[#This Row],[launched_at]]/60)/60/24)+DATE(1970,1,1)</f>
        <v>42130.78361111111</v>
      </c>
      <c r="M2358">
        <f>MONTH(Table1[[#This Row],[Date Created Conversion]])</f>
        <v>5</v>
      </c>
      <c r="N2358">
        <f>YEAR(Table1[[#This Row],[Date Created Conversion]])</f>
        <v>2015</v>
      </c>
      <c r="O2358" t="b">
        <v>0</v>
      </c>
      <c r="P2358">
        <v>0</v>
      </c>
      <c r="Q2358" t="b">
        <v>0</v>
      </c>
      <c r="R2358" t="s">
        <v>8272</v>
      </c>
      <c r="S2358" s="6">
        <f>Table1[[#This Row],[pledged]]/Table1[[#This Row],[goal]]</f>
        <v>0</v>
      </c>
      <c r="T2358" s="8" t="str">
        <f>IF(Table1[[#This Row],[pledged]]=0,"no backers",Table1[[#This Row],[pledged]]/Table1[[#This Row],[backers_count]])</f>
        <v>no backers</v>
      </c>
      <c r="U2358" t="str">
        <f>LEFT(Table1[[#This Row],[Category and Sub-Category]],FIND("/",Table1[[#This Row],[Category and Sub-Category]])-1)</f>
        <v>technology</v>
      </c>
      <c r="V2358" t="str">
        <f>RIGHT(Table1[[#This Row],[Category and Sub-Category]],LEN(Table1[[#This Row],[Category and Sub-Category]])-FIND("/",Table1[[#This Row],[Category and Sub-Category]]))</f>
        <v>web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 s="12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>((Table1[[#This Row],[deadline]]/60)/60/24)+DATE(1970,1,1)</f>
        <v>42294.620115740734</v>
      </c>
      <c r="K2359">
        <v>1442501578</v>
      </c>
      <c r="L2359" s="11">
        <f>((Table1[[#This Row],[launched_at]]/60)/60/24)+DATE(1970,1,1)</f>
        <v>42264.620115740734</v>
      </c>
      <c r="M2359">
        <f>MONTH(Table1[[#This Row],[Date Created Conversion]])</f>
        <v>9</v>
      </c>
      <c r="N2359">
        <f>YEAR(Table1[[#This Row],[Date Created Conversion]])</f>
        <v>2015</v>
      </c>
      <c r="O2359" t="b">
        <v>0</v>
      </c>
      <c r="P2359">
        <v>0</v>
      </c>
      <c r="Q2359" t="b">
        <v>0</v>
      </c>
      <c r="R2359" t="s">
        <v>8272</v>
      </c>
      <c r="S2359" s="6">
        <f>Table1[[#This Row],[pledged]]/Table1[[#This Row],[goal]]</f>
        <v>0</v>
      </c>
      <c r="T2359" s="8" t="str">
        <f>IF(Table1[[#This Row],[pledged]]=0,"no backers",Table1[[#This Row],[pledged]]/Table1[[#This Row],[backers_count]])</f>
        <v>no backers</v>
      </c>
      <c r="U2359" t="str">
        <f>LEFT(Table1[[#This Row],[Category and Sub-Category]],FIND("/",Table1[[#This Row],[Category and Sub-Category]])-1)</f>
        <v>technology</v>
      </c>
      <c r="V2359" t="str">
        <f>RIGHT(Table1[[#This Row],[Category and Sub-Category]],LEN(Table1[[#This Row],[Category and Sub-Category]])-FIND("/",Table1[[#This Row],[Category and Sub-Category]]))</f>
        <v>web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 s="12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>((Table1[[#This Row],[deadline]]/60)/60/24)+DATE(1970,1,1)</f>
        <v>42035.027083333334</v>
      </c>
      <c r="K2360">
        <v>1417818036</v>
      </c>
      <c r="L2360" s="11">
        <f>((Table1[[#This Row],[launched_at]]/60)/60/24)+DATE(1970,1,1)</f>
        <v>41978.930972222224</v>
      </c>
      <c r="M2360">
        <f>MONTH(Table1[[#This Row],[Date Created Conversion]])</f>
        <v>12</v>
      </c>
      <c r="N2360">
        <f>YEAR(Table1[[#This Row],[Date Created Conversion]])</f>
        <v>2014</v>
      </c>
      <c r="O2360" t="b">
        <v>0</v>
      </c>
      <c r="P2360">
        <v>0</v>
      </c>
      <c r="Q2360" t="b">
        <v>0</v>
      </c>
      <c r="R2360" t="s">
        <v>8272</v>
      </c>
      <c r="S2360" s="6">
        <f>Table1[[#This Row],[pledged]]/Table1[[#This Row],[goal]]</f>
        <v>0</v>
      </c>
      <c r="T2360" s="8" t="str">
        <f>IF(Table1[[#This Row],[pledged]]=0,"no backers",Table1[[#This Row],[pledged]]/Table1[[#This Row],[backers_count]])</f>
        <v>no backers</v>
      </c>
      <c r="U2360" t="str">
        <f>LEFT(Table1[[#This Row],[Category and Sub-Category]],FIND("/",Table1[[#This Row],[Category and Sub-Category]])-1)</f>
        <v>technology</v>
      </c>
      <c r="V2360" t="str">
        <f>RIGHT(Table1[[#This Row],[Category and Sub-Category]],LEN(Table1[[#This Row],[Category and Sub-Category]])-FIND("/",Table1[[#This Row],[Category and Sub-Category]]))</f>
        <v>web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 s="12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>((Table1[[#This Row],[deadline]]/60)/60/24)+DATE(1970,1,1)</f>
        <v>42219.649583333332</v>
      </c>
      <c r="K2361">
        <v>1433432124</v>
      </c>
      <c r="L2361" s="11">
        <f>((Table1[[#This Row],[launched_at]]/60)/60/24)+DATE(1970,1,1)</f>
        <v>42159.649583333332</v>
      </c>
      <c r="M2361">
        <f>MONTH(Table1[[#This Row],[Date Created Conversion]])</f>
        <v>6</v>
      </c>
      <c r="N2361">
        <f>YEAR(Table1[[#This Row],[Date Created Conversion]])</f>
        <v>2015</v>
      </c>
      <c r="O2361" t="b">
        <v>0</v>
      </c>
      <c r="P2361">
        <v>3</v>
      </c>
      <c r="Q2361" t="b">
        <v>0</v>
      </c>
      <c r="R2361" t="s">
        <v>8272</v>
      </c>
      <c r="S2361" s="6">
        <f>Table1[[#This Row],[pledged]]/Table1[[#This Row],[goal]]</f>
        <v>0.14680000000000001</v>
      </c>
      <c r="T2361" s="8">
        <f>IF(Table1[[#This Row],[pledged]]=0,"no backers",Table1[[#This Row],[pledged]]/Table1[[#This Row],[backers_count]])</f>
        <v>367</v>
      </c>
      <c r="U2361" t="str">
        <f>LEFT(Table1[[#This Row],[Category and Sub-Category]],FIND("/",Table1[[#This Row],[Category and Sub-Category]])-1)</f>
        <v>technology</v>
      </c>
      <c r="V2361" t="str">
        <f>RIGHT(Table1[[#This Row],[Category and Sub-Category]],LEN(Table1[[#This Row],[Category and Sub-Category]])-FIND("/",Table1[[#This Row],[Category and Sub-Category]]))</f>
        <v>web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 s="1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>((Table1[[#This Row],[deadline]]/60)/60/24)+DATE(1970,1,1)</f>
        <v>42407.70694444445</v>
      </c>
      <c r="K2362">
        <v>1452272280</v>
      </c>
      <c r="L2362" s="11">
        <f>((Table1[[#This Row],[launched_at]]/60)/60/24)+DATE(1970,1,1)</f>
        <v>42377.70694444445</v>
      </c>
      <c r="M2362">
        <f>MONTH(Table1[[#This Row],[Date Created Conversion]])</f>
        <v>1</v>
      </c>
      <c r="N2362">
        <f>YEAR(Table1[[#This Row],[Date Created Conversion]])</f>
        <v>2016</v>
      </c>
      <c r="O2362" t="b">
        <v>0</v>
      </c>
      <c r="P2362">
        <v>1</v>
      </c>
      <c r="Q2362" t="b">
        <v>0</v>
      </c>
      <c r="R2362" t="s">
        <v>8272</v>
      </c>
      <c r="S2362" s="6">
        <f>Table1[[#This Row],[pledged]]/Table1[[#This Row],[goal]]</f>
        <v>4.0000000000000002E-4</v>
      </c>
      <c r="T2362" s="8">
        <f>IF(Table1[[#This Row],[pledged]]=0,"no backers",Table1[[#This Row],[pledged]]/Table1[[#This Row],[backers_count]])</f>
        <v>2</v>
      </c>
      <c r="U2362" t="str">
        <f>LEFT(Table1[[#This Row],[Category and Sub-Category]],FIND("/",Table1[[#This Row],[Category and Sub-Category]])-1)</f>
        <v>technology</v>
      </c>
      <c r="V2362" t="str">
        <f>RIGHT(Table1[[#This Row],[Category and Sub-Category]],LEN(Table1[[#This Row],[Category and Sub-Category]])-FIND("/",Table1[[#This Row],[Category and Sub-Category]]))</f>
        <v>web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 s="12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>((Table1[[#This Row],[deadline]]/60)/60/24)+DATE(1970,1,1)</f>
        <v>42490.916666666672</v>
      </c>
      <c r="K2363">
        <v>1459975008</v>
      </c>
      <c r="L2363" s="11">
        <f>((Table1[[#This Row],[launched_at]]/60)/60/24)+DATE(1970,1,1)</f>
        <v>42466.858888888892</v>
      </c>
      <c r="M2363">
        <f>MONTH(Table1[[#This Row],[Date Created Conversion]])</f>
        <v>4</v>
      </c>
      <c r="N2363">
        <f>YEAR(Table1[[#This Row],[Date Created Conversion]])</f>
        <v>2016</v>
      </c>
      <c r="O2363" t="b">
        <v>0</v>
      </c>
      <c r="P2363">
        <v>0</v>
      </c>
      <c r="Q2363" t="b">
        <v>0</v>
      </c>
      <c r="R2363" t="s">
        <v>8272</v>
      </c>
      <c r="S2363" s="6">
        <f>Table1[[#This Row],[pledged]]/Table1[[#This Row],[goal]]</f>
        <v>0</v>
      </c>
      <c r="T2363" s="8" t="str">
        <f>IF(Table1[[#This Row],[pledged]]=0,"no backers",Table1[[#This Row],[pledged]]/Table1[[#This Row],[backers_count]])</f>
        <v>no backers</v>
      </c>
      <c r="U2363" t="str">
        <f>LEFT(Table1[[#This Row],[Category and Sub-Category]],FIND("/",Table1[[#This Row],[Category and Sub-Category]])-1)</f>
        <v>technology</v>
      </c>
      <c r="V2363" t="str">
        <f>RIGHT(Table1[[#This Row],[Category and Sub-Category]],LEN(Table1[[#This Row],[Category and Sub-Category]])-FIND("/",Table1[[#This Row],[Category and Sub-Category]]))</f>
        <v>web</v>
      </c>
    </row>
    <row r="2364" spans="1:22" ht="43.2" x14ac:dyDescent="0.3">
      <c r="A2364">
        <v>2362</v>
      </c>
      <c r="B2364" s="3" t="s">
        <v>2363</v>
      </c>
      <c r="C2364" s="3" t="s">
        <v>6472</v>
      </c>
      <c r="D2364" s="12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>((Table1[[#This Row],[deadline]]/60)/60/24)+DATE(1970,1,1)</f>
        <v>41984.688310185185</v>
      </c>
      <c r="K2364">
        <v>1415723470</v>
      </c>
      <c r="L2364" s="11">
        <f>((Table1[[#This Row],[launched_at]]/60)/60/24)+DATE(1970,1,1)</f>
        <v>41954.688310185185</v>
      </c>
      <c r="M2364">
        <f>MONTH(Table1[[#This Row],[Date Created Conversion]])</f>
        <v>11</v>
      </c>
      <c r="N2364">
        <f>YEAR(Table1[[#This Row],[Date Created Conversion]])</f>
        <v>2014</v>
      </c>
      <c r="O2364" t="b">
        <v>0</v>
      </c>
      <c r="P2364">
        <v>2</v>
      </c>
      <c r="Q2364" t="b">
        <v>0</v>
      </c>
      <c r="R2364" t="s">
        <v>8272</v>
      </c>
      <c r="S2364" s="6">
        <f>Table1[[#This Row],[pledged]]/Table1[[#This Row],[goal]]</f>
        <v>0.2857142857142857</v>
      </c>
      <c r="T2364" s="8">
        <f>IF(Table1[[#This Row],[pledged]]=0,"no backers",Table1[[#This Row],[pledged]]/Table1[[#This Row],[backers_count]])</f>
        <v>60</v>
      </c>
      <c r="U2364" t="str">
        <f>LEFT(Table1[[#This Row],[Category and Sub-Category]],FIND("/",Table1[[#This Row],[Category and Sub-Category]])-1)</f>
        <v>technology</v>
      </c>
      <c r="V2364" t="str">
        <f>RIGHT(Table1[[#This Row],[Category and Sub-Category]],LEN(Table1[[#This Row],[Category and Sub-Category]])-FIND("/",Table1[[#This Row],[Category and Sub-Category]]))</f>
        <v>web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 s="12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>((Table1[[#This Row],[deadline]]/60)/60/24)+DATE(1970,1,1)</f>
        <v>42367.011574074073</v>
      </c>
      <c r="K2365">
        <v>1447460200</v>
      </c>
      <c r="L2365" s="11">
        <f>((Table1[[#This Row],[launched_at]]/60)/60/24)+DATE(1970,1,1)</f>
        <v>42322.011574074073</v>
      </c>
      <c r="M2365">
        <f>MONTH(Table1[[#This Row],[Date Created Conversion]])</f>
        <v>11</v>
      </c>
      <c r="N2365">
        <f>YEAR(Table1[[#This Row],[Date Created Conversion]])</f>
        <v>2015</v>
      </c>
      <c r="O2365" t="b">
        <v>0</v>
      </c>
      <c r="P2365">
        <v>0</v>
      </c>
      <c r="Q2365" t="b">
        <v>0</v>
      </c>
      <c r="R2365" t="s">
        <v>8272</v>
      </c>
      <c r="S2365" s="6">
        <f>Table1[[#This Row],[pledged]]/Table1[[#This Row],[goal]]</f>
        <v>0</v>
      </c>
      <c r="T2365" s="8" t="str">
        <f>IF(Table1[[#This Row],[pledged]]=0,"no backers",Table1[[#This Row],[pledged]]/Table1[[#This Row],[backers_count]])</f>
        <v>no backers</v>
      </c>
      <c r="U2365" t="str">
        <f>LEFT(Table1[[#This Row],[Category and Sub-Category]],FIND("/",Table1[[#This Row],[Category and Sub-Category]])-1)</f>
        <v>technology</v>
      </c>
      <c r="V2365" t="str">
        <f>RIGHT(Table1[[#This Row],[Category and Sub-Category]],LEN(Table1[[#This Row],[Category and Sub-Category]])-FIND("/",Table1[[#This Row],[Category and Sub-Category]]))</f>
        <v>web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 s="12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>((Table1[[#This Row],[deadline]]/60)/60/24)+DATE(1970,1,1)</f>
        <v>42303.934675925921</v>
      </c>
      <c r="K2366">
        <v>1441146356</v>
      </c>
      <c r="L2366" s="11">
        <f>((Table1[[#This Row],[launched_at]]/60)/60/24)+DATE(1970,1,1)</f>
        <v>42248.934675925921</v>
      </c>
      <c r="M2366">
        <f>MONTH(Table1[[#This Row],[Date Created Conversion]])</f>
        <v>9</v>
      </c>
      <c r="N2366">
        <f>YEAR(Table1[[#This Row],[Date Created Conversion]])</f>
        <v>2015</v>
      </c>
      <c r="O2366" t="b">
        <v>0</v>
      </c>
      <c r="P2366">
        <v>0</v>
      </c>
      <c r="Q2366" t="b">
        <v>0</v>
      </c>
      <c r="R2366" t="s">
        <v>8272</v>
      </c>
      <c r="S2366" s="6">
        <f>Table1[[#This Row],[pledged]]/Table1[[#This Row],[goal]]</f>
        <v>0</v>
      </c>
      <c r="T2366" s="8" t="str">
        <f>IF(Table1[[#This Row],[pledged]]=0,"no backers",Table1[[#This Row],[pledged]]/Table1[[#This Row],[backers_count]])</f>
        <v>no backers</v>
      </c>
      <c r="U2366" t="str">
        <f>LEFT(Table1[[#This Row],[Category and Sub-Category]],FIND("/",Table1[[#This Row],[Category and Sub-Category]])-1)</f>
        <v>technology</v>
      </c>
      <c r="V2366" t="str">
        <f>RIGHT(Table1[[#This Row],[Category and Sub-Category]],LEN(Table1[[#This Row],[Category and Sub-Category]])-FIND("/",Table1[[#This Row],[Category and Sub-Category]]))</f>
        <v>web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 s="12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>((Table1[[#This Row],[deadline]]/60)/60/24)+DATE(1970,1,1)</f>
        <v>42386.958333333328</v>
      </c>
      <c r="K2367">
        <v>1449596425</v>
      </c>
      <c r="L2367" s="11">
        <f>((Table1[[#This Row],[launched_at]]/60)/60/24)+DATE(1970,1,1)</f>
        <v>42346.736400462964</v>
      </c>
      <c r="M2367">
        <f>MONTH(Table1[[#This Row],[Date Created Conversion]])</f>
        <v>12</v>
      </c>
      <c r="N2367">
        <f>YEAR(Table1[[#This Row],[Date Created Conversion]])</f>
        <v>2015</v>
      </c>
      <c r="O2367" t="b">
        <v>0</v>
      </c>
      <c r="P2367">
        <v>0</v>
      </c>
      <c r="Q2367" t="b">
        <v>0</v>
      </c>
      <c r="R2367" t="s">
        <v>8272</v>
      </c>
      <c r="S2367" s="6">
        <f>Table1[[#This Row],[pledged]]/Table1[[#This Row],[goal]]</f>
        <v>0</v>
      </c>
      <c r="T2367" s="8" t="str">
        <f>IF(Table1[[#This Row],[pledged]]=0,"no backers",Table1[[#This Row],[pledged]]/Table1[[#This Row],[backers_count]])</f>
        <v>no backers</v>
      </c>
      <c r="U2367" t="str">
        <f>LEFT(Table1[[#This Row],[Category and Sub-Category]],FIND("/",Table1[[#This Row],[Category and Sub-Category]])-1)</f>
        <v>technology</v>
      </c>
      <c r="V2367" t="str">
        <f>RIGHT(Table1[[#This Row],[Category and Sub-Category]],LEN(Table1[[#This Row],[Category and Sub-Category]])-FIND("/",Table1[[#This Row],[Category and Sub-Category]]))</f>
        <v>web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 s="12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>((Table1[[#This Row],[deadline]]/60)/60/24)+DATE(1970,1,1)</f>
        <v>42298.531631944439</v>
      </c>
      <c r="K2368">
        <v>1442839533</v>
      </c>
      <c r="L2368" s="11">
        <f>((Table1[[#This Row],[launched_at]]/60)/60/24)+DATE(1970,1,1)</f>
        <v>42268.531631944439</v>
      </c>
      <c r="M2368">
        <f>MONTH(Table1[[#This Row],[Date Created Conversion]])</f>
        <v>9</v>
      </c>
      <c r="N2368">
        <f>YEAR(Table1[[#This Row],[Date Created Conversion]])</f>
        <v>2015</v>
      </c>
      <c r="O2368" t="b">
        <v>0</v>
      </c>
      <c r="P2368">
        <v>27</v>
      </c>
      <c r="Q2368" t="b">
        <v>0</v>
      </c>
      <c r="R2368" t="s">
        <v>8272</v>
      </c>
      <c r="S2368" s="6">
        <f>Table1[[#This Row],[pledged]]/Table1[[#This Row],[goal]]</f>
        <v>0.1052</v>
      </c>
      <c r="T2368" s="8">
        <f>IF(Table1[[#This Row],[pledged]]=0,"no backers",Table1[[#This Row],[pledged]]/Table1[[#This Row],[backers_count]])</f>
        <v>97.407407407407405</v>
      </c>
      <c r="U2368" t="str">
        <f>LEFT(Table1[[#This Row],[Category and Sub-Category]],FIND("/",Table1[[#This Row],[Category and Sub-Category]])-1)</f>
        <v>technology</v>
      </c>
      <c r="V2368" t="str">
        <f>RIGHT(Table1[[#This Row],[Category and Sub-Category]],LEN(Table1[[#This Row],[Category and Sub-Category]])-FIND("/",Table1[[#This Row],[Category and Sub-Category]]))</f>
        <v>web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 s="12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>((Table1[[#This Row],[deadline]]/60)/60/24)+DATE(1970,1,1)</f>
        <v>42485.928425925929</v>
      </c>
      <c r="K2369">
        <v>1456442216</v>
      </c>
      <c r="L2369" s="11">
        <f>((Table1[[#This Row],[launched_at]]/60)/60/24)+DATE(1970,1,1)</f>
        <v>42425.970092592594</v>
      </c>
      <c r="M2369">
        <f>MONTH(Table1[[#This Row],[Date Created Conversion]])</f>
        <v>2</v>
      </c>
      <c r="N2369">
        <f>YEAR(Table1[[#This Row],[Date Created Conversion]])</f>
        <v>2016</v>
      </c>
      <c r="O2369" t="b">
        <v>0</v>
      </c>
      <c r="P2369">
        <v>14</v>
      </c>
      <c r="Q2369" t="b">
        <v>0</v>
      </c>
      <c r="R2369" t="s">
        <v>8272</v>
      </c>
      <c r="S2369" s="6">
        <f>Table1[[#This Row],[pledged]]/Table1[[#This Row],[goal]]</f>
        <v>1.34E-2</v>
      </c>
      <c r="T2369" s="8">
        <f>IF(Table1[[#This Row],[pledged]]=0,"no backers",Table1[[#This Row],[pledged]]/Table1[[#This Row],[backers_count]])</f>
        <v>47.857142857142854</v>
      </c>
      <c r="U2369" t="str">
        <f>LEFT(Table1[[#This Row],[Category and Sub-Category]],FIND("/",Table1[[#This Row],[Category and Sub-Category]])-1)</f>
        <v>technology</v>
      </c>
      <c r="V2369" t="str">
        <f>RIGHT(Table1[[#This Row],[Category and Sub-Category]],LEN(Table1[[#This Row],[Category and Sub-Category]])-FIND("/",Table1[[#This Row],[Category and Sub-Category]]))</f>
        <v>web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 s="12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>((Table1[[#This Row],[deadline]]/60)/60/24)+DATE(1970,1,1)</f>
        <v>42108.680150462969</v>
      </c>
      <c r="K2370">
        <v>1425143965</v>
      </c>
      <c r="L2370" s="11">
        <f>((Table1[[#This Row],[launched_at]]/60)/60/24)+DATE(1970,1,1)</f>
        <v>42063.721817129626</v>
      </c>
      <c r="M2370">
        <f>MONTH(Table1[[#This Row],[Date Created Conversion]])</f>
        <v>2</v>
      </c>
      <c r="N2370">
        <f>YEAR(Table1[[#This Row],[Date Created Conversion]])</f>
        <v>2015</v>
      </c>
      <c r="O2370" t="b">
        <v>0</v>
      </c>
      <c r="P2370">
        <v>2</v>
      </c>
      <c r="Q2370" t="b">
        <v>0</v>
      </c>
      <c r="R2370" t="s">
        <v>8272</v>
      </c>
      <c r="S2370" s="6">
        <f>Table1[[#This Row],[pledged]]/Table1[[#This Row],[goal]]</f>
        <v>2.5000000000000001E-3</v>
      </c>
      <c r="T2370" s="8">
        <f>IF(Table1[[#This Row],[pledged]]=0,"no backers",Table1[[#This Row],[pledged]]/Table1[[#This Row],[backers_count]])</f>
        <v>50</v>
      </c>
      <c r="U2370" t="str">
        <f>LEFT(Table1[[#This Row],[Category and Sub-Category]],FIND("/",Table1[[#This Row],[Category and Sub-Category]])-1)</f>
        <v>technology</v>
      </c>
      <c r="V2370" t="str">
        <f>RIGHT(Table1[[#This Row],[Category and Sub-Category]],LEN(Table1[[#This Row],[Category and Sub-Category]])-FIND("/",Table1[[#This Row],[Category and Sub-Category]]))</f>
        <v>web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 s="12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>((Table1[[#This Row],[deadline]]/60)/60/24)+DATE(1970,1,1)</f>
        <v>42410.812627314815</v>
      </c>
      <c r="K2371">
        <v>1452540611</v>
      </c>
      <c r="L2371" s="11">
        <f>((Table1[[#This Row],[launched_at]]/60)/60/24)+DATE(1970,1,1)</f>
        <v>42380.812627314815</v>
      </c>
      <c r="M2371">
        <f>MONTH(Table1[[#This Row],[Date Created Conversion]])</f>
        <v>1</v>
      </c>
      <c r="N2371">
        <f>YEAR(Table1[[#This Row],[Date Created Conversion]])</f>
        <v>2016</v>
      </c>
      <c r="O2371" t="b">
        <v>0</v>
      </c>
      <c r="P2371">
        <v>0</v>
      </c>
      <c r="Q2371" t="b">
        <v>0</v>
      </c>
      <c r="R2371" t="s">
        <v>8272</v>
      </c>
      <c r="S2371" s="6">
        <f>Table1[[#This Row],[pledged]]/Table1[[#This Row],[goal]]</f>
        <v>0</v>
      </c>
      <c r="T2371" s="8" t="str">
        <f>IF(Table1[[#This Row],[pledged]]=0,"no backers",Table1[[#This Row],[pledged]]/Table1[[#This Row],[backers_count]])</f>
        <v>no backers</v>
      </c>
      <c r="U2371" t="str">
        <f>LEFT(Table1[[#This Row],[Category and Sub-Category]],FIND("/",Table1[[#This Row],[Category and Sub-Category]])-1)</f>
        <v>technology</v>
      </c>
      <c r="V2371" t="str">
        <f>RIGHT(Table1[[#This Row],[Category and Sub-Category]],LEN(Table1[[#This Row],[Category and Sub-Category]])-FIND("/",Table1[[#This Row],[Category and Sub-Category]]))</f>
        <v>web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 s="1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>((Table1[[#This Row],[deadline]]/60)/60/24)+DATE(1970,1,1)</f>
        <v>41991.18913194444</v>
      </c>
      <c r="K2372">
        <v>1416285141</v>
      </c>
      <c r="L2372" s="11">
        <f>((Table1[[#This Row],[launched_at]]/60)/60/24)+DATE(1970,1,1)</f>
        <v>41961.18913194444</v>
      </c>
      <c r="M2372">
        <f>MONTH(Table1[[#This Row],[Date Created Conversion]])</f>
        <v>11</v>
      </c>
      <c r="N2372">
        <f>YEAR(Table1[[#This Row],[Date Created Conversion]])</f>
        <v>2014</v>
      </c>
      <c r="O2372" t="b">
        <v>0</v>
      </c>
      <c r="P2372">
        <v>4</v>
      </c>
      <c r="Q2372" t="b">
        <v>0</v>
      </c>
      <c r="R2372" t="s">
        <v>8272</v>
      </c>
      <c r="S2372" s="6">
        <f>Table1[[#This Row],[pledged]]/Table1[[#This Row],[goal]]</f>
        <v>3.2799999999999999E-3</v>
      </c>
      <c r="T2372" s="8">
        <f>IF(Table1[[#This Row],[pledged]]=0,"no backers",Table1[[#This Row],[pledged]]/Table1[[#This Row],[backers_count]])</f>
        <v>20.5</v>
      </c>
      <c r="U2372" t="str">
        <f>LEFT(Table1[[#This Row],[Category and Sub-Category]],FIND("/",Table1[[#This Row],[Category and Sub-Category]])-1)</f>
        <v>technology</v>
      </c>
      <c r="V2372" t="str">
        <f>RIGHT(Table1[[#This Row],[Category and Sub-Category]],LEN(Table1[[#This Row],[Category and Sub-Category]])-FIND("/",Table1[[#This Row],[Category and Sub-Category]]))</f>
        <v>web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 s="12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>((Table1[[#This Row],[deadline]]/60)/60/24)+DATE(1970,1,1)</f>
        <v>42180.777731481481</v>
      </c>
      <c r="K2373">
        <v>1432665596</v>
      </c>
      <c r="L2373" s="11">
        <f>((Table1[[#This Row],[launched_at]]/60)/60/24)+DATE(1970,1,1)</f>
        <v>42150.777731481481</v>
      </c>
      <c r="M2373">
        <f>MONTH(Table1[[#This Row],[Date Created Conversion]])</f>
        <v>5</v>
      </c>
      <c r="N2373">
        <f>YEAR(Table1[[#This Row],[Date Created Conversion]])</f>
        <v>2015</v>
      </c>
      <c r="O2373" t="b">
        <v>0</v>
      </c>
      <c r="P2373">
        <v>0</v>
      </c>
      <c r="Q2373" t="b">
        <v>0</v>
      </c>
      <c r="R2373" t="s">
        <v>8272</v>
      </c>
      <c r="S2373" s="6">
        <f>Table1[[#This Row],[pledged]]/Table1[[#This Row],[goal]]</f>
        <v>0</v>
      </c>
      <c r="T2373" s="8" t="str">
        <f>IF(Table1[[#This Row],[pledged]]=0,"no backers",Table1[[#This Row],[pledged]]/Table1[[#This Row],[backers_count]])</f>
        <v>no backers</v>
      </c>
      <c r="U2373" t="str">
        <f>LEFT(Table1[[#This Row],[Category and Sub-Category]],FIND("/",Table1[[#This Row],[Category and Sub-Category]])-1)</f>
        <v>technology</v>
      </c>
      <c r="V2373" t="str">
        <f>RIGHT(Table1[[#This Row],[Category and Sub-Category]],LEN(Table1[[#This Row],[Category and Sub-Category]])-FIND("/",Table1[[#This Row],[Category and Sub-Category]]))</f>
        <v>web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 s="12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>((Table1[[#This Row],[deadline]]/60)/60/24)+DATE(1970,1,1)</f>
        <v>42118.069108796291</v>
      </c>
      <c r="K2374">
        <v>1427247571</v>
      </c>
      <c r="L2374" s="11">
        <f>((Table1[[#This Row],[launched_at]]/60)/60/24)+DATE(1970,1,1)</f>
        <v>42088.069108796291</v>
      </c>
      <c r="M2374">
        <f>MONTH(Table1[[#This Row],[Date Created Conversion]])</f>
        <v>3</v>
      </c>
      <c r="N2374">
        <f>YEAR(Table1[[#This Row],[Date Created Conversion]])</f>
        <v>2015</v>
      </c>
      <c r="O2374" t="b">
        <v>0</v>
      </c>
      <c r="P2374">
        <v>6</v>
      </c>
      <c r="Q2374" t="b">
        <v>0</v>
      </c>
      <c r="R2374" t="s">
        <v>8272</v>
      </c>
      <c r="S2374" s="6">
        <f>Table1[[#This Row],[pledged]]/Table1[[#This Row],[goal]]</f>
        <v>3.272727272727273E-2</v>
      </c>
      <c r="T2374" s="8">
        <f>IF(Table1[[#This Row],[pledged]]=0,"no backers",Table1[[#This Row],[pledged]]/Table1[[#This Row],[backers_count]])</f>
        <v>30</v>
      </c>
      <c r="U2374" t="str">
        <f>LEFT(Table1[[#This Row],[Category and Sub-Category]],FIND("/",Table1[[#This Row],[Category and Sub-Category]])-1)</f>
        <v>technology</v>
      </c>
      <c r="V2374" t="str">
        <f>RIGHT(Table1[[#This Row],[Category and Sub-Category]],LEN(Table1[[#This Row],[Category and Sub-Category]])-FIND("/",Table1[[#This Row],[Category and Sub-Category]]))</f>
        <v>web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 s="12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>((Table1[[#This Row],[deadline]]/60)/60/24)+DATE(1970,1,1)</f>
        <v>42245.662314814821</v>
      </c>
      <c r="K2375">
        <v>1438271624</v>
      </c>
      <c r="L2375" s="11">
        <f>((Table1[[#This Row],[launched_at]]/60)/60/24)+DATE(1970,1,1)</f>
        <v>42215.662314814821</v>
      </c>
      <c r="M2375">
        <f>MONTH(Table1[[#This Row],[Date Created Conversion]])</f>
        <v>7</v>
      </c>
      <c r="N2375">
        <f>YEAR(Table1[[#This Row],[Date Created Conversion]])</f>
        <v>2015</v>
      </c>
      <c r="O2375" t="b">
        <v>0</v>
      </c>
      <c r="P2375">
        <v>1</v>
      </c>
      <c r="Q2375" t="b">
        <v>0</v>
      </c>
      <c r="R2375" t="s">
        <v>8272</v>
      </c>
      <c r="S2375" s="6">
        <f>Table1[[#This Row],[pledged]]/Table1[[#This Row],[goal]]</f>
        <v>5.8823529411764708E-5</v>
      </c>
      <c r="T2375" s="8">
        <f>IF(Table1[[#This Row],[pledged]]=0,"no backers",Table1[[#This Row],[pledged]]/Table1[[#This Row],[backers_count]])</f>
        <v>50</v>
      </c>
      <c r="U2375" t="str">
        <f>LEFT(Table1[[#This Row],[Category and Sub-Category]],FIND("/",Table1[[#This Row],[Category and Sub-Category]])-1)</f>
        <v>technology</v>
      </c>
      <c r="V2375" t="str">
        <f>RIGHT(Table1[[#This Row],[Category and Sub-Category]],LEN(Table1[[#This Row],[Category and Sub-Category]])-FIND("/",Table1[[#This Row],[Category and Sub-Category]]))</f>
        <v>web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 s="12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>((Table1[[#This Row],[deadline]]/60)/60/24)+DATE(1970,1,1)</f>
        <v>42047.843287037031</v>
      </c>
      <c r="K2376">
        <v>1421180060</v>
      </c>
      <c r="L2376" s="11">
        <f>((Table1[[#This Row],[launched_at]]/60)/60/24)+DATE(1970,1,1)</f>
        <v>42017.843287037031</v>
      </c>
      <c r="M2376">
        <f>MONTH(Table1[[#This Row],[Date Created Conversion]])</f>
        <v>1</v>
      </c>
      <c r="N2376">
        <f>YEAR(Table1[[#This Row],[Date Created Conversion]])</f>
        <v>2015</v>
      </c>
      <c r="O2376" t="b">
        <v>0</v>
      </c>
      <c r="P2376">
        <v>1</v>
      </c>
      <c r="Q2376" t="b">
        <v>0</v>
      </c>
      <c r="R2376" t="s">
        <v>8272</v>
      </c>
      <c r="S2376" s="6">
        <f>Table1[[#This Row],[pledged]]/Table1[[#This Row],[goal]]</f>
        <v>4.5454545454545455E-4</v>
      </c>
      <c r="T2376" s="8">
        <f>IF(Table1[[#This Row],[pledged]]=0,"no backers",Table1[[#This Row],[pledged]]/Table1[[#This Row],[backers_count]])</f>
        <v>10</v>
      </c>
      <c r="U2376" t="str">
        <f>LEFT(Table1[[#This Row],[Category and Sub-Category]],FIND("/",Table1[[#This Row],[Category and Sub-Category]])-1)</f>
        <v>technology</v>
      </c>
      <c r="V2376" t="str">
        <f>RIGHT(Table1[[#This Row],[Category and Sub-Category]],LEN(Table1[[#This Row],[Category and Sub-Category]])-FIND("/",Table1[[#This Row],[Category and Sub-Category]]))</f>
        <v>web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 s="12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>((Table1[[#This Row],[deadline]]/60)/60/24)+DATE(1970,1,1)</f>
        <v>42622.836076388892</v>
      </c>
      <c r="K2377">
        <v>1470859437</v>
      </c>
      <c r="L2377" s="11">
        <f>((Table1[[#This Row],[launched_at]]/60)/60/24)+DATE(1970,1,1)</f>
        <v>42592.836076388892</v>
      </c>
      <c r="M2377">
        <f>MONTH(Table1[[#This Row],[Date Created Conversion]])</f>
        <v>8</v>
      </c>
      <c r="N2377">
        <f>YEAR(Table1[[#This Row],[Date Created Conversion]])</f>
        <v>2016</v>
      </c>
      <c r="O2377" t="b">
        <v>0</v>
      </c>
      <c r="P2377">
        <v>0</v>
      </c>
      <c r="Q2377" t="b">
        <v>0</v>
      </c>
      <c r="R2377" t="s">
        <v>8272</v>
      </c>
      <c r="S2377" s="6">
        <f>Table1[[#This Row],[pledged]]/Table1[[#This Row],[goal]]</f>
        <v>0</v>
      </c>
      <c r="T2377" s="8" t="str">
        <f>IF(Table1[[#This Row],[pledged]]=0,"no backers",Table1[[#This Row],[pledged]]/Table1[[#This Row],[backers_count]])</f>
        <v>no backers</v>
      </c>
      <c r="U2377" t="str">
        <f>LEFT(Table1[[#This Row],[Category and Sub-Category]],FIND("/",Table1[[#This Row],[Category and Sub-Category]])-1)</f>
        <v>technology</v>
      </c>
      <c r="V2377" t="str">
        <f>RIGHT(Table1[[#This Row],[Category and Sub-Category]],LEN(Table1[[#This Row],[Category and Sub-Category]])-FIND("/",Table1[[#This Row],[Category and Sub-Category]]))</f>
        <v>web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 s="12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>((Table1[[#This Row],[deadline]]/60)/60/24)+DATE(1970,1,1)</f>
        <v>42348.925532407404</v>
      </c>
      <c r="K2378">
        <v>1447193566</v>
      </c>
      <c r="L2378" s="11">
        <f>((Table1[[#This Row],[launched_at]]/60)/60/24)+DATE(1970,1,1)</f>
        <v>42318.925532407404</v>
      </c>
      <c r="M2378">
        <f>MONTH(Table1[[#This Row],[Date Created Conversion]])</f>
        <v>11</v>
      </c>
      <c r="N2378">
        <f>YEAR(Table1[[#This Row],[Date Created Conversion]])</f>
        <v>2015</v>
      </c>
      <c r="O2378" t="b">
        <v>0</v>
      </c>
      <c r="P2378">
        <v>4</v>
      </c>
      <c r="Q2378" t="b">
        <v>0</v>
      </c>
      <c r="R2378" t="s">
        <v>8272</v>
      </c>
      <c r="S2378" s="6">
        <f>Table1[[#This Row],[pledged]]/Table1[[#This Row],[goal]]</f>
        <v>0.10877666666666666</v>
      </c>
      <c r="T2378" s="8">
        <f>IF(Table1[[#This Row],[pledged]]=0,"no backers",Table1[[#This Row],[pledged]]/Table1[[#This Row],[backers_count]])</f>
        <v>81.582499999999996</v>
      </c>
      <c r="U2378" t="str">
        <f>LEFT(Table1[[#This Row],[Category and Sub-Category]],FIND("/",Table1[[#This Row],[Category and Sub-Category]])-1)</f>
        <v>technology</v>
      </c>
      <c r="V2378" t="str">
        <f>RIGHT(Table1[[#This Row],[Category and Sub-Category]],LEN(Table1[[#This Row],[Category and Sub-Category]])-FIND("/",Table1[[#This Row],[Category and Sub-Category]]))</f>
        <v>web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 s="12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>((Table1[[#This Row],[deadline]]/60)/60/24)+DATE(1970,1,1)</f>
        <v>42699.911840277782</v>
      </c>
      <c r="K2379">
        <v>1477515183</v>
      </c>
      <c r="L2379" s="11">
        <f>((Table1[[#This Row],[launched_at]]/60)/60/24)+DATE(1970,1,1)</f>
        <v>42669.870173611111</v>
      </c>
      <c r="M2379">
        <f>MONTH(Table1[[#This Row],[Date Created Conversion]])</f>
        <v>10</v>
      </c>
      <c r="N2379">
        <f>YEAR(Table1[[#This Row],[Date Created Conversion]])</f>
        <v>2016</v>
      </c>
      <c r="O2379" t="b">
        <v>0</v>
      </c>
      <c r="P2379">
        <v>0</v>
      </c>
      <c r="Q2379" t="b">
        <v>0</v>
      </c>
      <c r="R2379" t="s">
        <v>8272</v>
      </c>
      <c r="S2379" s="6">
        <f>Table1[[#This Row],[pledged]]/Table1[[#This Row],[goal]]</f>
        <v>0</v>
      </c>
      <c r="T2379" s="8" t="str">
        <f>IF(Table1[[#This Row],[pledged]]=0,"no backers",Table1[[#This Row],[pledged]]/Table1[[#This Row],[backers_count]])</f>
        <v>no backers</v>
      </c>
      <c r="U2379" t="str">
        <f>LEFT(Table1[[#This Row],[Category and Sub-Category]],FIND("/",Table1[[#This Row],[Category and Sub-Category]])-1)</f>
        <v>technology</v>
      </c>
      <c r="V2379" t="str">
        <f>RIGHT(Table1[[#This Row],[Category and Sub-Category]],LEN(Table1[[#This Row],[Category and Sub-Category]])-FIND("/",Table1[[#This Row],[Category and Sub-Category]]))</f>
        <v>web</v>
      </c>
    </row>
    <row r="2380" spans="1:22" ht="43.2" x14ac:dyDescent="0.3">
      <c r="A2380">
        <v>2378</v>
      </c>
      <c r="B2380" s="3" t="s">
        <v>2379</v>
      </c>
      <c r="C2380" s="3" t="s">
        <v>6488</v>
      </c>
      <c r="D2380" s="12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>((Table1[[#This Row],[deadline]]/60)/60/24)+DATE(1970,1,1)</f>
        <v>42242.013078703705</v>
      </c>
      <c r="K2380">
        <v>1438042730</v>
      </c>
      <c r="L2380" s="11">
        <f>((Table1[[#This Row],[launched_at]]/60)/60/24)+DATE(1970,1,1)</f>
        <v>42213.013078703705</v>
      </c>
      <c r="M2380">
        <f>MONTH(Table1[[#This Row],[Date Created Conversion]])</f>
        <v>7</v>
      </c>
      <c r="N2380">
        <f>YEAR(Table1[[#This Row],[Date Created Conversion]])</f>
        <v>2015</v>
      </c>
      <c r="O2380" t="b">
        <v>0</v>
      </c>
      <c r="P2380">
        <v>0</v>
      </c>
      <c r="Q2380" t="b">
        <v>0</v>
      </c>
      <c r="R2380" t="s">
        <v>8272</v>
      </c>
      <c r="S2380" s="6">
        <f>Table1[[#This Row],[pledged]]/Table1[[#This Row],[goal]]</f>
        <v>0</v>
      </c>
      <c r="T2380" s="8" t="str">
        <f>IF(Table1[[#This Row],[pledged]]=0,"no backers",Table1[[#This Row],[pledged]]/Table1[[#This Row],[backers_count]])</f>
        <v>no backers</v>
      </c>
      <c r="U2380" t="str">
        <f>LEFT(Table1[[#This Row],[Category and Sub-Category]],FIND("/",Table1[[#This Row],[Category and Sub-Category]])-1)</f>
        <v>technology</v>
      </c>
      <c r="V2380" t="str">
        <f>RIGHT(Table1[[#This Row],[Category and Sub-Category]],LEN(Table1[[#This Row],[Category and Sub-Category]])-FIND("/",Table1[[#This Row],[Category and Sub-Category]]))</f>
        <v>web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 s="12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>((Table1[[#This Row],[deadline]]/60)/60/24)+DATE(1970,1,1)</f>
        <v>42282.016388888893</v>
      </c>
      <c r="K2381">
        <v>1440116616</v>
      </c>
      <c r="L2381" s="11">
        <f>((Table1[[#This Row],[launched_at]]/60)/60/24)+DATE(1970,1,1)</f>
        <v>42237.016388888893</v>
      </c>
      <c r="M2381">
        <f>MONTH(Table1[[#This Row],[Date Created Conversion]])</f>
        <v>8</v>
      </c>
      <c r="N2381">
        <f>YEAR(Table1[[#This Row],[Date Created Conversion]])</f>
        <v>2015</v>
      </c>
      <c r="O2381" t="b">
        <v>0</v>
      </c>
      <c r="P2381">
        <v>0</v>
      </c>
      <c r="Q2381" t="b">
        <v>0</v>
      </c>
      <c r="R2381" t="s">
        <v>8272</v>
      </c>
      <c r="S2381" s="6">
        <f>Table1[[#This Row],[pledged]]/Table1[[#This Row],[goal]]</f>
        <v>0</v>
      </c>
      <c r="T2381" s="8" t="str">
        <f>IF(Table1[[#This Row],[pledged]]=0,"no backers",Table1[[#This Row],[pledged]]/Table1[[#This Row],[backers_count]])</f>
        <v>no backers</v>
      </c>
      <c r="U2381" t="str">
        <f>LEFT(Table1[[#This Row],[Category and Sub-Category]],FIND("/",Table1[[#This Row],[Category and Sub-Category]])-1)</f>
        <v>technology</v>
      </c>
      <c r="V2381" t="str">
        <f>RIGHT(Table1[[#This Row],[Category and Sub-Category]],LEN(Table1[[#This Row],[Category and Sub-Category]])-FIND("/",Table1[[#This Row],[Category and Sub-Category]]))</f>
        <v>web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 s="1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>((Table1[[#This Row],[deadline]]/60)/60/24)+DATE(1970,1,1)</f>
        <v>42278.793310185181</v>
      </c>
      <c r="K2382">
        <v>1441134142</v>
      </c>
      <c r="L2382" s="11">
        <f>((Table1[[#This Row],[launched_at]]/60)/60/24)+DATE(1970,1,1)</f>
        <v>42248.793310185181</v>
      </c>
      <c r="M2382">
        <f>MONTH(Table1[[#This Row],[Date Created Conversion]])</f>
        <v>9</v>
      </c>
      <c r="N2382">
        <f>YEAR(Table1[[#This Row],[Date Created Conversion]])</f>
        <v>2015</v>
      </c>
      <c r="O2382" t="b">
        <v>0</v>
      </c>
      <c r="P2382">
        <v>3</v>
      </c>
      <c r="Q2382" t="b">
        <v>0</v>
      </c>
      <c r="R2382" t="s">
        <v>8272</v>
      </c>
      <c r="S2382" s="6">
        <f>Table1[[#This Row],[pledged]]/Table1[[#This Row],[goal]]</f>
        <v>3.6666666666666666E-3</v>
      </c>
      <c r="T2382" s="8">
        <f>IF(Table1[[#This Row],[pledged]]=0,"no backers",Table1[[#This Row],[pledged]]/Table1[[#This Row],[backers_count]])</f>
        <v>18.333333333333332</v>
      </c>
      <c r="U2382" t="str">
        <f>LEFT(Table1[[#This Row],[Category and Sub-Category]],FIND("/",Table1[[#This Row],[Category and Sub-Category]])-1)</f>
        <v>technology</v>
      </c>
      <c r="V2382" t="str">
        <f>RIGHT(Table1[[#This Row],[Category and Sub-Category]],LEN(Table1[[#This Row],[Category and Sub-Category]])-FIND("/",Table1[[#This Row],[Category and Sub-Category]]))</f>
        <v>web</v>
      </c>
    </row>
    <row r="2383" spans="1:22" ht="43.2" x14ac:dyDescent="0.3">
      <c r="A2383">
        <v>2381</v>
      </c>
      <c r="B2383" s="3" t="s">
        <v>2382</v>
      </c>
      <c r="C2383" s="3" t="s">
        <v>6491</v>
      </c>
      <c r="D2383" s="12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>((Table1[[#This Row],[deadline]]/60)/60/24)+DATE(1970,1,1)</f>
        <v>42104.935740740737</v>
      </c>
      <c r="K2383">
        <v>1426112848</v>
      </c>
      <c r="L2383" s="11">
        <f>((Table1[[#This Row],[launched_at]]/60)/60/24)+DATE(1970,1,1)</f>
        <v>42074.935740740737</v>
      </c>
      <c r="M2383">
        <f>MONTH(Table1[[#This Row],[Date Created Conversion]])</f>
        <v>3</v>
      </c>
      <c r="N2383">
        <f>YEAR(Table1[[#This Row],[Date Created Conversion]])</f>
        <v>2015</v>
      </c>
      <c r="O2383" t="b">
        <v>0</v>
      </c>
      <c r="P2383">
        <v>7</v>
      </c>
      <c r="Q2383" t="b">
        <v>0</v>
      </c>
      <c r="R2383" t="s">
        <v>8272</v>
      </c>
      <c r="S2383" s="6">
        <f>Table1[[#This Row],[pledged]]/Table1[[#This Row],[goal]]</f>
        <v>1.8193398957730169E-2</v>
      </c>
      <c r="T2383" s="8">
        <f>IF(Table1[[#This Row],[pledged]]=0,"no backers",Table1[[#This Row],[pledged]]/Table1[[#This Row],[backers_count]])</f>
        <v>224.42857142857142</v>
      </c>
      <c r="U2383" t="str">
        <f>LEFT(Table1[[#This Row],[Category and Sub-Category]],FIND("/",Table1[[#This Row],[Category and Sub-Category]])-1)</f>
        <v>technology</v>
      </c>
      <c r="V2383" t="str">
        <f>RIGHT(Table1[[#This Row],[Category and Sub-Category]],LEN(Table1[[#This Row],[Category and Sub-Category]])-FIND("/",Table1[[#This Row],[Category and Sub-Category]]))</f>
        <v>web</v>
      </c>
    </row>
    <row r="2384" spans="1:22" ht="57.6" x14ac:dyDescent="0.3">
      <c r="A2384">
        <v>2382</v>
      </c>
      <c r="B2384" s="3" t="s">
        <v>2383</v>
      </c>
      <c r="C2384" s="3" t="s">
        <v>6492</v>
      </c>
      <c r="D2384" s="12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>((Table1[[#This Row],[deadline]]/60)/60/24)+DATE(1970,1,1)</f>
        <v>42220.187534722223</v>
      </c>
      <c r="K2384">
        <v>1436502603</v>
      </c>
      <c r="L2384" s="11">
        <f>((Table1[[#This Row],[launched_at]]/60)/60/24)+DATE(1970,1,1)</f>
        <v>42195.187534722223</v>
      </c>
      <c r="M2384">
        <f>MONTH(Table1[[#This Row],[Date Created Conversion]])</f>
        <v>7</v>
      </c>
      <c r="N2384">
        <f>YEAR(Table1[[#This Row],[Date Created Conversion]])</f>
        <v>2015</v>
      </c>
      <c r="O2384" t="b">
        <v>0</v>
      </c>
      <c r="P2384">
        <v>2</v>
      </c>
      <c r="Q2384" t="b">
        <v>0</v>
      </c>
      <c r="R2384" t="s">
        <v>8272</v>
      </c>
      <c r="S2384" s="6">
        <f>Table1[[#This Row],[pledged]]/Table1[[#This Row],[goal]]</f>
        <v>2.5000000000000001E-2</v>
      </c>
      <c r="T2384" s="8">
        <f>IF(Table1[[#This Row],[pledged]]=0,"no backers",Table1[[#This Row],[pledged]]/Table1[[#This Row],[backers_count]])</f>
        <v>37.5</v>
      </c>
      <c r="U2384" t="str">
        <f>LEFT(Table1[[#This Row],[Category and Sub-Category]],FIND("/",Table1[[#This Row],[Category and Sub-Category]])-1)</f>
        <v>technology</v>
      </c>
      <c r="V2384" t="str">
        <f>RIGHT(Table1[[#This Row],[Category and Sub-Category]],LEN(Table1[[#This Row],[Category and Sub-Category]])-FIND("/",Table1[[#This Row],[Category and Sub-Category]]))</f>
        <v>web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 s="12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>((Table1[[#This Row],[deadline]]/60)/60/24)+DATE(1970,1,1)</f>
        <v>42057.056793981479</v>
      </c>
      <c r="K2385">
        <v>1421976107</v>
      </c>
      <c r="L2385" s="11">
        <f>((Table1[[#This Row],[launched_at]]/60)/60/24)+DATE(1970,1,1)</f>
        <v>42027.056793981479</v>
      </c>
      <c r="M2385">
        <f>MONTH(Table1[[#This Row],[Date Created Conversion]])</f>
        <v>1</v>
      </c>
      <c r="N2385">
        <f>YEAR(Table1[[#This Row],[Date Created Conversion]])</f>
        <v>2015</v>
      </c>
      <c r="O2385" t="b">
        <v>0</v>
      </c>
      <c r="P2385">
        <v>3</v>
      </c>
      <c r="Q2385" t="b">
        <v>0</v>
      </c>
      <c r="R2385" t="s">
        <v>8272</v>
      </c>
      <c r="S2385" s="6">
        <f>Table1[[#This Row],[pledged]]/Table1[[#This Row],[goal]]</f>
        <v>4.3499999999999997E-2</v>
      </c>
      <c r="T2385" s="8">
        <f>IF(Table1[[#This Row],[pledged]]=0,"no backers",Table1[[#This Row],[pledged]]/Table1[[#This Row],[backers_count]])</f>
        <v>145</v>
      </c>
      <c r="U2385" t="str">
        <f>LEFT(Table1[[#This Row],[Category and Sub-Category]],FIND("/",Table1[[#This Row],[Category and Sub-Category]])-1)</f>
        <v>technology</v>
      </c>
      <c r="V2385" t="str">
        <f>RIGHT(Table1[[#This Row],[Category and Sub-Category]],LEN(Table1[[#This Row],[Category and Sub-Category]])-FIND("/",Table1[[#This Row],[Category and Sub-Category]]))</f>
        <v>web</v>
      </c>
    </row>
    <row r="2386" spans="1:22" ht="57.6" x14ac:dyDescent="0.3">
      <c r="A2386">
        <v>2384</v>
      </c>
      <c r="B2386" s="3" t="s">
        <v>2385</v>
      </c>
      <c r="C2386" s="3" t="s">
        <v>6494</v>
      </c>
      <c r="D2386" s="12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>((Table1[[#This Row],[deadline]]/60)/60/24)+DATE(1970,1,1)</f>
        <v>41957.109293981484</v>
      </c>
      <c r="K2386">
        <v>1413337043</v>
      </c>
      <c r="L2386" s="11">
        <f>((Table1[[#This Row],[launched_at]]/60)/60/24)+DATE(1970,1,1)</f>
        <v>41927.067627314813</v>
      </c>
      <c r="M2386">
        <f>MONTH(Table1[[#This Row],[Date Created Conversion]])</f>
        <v>10</v>
      </c>
      <c r="N2386">
        <f>YEAR(Table1[[#This Row],[Date Created Conversion]])</f>
        <v>2014</v>
      </c>
      <c r="O2386" t="b">
        <v>0</v>
      </c>
      <c r="P2386">
        <v>8</v>
      </c>
      <c r="Q2386" t="b">
        <v>0</v>
      </c>
      <c r="R2386" t="s">
        <v>8272</v>
      </c>
      <c r="S2386" s="6">
        <f>Table1[[#This Row],[pledged]]/Table1[[#This Row],[goal]]</f>
        <v>8.0000000000000002E-3</v>
      </c>
      <c r="T2386" s="8">
        <f>IF(Table1[[#This Row],[pledged]]=0,"no backers",Table1[[#This Row],[pledged]]/Table1[[#This Row],[backers_count]])</f>
        <v>1</v>
      </c>
      <c r="U2386" t="str">
        <f>LEFT(Table1[[#This Row],[Category and Sub-Category]],FIND("/",Table1[[#This Row],[Category and Sub-Category]])-1)</f>
        <v>technology</v>
      </c>
      <c r="V2386" t="str">
        <f>RIGHT(Table1[[#This Row],[Category and Sub-Category]],LEN(Table1[[#This Row],[Category and Sub-Category]])-FIND("/",Table1[[#This Row],[Category and Sub-Category]]))</f>
        <v>web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 s="12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>((Table1[[#This Row],[deadline]]/60)/60/24)+DATE(1970,1,1)</f>
        <v>42221.70175925926</v>
      </c>
      <c r="K2387">
        <v>1436201432</v>
      </c>
      <c r="L2387" s="11">
        <f>((Table1[[#This Row],[launched_at]]/60)/60/24)+DATE(1970,1,1)</f>
        <v>42191.70175925926</v>
      </c>
      <c r="M2387">
        <f>MONTH(Table1[[#This Row],[Date Created Conversion]])</f>
        <v>7</v>
      </c>
      <c r="N2387">
        <f>YEAR(Table1[[#This Row],[Date Created Conversion]])</f>
        <v>2015</v>
      </c>
      <c r="O2387" t="b">
        <v>0</v>
      </c>
      <c r="P2387">
        <v>7</v>
      </c>
      <c r="Q2387" t="b">
        <v>0</v>
      </c>
      <c r="R2387" t="s">
        <v>8272</v>
      </c>
      <c r="S2387" s="6">
        <f>Table1[[#This Row],[pledged]]/Table1[[#This Row],[goal]]</f>
        <v>1.2123076923076924E-2</v>
      </c>
      <c r="T2387" s="8">
        <f>IF(Table1[[#This Row],[pledged]]=0,"no backers",Table1[[#This Row],[pledged]]/Table1[[#This Row],[backers_count]])</f>
        <v>112.57142857142857</v>
      </c>
      <c r="U2387" t="str">
        <f>LEFT(Table1[[#This Row],[Category and Sub-Category]],FIND("/",Table1[[#This Row],[Category and Sub-Category]])-1)</f>
        <v>technology</v>
      </c>
      <c r="V2387" t="str">
        <f>RIGHT(Table1[[#This Row],[Category and Sub-Category]],LEN(Table1[[#This Row],[Category and Sub-Category]])-FIND("/",Table1[[#This Row],[Category and Sub-Category]]))</f>
        <v>web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 s="12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>((Table1[[#This Row],[deadline]]/60)/60/24)+DATE(1970,1,1)</f>
        <v>42014.838240740741</v>
      </c>
      <c r="K2388">
        <v>1415736424</v>
      </c>
      <c r="L2388" s="11">
        <f>((Table1[[#This Row],[launched_at]]/60)/60/24)+DATE(1970,1,1)</f>
        <v>41954.838240740741</v>
      </c>
      <c r="M2388">
        <f>MONTH(Table1[[#This Row],[Date Created Conversion]])</f>
        <v>11</v>
      </c>
      <c r="N2388">
        <f>YEAR(Table1[[#This Row],[Date Created Conversion]])</f>
        <v>2014</v>
      </c>
      <c r="O2388" t="b">
        <v>0</v>
      </c>
      <c r="P2388">
        <v>0</v>
      </c>
      <c r="Q2388" t="b">
        <v>0</v>
      </c>
      <c r="R2388" t="s">
        <v>8272</v>
      </c>
      <c r="S2388" s="6">
        <f>Table1[[#This Row],[pledged]]/Table1[[#This Row],[goal]]</f>
        <v>0</v>
      </c>
      <c r="T2388" s="8" t="str">
        <f>IF(Table1[[#This Row],[pledged]]=0,"no backers",Table1[[#This Row],[pledged]]/Table1[[#This Row],[backers_count]])</f>
        <v>no backers</v>
      </c>
      <c r="U2388" t="str">
        <f>LEFT(Table1[[#This Row],[Category and Sub-Category]],FIND("/",Table1[[#This Row],[Category and Sub-Category]])-1)</f>
        <v>technology</v>
      </c>
      <c r="V2388" t="str">
        <f>RIGHT(Table1[[#This Row],[Category and Sub-Category]],LEN(Table1[[#This Row],[Category and Sub-Category]])-FIND("/",Table1[[#This Row],[Category and Sub-Category]]))</f>
        <v>web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 s="12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>((Table1[[#This Row],[deadline]]/60)/60/24)+DATE(1970,1,1)</f>
        <v>42573.626620370371</v>
      </c>
      <c r="K2389">
        <v>1465311740</v>
      </c>
      <c r="L2389" s="11">
        <f>((Table1[[#This Row],[launched_at]]/60)/60/24)+DATE(1970,1,1)</f>
        <v>42528.626620370371</v>
      </c>
      <c r="M2389">
        <f>MONTH(Table1[[#This Row],[Date Created Conversion]])</f>
        <v>6</v>
      </c>
      <c r="N2389">
        <f>YEAR(Table1[[#This Row],[Date Created Conversion]])</f>
        <v>2016</v>
      </c>
      <c r="O2389" t="b">
        <v>0</v>
      </c>
      <c r="P2389">
        <v>3</v>
      </c>
      <c r="Q2389" t="b">
        <v>0</v>
      </c>
      <c r="R2389" t="s">
        <v>8272</v>
      </c>
      <c r="S2389" s="6">
        <f>Table1[[#This Row],[pledged]]/Table1[[#This Row],[goal]]</f>
        <v>6.8399999999999997E-3</v>
      </c>
      <c r="T2389" s="8">
        <f>IF(Table1[[#This Row],[pledged]]=0,"no backers",Table1[[#This Row],[pledged]]/Table1[[#This Row],[backers_count]])</f>
        <v>342</v>
      </c>
      <c r="U2389" t="str">
        <f>LEFT(Table1[[#This Row],[Category and Sub-Category]],FIND("/",Table1[[#This Row],[Category and Sub-Category]])-1)</f>
        <v>technology</v>
      </c>
      <c r="V2389" t="str">
        <f>RIGHT(Table1[[#This Row],[Category and Sub-Category]],LEN(Table1[[#This Row],[Category and Sub-Category]])-FIND("/",Table1[[#This Row],[Category and Sub-Category]]))</f>
        <v>web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 s="12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>((Table1[[#This Row],[deadline]]/60)/60/24)+DATE(1970,1,1)</f>
        <v>42019.811805555553</v>
      </c>
      <c r="K2390">
        <v>1418761759</v>
      </c>
      <c r="L2390" s="11">
        <f>((Table1[[#This Row],[launched_at]]/60)/60/24)+DATE(1970,1,1)</f>
        <v>41989.853692129633</v>
      </c>
      <c r="M2390">
        <f>MONTH(Table1[[#This Row],[Date Created Conversion]])</f>
        <v>12</v>
      </c>
      <c r="N2390">
        <f>YEAR(Table1[[#This Row],[Date Created Conversion]])</f>
        <v>2014</v>
      </c>
      <c r="O2390" t="b">
        <v>0</v>
      </c>
      <c r="P2390">
        <v>8</v>
      </c>
      <c r="Q2390" t="b">
        <v>0</v>
      </c>
      <c r="R2390" t="s">
        <v>8272</v>
      </c>
      <c r="S2390" s="6">
        <f>Table1[[#This Row],[pledged]]/Table1[[#This Row],[goal]]</f>
        <v>1.2513513513513513E-2</v>
      </c>
      <c r="T2390" s="8">
        <f>IF(Table1[[#This Row],[pledged]]=0,"no backers",Table1[[#This Row],[pledged]]/Table1[[#This Row],[backers_count]])</f>
        <v>57.875</v>
      </c>
      <c r="U2390" t="str">
        <f>LEFT(Table1[[#This Row],[Category and Sub-Category]],FIND("/",Table1[[#This Row],[Category and Sub-Category]])-1)</f>
        <v>technology</v>
      </c>
      <c r="V2390" t="str">
        <f>RIGHT(Table1[[#This Row],[Category and Sub-Category]],LEN(Table1[[#This Row],[Category and Sub-Category]])-FIND("/",Table1[[#This Row],[Category and Sub-Category]]))</f>
        <v>web</v>
      </c>
    </row>
    <row r="2391" spans="1:22" ht="57.6" x14ac:dyDescent="0.3">
      <c r="A2391">
        <v>2389</v>
      </c>
      <c r="B2391" s="3" t="s">
        <v>2390</v>
      </c>
      <c r="C2391" s="3" t="s">
        <v>6499</v>
      </c>
      <c r="D2391" s="12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>((Table1[[#This Row],[deadline]]/60)/60/24)+DATE(1970,1,1)</f>
        <v>42210.915972222225</v>
      </c>
      <c r="K2391">
        <v>1435160452</v>
      </c>
      <c r="L2391" s="11">
        <f>((Table1[[#This Row],[launched_at]]/60)/60/24)+DATE(1970,1,1)</f>
        <v>42179.653379629628</v>
      </c>
      <c r="M2391">
        <f>MONTH(Table1[[#This Row],[Date Created Conversion]])</f>
        <v>6</v>
      </c>
      <c r="N2391">
        <f>YEAR(Table1[[#This Row],[Date Created Conversion]])</f>
        <v>2015</v>
      </c>
      <c r="O2391" t="b">
        <v>0</v>
      </c>
      <c r="P2391">
        <v>1</v>
      </c>
      <c r="Q2391" t="b">
        <v>0</v>
      </c>
      <c r="R2391" t="s">
        <v>8272</v>
      </c>
      <c r="S2391" s="6">
        <f>Table1[[#This Row],[pledged]]/Table1[[#This Row],[goal]]</f>
        <v>1.8749999999999999E-3</v>
      </c>
      <c r="T2391" s="8">
        <f>IF(Table1[[#This Row],[pledged]]=0,"no backers",Table1[[#This Row],[pledged]]/Table1[[#This Row],[backers_count]])</f>
        <v>30</v>
      </c>
      <c r="U2391" t="str">
        <f>LEFT(Table1[[#This Row],[Category and Sub-Category]],FIND("/",Table1[[#This Row],[Category and Sub-Category]])-1)</f>
        <v>technology</v>
      </c>
      <c r="V2391" t="str">
        <f>RIGHT(Table1[[#This Row],[Category and Sub-Category]],LEN(Table1[[#This Row],[Category and Sub-Category]])-FIND("/",Table1[[#This Row],[Category and Sub-Category]]))</f>
        <v>web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 s="1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>((Table1[[#This Row],[deadline]]/60)/60/24)+DATE(1970,1,1)</f>
        <v>42008.262314814812</v>
      </c>
      <c r="K2392">
        <v>1416896264</v>
      </c>
      <c r="L2392" s="11">
        <f>((Table1[[#This Row],[launched_at]]/60)/60/24)+DATE(1970,1,1)</f>
        <v>41968.262314814812</v>
      </c>
      <c r="M2392">
        <f>MONTH(Table1[[#This Row],[Date Created Conversion]])</f>
        <v>11</v>
      </c>
      <c r="N2392">
        <f>YEAR(Table1[[#This Row],[Date Created Conversion]])</f>
        <v>2014</v>
      </c>
      <c r="O2392" t="b">
        <v>0</v>
      </c>
      <c r="P2392">
        <v>0</v>
      </c>
      <c r="Q2392" t="b">
        <v>0</v>
      </c>
      <c r="R2392" t="s">
        <v>8272</v>
      </c>
      <c r="S2392" s="6">
        <f>Table1[[#This Row],[pledged]]/Table1[[#This Row],[goal]]</f>
        <v>0</v>
      </c>
      <c r="T2392" s="8" t="str">
        <f>IF(Table1[[#This Row],[pledged]]=0,"no backers",Table1[[#This Row],[pledged]]/Table1[[#This Row],[backers_count]])</f>
        <v>no backers</v>
      </c>
      <c r="U2392" t="str">
        <f>LEFT(Table1[[#This Row],[Category and Sub-Category]],FIND("/",Table1[[#This Row],[Category and Sub-Category]])-1)</f>
        <v>technology</v>
      </c>
      <c r="V2392" t="str">
        <f>RIGHT(Table1[[#This Row],[Category and Sub-Category]],LEN(Table1[[#This Row],[Category and Sub-Category]])-FIND("/",Table1[[#This Row],[Category and Sub-Category]]))</f>
        <v>web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 s="12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>((Table1[[#This Row],[deadline]]/60)/60/24)+DATE(1970,1,1)</f>
        <v>42094.752824074079</v>
      </c>
      <c r="K2393">
        <v>1425236644</v>
      </c>
      <c r="L2393" s="11">
        <f>((Table1[[#This Row],[launched_at]]/60)/60/24)+DATE(1970,1,1)</f>
        <v>42064.794490740736</v>
      </c>
      <c r="M2393">
        <f>MONTH(Table1[[#This Row],[Date Created Conversion]])</f>
        <v>3</v>
      </c>
      <c r="N2393">
        <f>YEAR(Table1[[#This Row],[Date Created Conversion]])</f>
        <v>2015</v>
      </c>
      <c r="O2393" t="b">
        <v>0</v>
      </c>
      <c r="P2393">
        <v>1</v>
      </c>
      <c r="Q2393" t="b">
        <v>0</v>
      </c>
      <c r="R2393" t="s">
        <v>8272</v>
      </c>
      <c r="S2393" s="6">
        <f>Table1[[#This Row],[pledged]]/Table1[[#This Row],[goal]]</f>
        <v>1.25E-3</v>
      </c>
      <c r="T2393" s="8">
        <f>IF(Table1[[#This Row],[pledged]]=0,"no backers",Table1[[#This Row],[pledged]]/Table1[[#This Row],[backers_count]])</f>
        <v>25</v>
      </c>
      <c r="U2393" t="str">
        <f>LEFT(Table1[[#This Row],[Category and Sub-Category]],FIND("/",Table1[[#This Row],[Category and Sub-Category]])-1)</f>
        <v>technology</v>
      </c>
      <c r="V2393" t="str">
        <f>RIGHT(Table1[[#This Row],[Category and Sub-Category]],LEN(Table1[[#This Row],[Category and Sub-Category]])-FIND("/",Table1[[#This Row],[Category and Sub-Category]]))</f>
        <v>web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 s="12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>((Table1[[#This Row],[deadline]]/60)/60/24)+DATE(1970,1,1)</f>
        <v>42306.120636574073</v>
      </c>
      <c r="K2394">
        <v>1443495223</v>
      </c>
      <c r="L2394" s="11">
        <f>((Table1[[#This Row],[launched_at]]/60)/60/24)+DATE(1970,1,1)</f>
        <v>42276.120636574073</v>
      </c>
      <c r="M2394">
        <f>MONTH(Table1[[#This Row],[Date Created Conversion]])</f>
        <v>9</v>
      </c>
      <c r="N2394">
        <f>YEAR(Table1[[#This Row],[Date Created Conversion]])</f>
        <v>2015</v>
      </c>
      <c r="O2394" t="b">
        <v>0</v>
      </c>
      <c r="P2394">
        <v>0</v>
      </c>
      <c r="Q2394" t="b">
        <v>0</v>
      </c>
      <c r="R2394" t="s">
        <v>8272</v>
      </c>
      <c r="S2394" s="6">
        <f>Table1[[#This Row],[pledged]]/Table1[[#This Row],[goal]]</f>
        <v>0</v>
      </c>
      <c r="T2394" s="8" t="str">
        <f>IF(Table1[[#This Row],[pledged]]=0,"no backers",Table1[[#This Row],[pledged]]/Table1[[#This Row],[backers_count]])</f>
        <v>no backers</v>
      </c>
      <c r="U2394" t="str">
        <f>LEFT(Table1[[#This Row],[Category and Sub-Category]],FIND("/",Table1[[#This Row],[Category and Sub-Category]])-1)</f>
        <v>technology</v>
      </c>
      <c r="V2394" t="str">
        <f>RIGHT(Table1[[#This Row],[Category and Sub-Category]],LEN(Table1[[#This Row],[Category and Sub-Category]])-FIND("/",Table1[[#This Row],[Category and Sub-Category]]))</f>
        <v>web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 s="12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>((Table1[[#This Row],[deadline]]/60)/60/24)+DATE(1970,1,1)</f>
        <v>42224.648344907408</v>
      </c>
      <c r="K2395">
        <v>1436456017</v>
      </c>
      <c r="L2395" s="11">
        <f>((Table1[[#This Row],[launched_at]]/60)/60/24)+DATE(1970,1,1)</f>
        <v>42194.648344907408</v>
      </c>
      <c r="M2395">
        <f>MONTH(Table1[[#This Row],[Date Created Conversion]])</f>
        <v>7</v>
      </c>
      <c r="N2395">
        <f>YEAR(Table1[[#This Row],[Date Created Conversion]])</f>
        <v>2015</v>
      </c>
      <c r="O2395" t="b">
        <v>0</v>
      </c>
      <c r="P2395">
        <v>1</v>
      </c>
      <c r="Q2395" t="b">
        <v>0</v>
      </c>
      <c r="R2395" t="s">
        <v>8272</v>
      </c>
      <c r="S2395" s="6">
        <f>Table1[[#This Row],[pledged]]/Table1[[#This Row],[goal]]</f>
        <v>5.0000000000000001E-4</v>
      </c>
      <c r="T2395" s="8">
        <f>IF(Table1[[#This Row],[pledged]]=0,"no backers",Table1[[#This Row],[pledged]]/Table1[[#This Row],[backers_count]])</f>
        <v>50</v>
      </c>
      <c r="U2395" t="str">
        <f>LEFT(Table1[[#This Row],[Category and Sub-Category]],FIND("/",Table1[[#This Row],[Category and Sub-Category]])-1)</f>
        <v>technology</v>
      </c>
      <c r="V2395" t="str">
        <f>RIGHT(Table1[[#This Row],[Category and Sub-Category]],LEN(Table1[[#This Row],[Category and Sub-Category]])-FIND("/",Table1[[#This Row],[Category and Sub-Category]]))</f>
        <v>web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 s="12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>((Table1[[#This Row],[deadline]]/60)/60/24)+DATE(1970,1,1)</f>
        <v>42061.362187499995</v>
      </c>
      <c r="K2396">
        <v>1422348093</v>
      </c>
      <c r="L2396" s="11">
        <f>((Table1[[#This Row],[launched_at]]/60)/60/24)+DATE(1970,1,1)</f>
        <v>42031.362187499995</v>
      </c>
      <c r="M2396">
        <f>MONTH(Table1[[#This Row],[Date Created Conversion]])</f>
        <v>1</v>
      </c>
      <c r="N2396">
        <f>YEAR(Table1[[#This Row],[Date Created Conversion]])</f>
        <v>2015</v>
      </c>
      <c r="O2396" t="b">
        <v>0</v>
      </c>
      <c r="P2396">
        <v>2</v>
      </c>
      <c r="Q2396" t="b">
        <v>0</v>
      </c>
      <c r="R2396" t="s">
        <v>8272</v>
      </c>
      <c r="S2396" s="6">
        <f>Table1[[#This Row],[pledged]]/Table1[[#This Row],[goal]]</f>
        <v>5.9999999999999995E-4</v>
      </c>
      <c r="T2396" s="8">
        <f>IF(Table1[[#This Row],[pledged]]=0,"no backers",Table1[[#This Row],[pledged]]/Table1[[#This Row],[backers_count]])</f>
        <v>1.5</v>
      </c>
      <c r="U2396" t="str">
        <f>LEFT(Table1[[#This Row],[Category and Sub-Category]],FIND("/",Table1[[#This Row],[Category and Sub-Category]])-1)</f>
        <v>technology</v>
      </c>
      <c r="V2396" t="str">
        <f>RIGHT(Table1[[#This Row],[Category and Sub-Category]],LEN(Table1[[#This Row],[Category and Sub-Category]])-FIND("/",Table1[[#This Row],[Category and Sub-Category]]))</f>
        <v>web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 s="12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>((Table1[[#This Row],[deadline]]/60)/60/24)+DATE(1970,1,1)</f>
        <v>42745.372916666667</v>
      </c>
      <c r="K2397">
        <v>1481597687</v>
      </c>
      <c r="L2397" s="11">
        <f>((Table1[[#This Row],[launched_at]]/60)/60/24)+DATE(1970,1,1)</f>
        <v>42717.121377314819</v>
      </c>
      <c r="M2397">
        <f>MONTH(Table1[[#This Row],[Date Created Conversion]])</f>
        <v>12</v>
      </c>
      <c r="N2397">
        <f>YEAR(Table1[[#This Row],[Date Created Conversion]])</f>
        <v>2016</v>
      </c>
      <c r="O2397" t="b">
        <v>0</v>
      </c>
      <c r="P2397">
        <v>0</v>
      </c>
      <c r="Q2397" t="b">
        <v>0</v>
      </c>
      <c r="R2397" t="s">
        <v>8272</v>
      </c>
      <c r="S2397" s="6">
        <f>Table1[[#This Row],[pledged]]/Table1[[#This Row],[goal]]</f>
        <v>0</v>
      </c>
      <c r="T2397" s="8" t="str">
        <f>IF(Table1[[#This Row],[pledged]]=0,"no backers",Table1[[#This Row],[pledged]]/Table1[[#This Row],[backers_count]])</f>
        <v>no backers</v>
      </c>
      <c r="U2397" t="str">
        <f>LEFT(Table1[[#This Row],[Category and Sub-Category]],FIND("/",Table1[[#This Row],[Category and Sub-Category]])-1)</f>
        <v>technology</v>
      </c>
      <c r="V2397" t="str">
        <f>RIGHT(Table1[[#This Row],[Category and Sub-Category]],LEN(Table1[[#This Row],[Category and Sub-Category]])-FIND("/",Table1[[#This Row],[Category and Sub-Category]]))</f>
        <v>web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 s="12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>((Table1[[#This Row],[deadline]]/60)/60/24)+DATE(1970,1,1)</f>
        <v>42292.849050925928</v>
      </c>
      <c r="K2398">
        <v>1442348558</v>
      </c>
      <c r="L2398" s="11">
        <f>((Table1[[#This Row],[launched_at]]/60)/60/24)+DATE(1970,1,1)</f>
        <v>42262.849050925928</v>
      </c>
      <c r="M2398">
        <f>MONTH(Table1[[#This Row],[Date Created Conversion]])</f>
        <v>9</v>
      </c>
      <c r="N2398">
        <f>YEAR(Table1[[#This Row],[Date Created Conversion]])</f>
        <v>2015</v>
      </c>
      <c r="O2398" t="b">
        <v>0</v>
      </c>
      <c r="P2398">
        <v>1</v>
      </c>
      <c r="Q2398" t="b">
        <v>0</v>
      </c>
      <c r="R2398" t="s">
        <v>8272</v>
      </c>
      <c r="S2398" s="6">
        <f>Table1[[#This Row],[pledged]]/Table1[[#This Row],[goal]]</f>
        <v>2E-3</v>
      </c>
      <c r="T2398" s="8">
        <f>IF(Table1[[#This Row],[pledged]]=0,"no backers",Table1[[#This Row],[pledged]]/Table1[[#This Row],[backers_count]])</f>
        <v>10</v>
      </c>
      <c r="U2398" t="str">
        <f>LEFT(Table1[[#This Row],[Category and Sub-Category]],FIND("/",Table1[[#This Row],[Category and Sub-Category]])-1)</f>
        <v>technology</v>
      </c>
      <c r="V2398" t="str">
        <f>RIGHT(Table1[[#This Row],[Category and Sub-Category]],LEN(Table1[[#This Row],[Category and Sub-Category]])-FIND("/",Table1[[#This Row],[Category and Sub-Category]]))</f>
        <v>web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 s="12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>((Table1[[#This Row],[deadline]]/60)/60/24)+DATE(1970,1,1)</f>
        <v>42006.88490740741</v>
      </c>
      <c r="K2399">
        <v>1417641256</v>
      </c>
      <c r="L2399" s="11">
        <f>((Table1[[#This Row],[launched_at]]/60)/60/24)+DATE(1970,1,1)</f>
        <v>41976.88490740741</v>
      </c>
      <c r="M2399">
        <f>MONTH(Table1[[#This Row],[Date Created Conversion]])</f>
        <v>12</v>
      </c>
      <c r="N2399">
        <f>YEAR(Table1[[#This Row],[Date Created Conversion]])</f>
        <v>2014</v>
      </c>
      <c r="O2399" t="b">
        <v>0</v>
      </c>
      <c r="P2399">
        <v>0</v>
      </c>
      <c r="Q2399" t="b">
        <v>0</v>
      </c>
      <c r="R2399" t="s">
        <v>8272</v>
      </c>
      <c r="S2399" s="6">
        <f>Table1[[#This Row],[pledged]]/Table1[[#This Row],[goal]]</f>
        <v>0</v>
      </c>
      <c r="T2399" s="8" t="str">
        <f>IF(Table1[[#This Row],[pledged]]=0,"no backers",Table1[[#This Row],[pledged]]/Table1[[#This Row],[backers_count]])</f>
        <v>no backers</v>
      </c>
      <c r="U2399" t="str">
        <f>LEFT(Table1[[#This Row],[Category and Sub-Category]],FIND("/",Table1[[#This Row],[Category and Sub-Category]])-1)</f>
        <v>technology</v>
      </c>
      <c r="V2399" t="str">
        <f>RIGHT(Table1[[#This Row],[Category and Sub-Category]],LEN(Table1[[#This Row],[Category and Sub-Category]])-FIND("/",Table1[[#This Row],[Category and Sub-Category]]))</f>
        <v>web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 s="12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>((Table1[[#This Row],[deadline]]/60)/60/24)+DATE(1970,1,1)</f>
        <v>42187.916481481487</v>
      </c>
      <c r="K2400">
        <v>1433282384</v>
      </c>
      <c r="L2400" s="11">
        <f>((Table1[[#This Row],[launched_at]]/60)/60/24)+DATE(1970,1,1)</f>
        <v>42157.916481481487</v>
      </c>
      <c r="M2400">
        <f>MONTH(Table1[[#This Row],[Date Created Conversion]])</f>
        <v>6</v>
      </c>
      <c r="N2400">
        <f>YEAR(Table1[[#This Row],[Date Created Conversion]])</f>
        <v>2015</v>
      </c>
      <c r="O2400" t="b">
        <v>0</v>
      </c>
      <c r="P2400">
        <v>0</v>
      </c>
      <c r="Q2400" t="b">
        <v>0</v>
      </c>
      <c r="R2400" t="s">
        <v>8272</v>
      </c>
      <c r="S2400" s="6">
        <f>Table1[[#This Row],[pledged]]/Table1[[#This Row],[goal]]</f>
        <v>0</v>
      </c>
      <c r="T2400" s="8" t="str">
        <f>IF(Table1[[#This Row],[pledged]]=0,"no backers",Table1[[#This Row],[pledged]]/Table1[[#This Row],[backers_count]])</f>
        <v>no backers</v>
      </c>
      <c r="U2400" t="str">
        <f>LEFT(Table1[[#This Row],[Category and Sub-Category]],FIND("/",Table1[[#This Row],[Category and Sub-Category]])-1)</f>
        <v>technology</v>
      </c>
      <c r="V2400" t="str">
        <f>RIGHT(Table1[[#This Row],[Category and Sub-Category]],LEN(Table1[[#This Row],[Category and Sub-Category]])-FIND("/",Table1[[#This Row],[Category and Sub-Category]]))</f>
        <v>web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 s="12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>((Table1[[#This Row],[deadline]]/60)/60/24)+DATE(1970,1,1)</f>
        <v>41991.853078703702</v>
      </c>
      <c r="K2401">
        <v>1415910506</v>
      </c>
      <c r="L2401" s="11">
        <f>((Table1[[#This Row],[launched_at]]/60)/60/24)+DATE(1970,1,1)</f>
        <v>41956.853078703702</v>
      </c>
      <c r="M2401">
        <f>MONTH(Table1[[#This Row],[Date Created Conversion]])</f>
        <v>11</v>
      </c>
      <c r="N2401">
        <f>YEAR(Table1[[#This Row],[Date Created Conversion]])</f>
        <v>2014</v>
      </c>
      <c r="O2401" t="b">
        <v>0</v>
      </c>
      <c r="P2401">
        <v>0</v>
      </c>
      <c r="Q2401" t="b">
        <v>0</v>
      </c>
      <c r="R2401" t="s">
        <v>8272</v>
      </c>
      <c r="S2401" s="6">
        <f>Table1[[#This Row],[pledged]]/Table1[[#This Row],[goal]]</f>
        <v>0</v>
      </c>
      <c r="T2401" s="8" t="str">
        <f>IF(Table1[[#This Row],[pledged]]=0,"no backers",Table1[[#This Row],[pledged]]/Table1[[#This Row],[backers_count]])</f>
        <v>no backers</v>
      </c>
      <c r="U2401" t="str">
        <f>LEFT(Table1[[#This Row],[Category and Sub-Category]],FIND("/",Table1[[#This Row],[Category and Sub-Category]])-1)</f>
        <v>technology</v>
      </c>
      <c r="V2401" t="str">
        <f>RIGHT(Table1[[#This Row],[Category and Sub-Category]],LEN(Table1[[#This Row],[Category and Sub-Category]])-FIND("/",Table1[[#This Row],[Category and Sub-Category]]))</f>
        <v>web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 s="1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>((Table1[[#This Row],[deadline]]/60)/60/24)+DATE(1970,1,1)</f>
        <v>42474.268101851849</v>
      </c>
      <c r="K2402">
        <v>1458023164</v>
      </c>
      <c r="L2402" s="11">
        <f>((Table1[[#This Row],[launched_at]]/60)/60/24)+DATE(1970,1,1)</f>
        <v>42444.268101851849</v>
      </c>
      <c r="M2402">
        <f>MONTH(Table1[[#This Row],[Date Created Conversion]])</f>
        <v>3</v>
      </c>
      <c r="N2402">
        <f>YEAR(Table1[[#This Row],[Date Created Conversion]])</f>
        <v>2016</v>
      </c>
      <c r="O2402" t="b">
        <v>0</v>
      </c>
      <c r="P2402">
        <v>0</v>
      </c>
      <c r="Q2402" t="b">
        <v>0</v>
      </c>
      <c r="R2402" t="s">
        <v>8272</v>
      </c>
      <c r="S2402" s="6">
        <f>Table1[[#This Row],[pledged]]/Table1[[#This Row],[goal]]</f>
        <v>0</v>
      </c>
      <c r="T2402" s="8" t="str">
        <f>IF(Table1[[#This Row],[pledged]]=0,"no backers",Table1[[#This Row],[pledged]]/Table1[[#This Row],[backers_count]])</f>
        <v>no backers</v>
      </c>
      <c r="U2402" t="str">
        <f>LEFT(Table1[[#This Row],[Category and Sub-Category]],FIND("/",Table1[[#This Row],[Category and Sub-Category]])-1)</f>
        <v>technology</v>
      </c>
      <c r="V2402" t="str">
        <f>RIGHT(Table1[[#This Row],[Category and Sub-Category]],LEN(Table1[[#This Row],[Category and Sub-Category]])-FIND("/",Table1[[#This Row],[Category and Sub-Category]]))</f>
        <v>web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 s="12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>((Table1[[#This Row],[deadline]]/60)/60/24)+DATE(1970,1,1)</f>
        <v>42434.822870370372</v>
      </c>
      <c r="K2403">
        <v>1452023096</v>
      </c>
      <c r="L2403" s="11">
        <f>((Table1[[#This Row],[launched_at]]/60)/60/24)+DATE(1970,1,1)</f>
        <v>42374.822870370372</v>
      </c>
      <c r="M2403">
        <f>MONTH(Table1[[#This Row],[Date Created Conversion]])</f>
        <v>1</v>
      </c>
      <c r="N2403">
        <f>YEAR(Table1[[#This Row],[Date Created Conversion]])</f>
        <v>2016</v>
      </c>
      <c r="O2403" t="b">
        <v>0</v>
      </c>
      <c r="P2403">
        <v>9</v>
      </c>
      <c r="Q2403" t="b">
        <v>0</v>
      </c>
      <c r="R2403" t="s">
        <v>8284</v>
      </c>
      <c r="S2403" s="6">
        <f>Table1[[#This Row],[pledged]]/Table1[[#This Row],[goal]]</f>
        <v>7.1785714285714283E-3</v>
      </c>
      <c r="T2403" s="8">
        <f>IF(Table1[[#This Row],[pledged]]=0,"no backers",Table1[[#This Row],[pledged]]/Table1[[#This Row],[backers_count]])</f>
        <v>22.333333333333332</v>
      </c>
      <c r="U2403" t="str">
        <f>LEFT(Table1[[#This Row],[Category and Sub-Category]],FIND("/",Table1[[#This Row],[Category and Sub-Category]])-1)</f>
        <v>food</v>
      </c>
      <c r="V2403" t="str">
        <f>RIGHT(Table1[[#This Row],[Category and Sub-Category]],LEN(Table1[[#This Row],[Category and Sub-Category]])-FIND("/",Table1[[#This Row],[Category and Sub-Category]]))</f>
        <v>food trucks</v>
      </c>
    </row>
    <row r="2404" spans="1:22" x14ac:dyDescent="0.3">
      <c r="A2404">
        <v>2402</v>
      </c>
      <c r="B2404" s="3" t="s">
        <v>2403</v>
      </c>
      <c r="C2404" s="3" t="s">
        <v>6512</v>
      </c>
      <c r="D2404" s="12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>((Table1[[#This Row],[deadline]]/60)/60/24)+DATE(1970,1,1)</f>
        <v>42137.679756944446</v>
      </c>
      <c r="K2404">
        <v>1428941931</v>
      </c>
      <c r="L2404" s="11">
        <f>((Table1[[#This Row],[launched_at]]/60)/60/24)+DATE(1970,1,1)</f>
        <v>42107.679756944446</v>
      </c>
      <c r="M2404">
        <f>MONTH(Table1[[#This Row],[Date Created Conversion]])</f>
        <v>4</v>
      </c>
      <c r="N2404">
        <f>YEAR(Table1[[#This Row],[Date Created Conversion]])</f>
        <v>2015</v>
      </c>
      <c r="O2404" t="b">
        <v>0</v>
      </c>
      <c r="P2404">
        <v>1</v>
      </c>
      <c r="Q2404" t="b">
        <v>0</v>
      </c>
      <c r="R2404" t="s">
        <v>8284</v>
      </c>
      <c r="S2404" s="6">
        <f>Table1[[#This Row],[pledged]]/Table1[[#This Row],[goal]]</f>
        <v>4.3333333333333331E-3</v>
      </c>
      <c r="T2404" s="8">
        <f>IF(Table1[[#This Row],[pledged]]=0,"no backers",Table1[[#This Row],[pledged]]/Table1[[#This Row],[backers_count]])</f>
        <v>52</v>
      </c>
      <c r="U2404" t="str">
        <f>LEFT(Table1[[#This Row],[Category and Sub-Category]],FIND("/",Table1[[#This Row],[Category and Sub-Category]])-1)</f>
        <v>food</v>
      </c>
      <c r="V2404" t="str">
        <f>RIGHT(Table1[[#This Row],[Category and Sub-Category]],LEN(Table1[[#This Row],[Category and Sub-Category]])-FIND("/",Table1[[#This Row],[Category and Sub-Category]]))</f>
        <v>food trucks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 s="12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>((Table1[[#This Row],[deadline]]/60)/60/24)+DATE(1970,1,1)</f>
        <v>42459.840949074074</v>
      </c>
      <c r="K2405">
        <v>1454188258</v>
      </c>
      <c r="L2405" s="11">
        <f>((Table1[[#This Row],[launched_at]]/60)/60/24)+DATE(1970,1,1)</f>
        <v>42399.882615740738</v>
      </c>
      <c r="M2405">
        <f>MONTH(Table1[[#This Row],[Date Created Conversion]])</f>
        <v>1</v>
      </c>
      <c r="N2405">
        <f>YEAR(Table1[[#This Row],[Date Created Conversion]])</f>
        <v>2016</v>
      </c>
      <c r="O2405" t="b">
        <v>0</v>
      </c>
      <c r="P2405">
        <v>12</v>
      </c>
      <c r="Q2405" t="b">
        <v>0</v>
      </c>
      <c r="R2405" t="s">
        <v>8284</v>
      </c>
      <c r="S2405" s="6">
        <f>Table1[[#This Row],[pledged]]/Table1[[#This Row],[goal]]</f>
        <v>0.16833333333333333</v>
      </c>
      <c r="T2405" s="8">
        <f>IF(Table1[[#This Row],[pledged]]=0,"no backers",Table1[[#This Row],[pledged]]/Table1[[#This Row],[backers_count]])</f>
        <v>16.833333333333332</v>
      </c>
      <c r="U2405" t="str">
        <f>LEFT(Table1[[#This Row],[Category and Sub-Category]],FIND("/",Table1[[#This Row],[Category and Sub-Category]])-1)</f>
        <v>food</v>
      </c>
      <c r="V2405" t="str">
        <f>RIGHT(Table1[[#This Row],[Category and Sub-Category]],LEN(Table1[[#This Row],[Category and Sub-Category]])-FIND("/",Table1[[#This Row],[Category and Sub-Category]]))</f>
        <v>food trucks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 s="12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>((Table1[[#This Row],[deadline]]/60)/60/24)+DATE(1970,1,1)</f>
        <v>42372.03943287037</v>
      </c>
      <c r="K2406">
        <v>1449190607</v>
      </c>
      <c r="L2406" s="11">
        <f>((Table1[[#This Row],[launched_at]]/60)/60/24)+DATE(1970,1,1)</f>
        <v>42342.03943287037</v>
      </c>
      <c r="M2406">
        <f>MONTH(Table1[[#This Row],[Date Created Conversion]])</f>
        <v>12</v>
      </c>
      <c r="N2406">
        <f>YEAR(Table1[[#This Row],[Date Created Conversion]])</f>
        <v>2015</v>
      </c>
      <c r="O2406" t="b">
        <v>0</v>
      </c>
      <c r="P2406">
        <v>0</v>
      </c>
      <c r="Q2406" t="b">
        <v>0</v>
      </c>
      <c r="R2406" t="s">
        <v>8284</v>
      </c>
      <c r="S2406" s="6">
        <f>Table1[[#This Row],[pledged]]/Table1[[#This Row],[goal]]</f>
        <v>0</v>
      </c>
      <c r="T2406" s="8" t="str">
        <f>IF(Table1[[#This Row],[pledged]]=0,"no backers",Table1[[#This Row],[pledged]]/Table1[[#This Row],[backers_count]])</f>
        <v>no backers</v>
      </c>
      <c r="U2406" t="str">
        <f>LEFT(Table1[[#This Row],[Category and Sub-Category]],FIND("/",Table1[[#This Row],[Category and Sub-Category]])-1)</f>
        <v>food</v>
      </c>
      <c r="V2406" t="str">
        <f>RIGHT(Table1[[#This Row],[Category and Sub-Category]],LEN(Table1[[#This Row],[Category and Sub-Category]])-FIND("/",Table1[[#This Row],[Category and Sub-Category]]))</f>
        <v>food trucks</v>
      </c>
    </row>
    <row r="2407" spans="1:22" ht="43.2" x14ac:dyDescent="0.3">
      <c r="A2407">
        <v>2405</v>
      </c>
      <c r="B2407" s="3" t="s">
        <v>2406</v>
      </c>
      <c r="C2407" s="3" t="s">
        <v>6515</v>
      </c>
      <c r="D2407" s="12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>((Table1[[#This Row],[deadline]]/60)/60/24)+DATE(1970,1,1)</f>
        <v>42616.585358796292</v>
      </c>
      <c r="K2407">
        <v>1471096975</v>
      </c>
      <c r="L2407" s="11">
        <f>((Table1[[#This Row],[launched_at]]/60)/60/24)+DATE(1970,1,1)</f>
        <v>42595.585358796292</v>
      </c>
      <c r="M2407">
        <f>MONTH(Table1[[#This Row],[Date Created Conversion]])</f>
        <v>8</v>
      </c>
      <c r="N2407">
        <f>YEAR(Table1[[#This Row],[Date Created Conversion]])</f>
        <v>2016</v>
      </c>
      <c r="O2407" t="b">
        <v>0</v>
      </c>
      <c r="P2407">
        <v>20</v>
      </c>
      <c r="Q2407" t="b">
        <v>0</v>
      </c>
      <c r="R2407" t="s">
        <v>8284</v>
      </c>
      <c r="S2407" s="6">
        <f>Table1[[#This Row],[pledged]]/Table1[[#This Row],[goal]]</f>
        <v>0.22520000000000001</v>
      </c>
      <c r="T2407" s="8">
        <f>IF(Table1[[#This Row],[pledged]]=0,"no backers",Table1[[#This Row],[pledged]]/Table1[[#This Row],[backers_count]])</f>
        <v>56.3</v>
      </c>
      <c r="U2407" t="str">
        <f>LEFT(Table1[[#This Row],[Category and Sub-Category]],FIND("/",Table1[[#This Row],[Category and Sub-Category]])-1)</f>
        <v>food</v>
      </c>
      <c r="V2407" t="str">
        <f>RIGHT(Table1[[#This Row],[Category and Sub-Category]],LEN(Table1[[#This Row],[Category and Sub-Category]])-FIND("/",Table1[[#This Row],[Category and Sub-Category]]))</f>
        <v>food trucks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 s="12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>((Table1[[#This Row],[deadline]]/60)/60/24)+DATE(1970,1,1)</f>
        <v>42023.110995370371</v>
      </c>
      <c r="K2408">
        <v>1418179190</v>
      </c>
      <c r="L2408" s="11">
        <f>((Table1[[#This Row],[launched_at]]/60)/60/24)+DATE(1970,1,1)</f>
        <v>41983.110995370371</v>
      </c>
      <c r="M2408">
        <f>MONTH(Table1[[#This Row],[Date Created Conversion]])</f>
        <v>12</v>
      </c>
      <c r="N2408">
        <f>YEAR(Table1[[#This Row],[Date Created Conversion]])</f>
        <v>2014</v>
      </c>
      <c r="O2408" t="b">
        <v>0</v>
      </c>
      <c r="P2408">
        <v>16</v>
      </c>
      <c r="Q2408" t="b">
        <v>0</v>
      </c>
      <c r="R2408" t="s">
        <v>8284</v>
      </c>
      <c r="S2408" s="6">
        <f>Table1[[#This Row],[pledged]]/Table1[[#This Row],[goal]]</f>
        <v>0.41384615384615386</v>
      </c>
      <c r="T2408" s="8">
        <f>IF(Table1[[#This Row],[pledged]]=0,"no backers",Table1[[#This Row],[pledged]]/Table1[[#This Row],[backers_count]])</f>
        <v>84.0625</v>
      </c>
      <c r="U2408" t="str">
        <f>LEFT(Table1[[#This Row],[Category and Sub-Category]],FIND("/",Table1[[#This Row],[Category and Sub-Category]])-1)</f>
        <v>food</v>
      </c>
      <c r="V2408" t="str">
        <f>RIGHT(Table1[[#This Row],[Category and Sub-Category]],LEN(Table1[[#This Row],[Category and Sub-Category]])-FIND("/",Table1[[#This Row],[Category and Sub-Category]]))</f>
        <v>food trucks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 s="12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>((Table1[[#This Row],[deadline]]/60)/60/24)+DATE(1970,1,1)</f>
        <v>42105.25</v>
      </c>
      <c r="K2409">
        <v>1426772928</v>
      </c>
      <c r="L2409" s="11">
        <f>((Table1[[#This Row],[launched_at]]/60)/60/24)+DATE(1970,1,1)</f>
        <v>42082.575555555552</v>
      </c>
      <c r="M2409">
        <f>MONTH(Table1[[#This Row],[Date Created Conversion]])</f>
        <v>3</v>
      </c>
      <c r="N2409">
        <f>YEAR(Table1[[#This Row],[Date Created Conversion]])</f>
        <v>2015</v>
      </c>
      <c r="O2409" t="b">
        <v>0</v>
      </c>
      <c r="P2409">
        <v>33</v>
      </c>
      <c r="Q2409" t="b">
        <v>0</v>
      </c>
      <c r="R2409" t="s">
        <v>8284</v>
      </c>
      <c r="S2409" s="6">
        <f>Table1[[#This Row],[pledged]]/Table1[[#This Row],[goal]]</f>
        <v>0.25259090909090909</v>
      </c>
      <c r="T2409" s="8">
        <f>IF(Table1[[#This Row],[pledged]]=0,"no backers",Table1[[#This Row],[pledged]]/Table1[[#This Row],[backers_count]])</f>
        <v>168.39393939393941</v>
      </c>
      <c r="U2409" t="str">
        <f>LEFT(Table1[[#This Row],[Category and Sub-Category]],FIND("/",Table1[[#This Row],[Category and Sub-Category]])-1)</f>
        <v>food</v>
      </c>
      <c r="V2409" t="str">
        <f>RIGHT(Table1[[#This Row],[Category and Sub-Category]],LEN(Table1[[#This Row],[Category and Sub-Category]])-FIND("/",Table1[[#This Row],[Category and Sub-Category]]))</f>
        <v>food trucks</v>
      </c>
    </row>
    <row r="2410" spans="1:22" ht="43.2" x14ac:dyDescent="0.3">
      <c r="A2410">
        <v>2408</v>
      </c>
      <c r="B2410" s="3" t="s">
        <v>2409</v>
      </c>
      <c r="C2410" s="3" t="s">
        <v>6518</v>
      </c>
      <c r="D2410" s="12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>((Table1[[#This Row],[deadline]]/60)/60/24)+DATE(1970,1,1)</f>
        <v>41949.182372685187</v>
      </c>
      <c r="K2410">
        <v>1412652157</v>
      </c>
      <c r="L2410" s="11">
        <f>((Table1[[#This Row],[launched_at]]/60)/60/24)+DATE(1970,1,1)</f>
        <v>41919.140706018516</v>
      </c>
      <c r="M2410">
        <f>MONTH(Table1[[#This Row],[Date Created Conversion]])</f>
        <v>10</v>
      </c>
      <c r="N2410">
        <f>YEAR(Table1[[#This Row],[Date Created Conversion]])</f>
        <v>2014</v>
      </c>
      <c r="O2410" t="b">
        <v>0</v>
      </c>
      <c r="P2410">
        <v>2</v>
      </c>
      <c r="Q2410" t="b">
        <v>0</v>
      </c>
      <c r="R2410" t="s">
        <v>8284</v>
      </c>
      <c r="S2410" s="6">
        <f>Table1[[#This Row],[pledged]]/Table1[[#This Row],[goal]]</f>
        <v>2E-3</v>
      </c>
      <c r="T2410" s="8">
        <f>IF(Table1[[#This Row],[pledged]]=0,"no backers",Table1[[#This Row],[pledged]]/Table1[[#This Row],[backers_count]])</f>
        <v>15</v>
      </c>
      <c r="U2410" t="str">
        <f>LEFT(Table1[[#This Row],[Category and Sub-Category]],FIND("/",Table1[[#This Row],[Category and Sub-Category]])-1)</f>
        <v>food</v>
      </c>
      <c r="V2410" t="str">
        <f>RIGHT(Table1[[#This Row],[Category and Sub-Category]],LEN(Table1[[#This Row],[Category and Sub-Category]])-FIND("/",Table1[[#This Row],[Category and Sub-Category]]))</f>
        <v>food trucks</v>
      </c>
    </row>
    <row r="2411" spans="1:22" ht="43.2" x14ac:dyDescent="0.3">
      <c r="A2411">
        <v>2409</v>
      </c>
      <c r="B2411" s="3" t="s">
        <v>2410</v>
      </c>
      <c r="C2411" s="3" t="s">
        <v>6519</v>
      </c>
      <c r="D2411" s="12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>((Table1[[#This Row],[deadline]]/60)/60/24)+DATE(1970,1,1)</f>
        <v>42234.875868055555</v>
      </c>
      <c r="K2411">
        <v>1437339675</v>
      </c>
      <c r="L2411" s="11">
        <f>((Table1[[#This Row],[launched_at]]/60)/60/24)+DATE(1970,1,1)</f>
        <v>42204.875868055555</v>
      </c>
      <c r="M2411">
        <f>MONTH(Table1[[#This Row],[Date Created Conversion]])</f>
        <v>7</v>
      </c>
      <c r="N2411">
        <f>YEAR(Table1[[#This Row],[Date Created Conversion]])</f>
        <v>2015</v>
      </c>
      <c r="O2411" t="b">
        <v>0</v>
      </c>
      <c r="P2411">
        <v>6</v>
      </c>
      <c r="Q2411" t="b">
        <v>0</v>
      </c>
      <c r="R2411" t="s">
        <v>8284</v>
      </c>
      <c r="S2411" s="6">
        <f>Table1[[#This Row],[pledged]]/Table1[[#This Row],[goal]]</f>
        <v>1.84E-2</v>
      </c>
      <c r="T2411" s="8">
        <f>IF(Table1[[#This Row],[pledged]]=0,"no backers",Table1[[#This Row],[pledged]]/Table1[[#This Row],[backers_count]])</f>
        <v>76.666666666666671</v>
      </c>
      <c r="U2411" t="str">
        <f>LEFT(Table1[[#This Row],[Category and Sub-Category]],FIND("/",Table1[[#This Row],[Category and Sub-Category]])-1)</f>
        <v>food</v>
      </c>
      <c r="V2411" t="str">
        <f>RIGHT(Table1[[#This Row],[Category and Sub-Category]],LEN(Table1[[#This Row],[Category and Sub-Category]])-FIND("/",Table1[[#This Row],[Category and Sub-Category]]))</f>
        <v>food trucks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 s="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>((Table1[[#This Row],[deadline]]/60)/60/24)+DATE(1970,1,1)</f>
        <v>42254.408275462964</v>
      </c>
      <c r="K2412">
        <v>1439027275</v>
      </c>
      <c r="L2412" s="11">
        <f>((Table1[[#This Row],[launched_at]]/60)/60/24)+DATE(1970,1,1)</f>
        <v>42224.408275462964</v>
      </c>
      <c r="M2412">
        <f>MONTH(Table1[[#This Row],[Date Created Conversion]])</f>
        <v>8</v>
      </c>
      <c r="N2412">
        <f>YEAR(Table1[[#This Row],[Date Created Conversion]])</f>
        <v>2015</v>
      </c>
      <c r="O2412" t="b">
        <v>0</v>
      </c>
      <c r="P2412">
        <v>0</v>
      </c>
      <c r="Q2412" t="b">
        <v>0</v>
      </c>
      <c r="R2412" t="s">
        <v>8284</v>
      </c>
      <c r="S2412" s="6">
        <f>Table1[[#This Row],[pledged]]/Table1[[#This Row],[goal]]</f>
        <v>0</v>
      </c>
      <c r="T2412" s="8" t="str">
        <f>IF(Table1[[#This Row],[pledged]]=0,"no backers",Table1[[#This Row],[pledged]]/Table1[[#This Row],[backers_count]])</f>
        <v>no backers</v>
      </c>
      <c r="U2412" t="str">
        <f>LEFT(Table1[[#This Row],[Category and Sub-Category]],FIND("/",Table1[[#This Row],[Category and Sub-Category]])-1)</f>
        <v>food</v>
      </c>
      <c r="V2412" t="str">
        <f>RIGHT(Table1[[#This Row],[Category and Sub-Category]],LEN(Table1[[#This Row],[Category and Sub-Category]])-FIND("/",Table1[[#This Row],[Category and Sub-Category]]))</f>
        <v>food trucks</v>
      </c>
    </row>
    <row r="2413" spans="1:22" ht="57.6" x14ac:dyDescent="0.3">
      <c r="A2413">
        <v>2411</v>
      </c>
      <c r="B2413" s="3" t="s">
        <v>2412</v>
      </c>
      <c r="C2413" s="3" t="s">
        <v>6521</v>
      </c>
      <c r="D2413" s="12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>((Table1[[#This Row],[deadline]]/60)/60/24)+DATE(1970,1,1)</f>
        <v>42241.732430555552</v>
      </c>
      <c r="K2413">
        <v>1437932082</v>
      </c>
      <c r="L2413" s="11">
        <f>((Table1[[#This Row],[launched_at]]/60)/60/24)+DATE(1970,1,1)</f>
        <v>42211.732430555552</v>
      </c>
      <c r="M2413">
        <f>MONTH(Table1[[#This Row],[Date Created Conversion]])</f>
        <v>7</v>
      </c>
      <c r="N2413">
        <f>YEAR(Table1[[#This Row],[Date Created Conversion]])</f>
        <v>2015</v>
      </c>
      <c r="O2413" t="b">
        <v>0</v>
      </c>
      <c r="P2413">
        <v>3</v>
      </c>
      <c r="Q2413" t="b">
        <v>0</v>
      </c>
      <c r="R2413" t="s">
        <v>8284</v>
      </c>
      <c r="S2413" s="6">
        <f>Table1[[#This Row],[pledged]]/Table1[[#This Row],[goal]]</f>
        <v>6.0400000000000002E-3</v>
      </c>
      <c r="T2413" s="8">
        <f>IF(Table1[[#This Row],[pledged]]=0,"no backers",Table1[[#This Row],[pledged]]/Table1[[#This Row],[backers_count]])</f>
        <v>50.333333333333336</v>
      </c>
      <c r="U2413" t="str">
        <f>LEFT(Table1[[#This Row],[Category and Sub-Category]],FIND("/",Table1[[#This Row],[Category and Sub-Category]])-1)</f>
        <v>food</v>
      </c>
      <c r="V2413" t="str">
        <f>RIGHT(Table1[[#This Row],[Category and Sub-Category]],LEN(Table1[[#This Row],[Category and Sub-Category]])-FIND("/",Table1[[#This Row],[Category and Sub-Category]]))</f>
        <v>food trucks</v>
      </c>
    </row>
    <row r="2414" spans="1:22" ht="57.6" x14ac:dyDescent="0.3">
      <c r="A2414">
        <v>2412</v>
      </c>
      <c r="B2414" s="3" t="s">
        <v>2413</v>
      </c>
      <c r="C2414" s="3" t="s">
        <v>6522</v>
      </c>
      <c r="D2414" s="12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>((Table1[[#This Row],[deadline]]/60)/60/24)+DATE(1970,1,1)</f>
        <v>42700.778622685189</v>
      </c>
      <c r="K2414">
        <v>1476294073</v>
      </c>
      <c r="L2414" s="11">
        <f>((Table1[[#This Row],[launched_at]]/60)/60/24)+DATE(1970,1,1)</f>
        <v>42655.736956018518</v>
      </c>
      <c r="M2414">
        <f>MONTH(Table1[[#This Row],[Date Created Conversion]])</f>
        <v>10</v>
      </c>
      <c r="N2414">
        <f>YEAR(Table1[[#This Row],[Date Created Conversion]])</f>
        <v>2016</v>
      </c>
      <c r="O2414" t="b">
        <v>0</v>
      </c>
      <c r="P2414">
        <v>0</v>
      </c>
      <c r="Q2414" t="b">
        <v>0</v>
      </c>
      <c r="R2414" t="s">
        <v>8284</v>
      </c>
      <c r="S2414" s="6">
        <f>Table1[[#This Row],[pledged]]/Table1[[#This Row],[goal]]</f>
        <v>0</v>
      </c>
      <c r="T2414" s="8" t="str">
        <f>IF(Table1[[#This Row],[pledged]]=0,"no backers",Table1[[#This Row],[pledged]]/Table1[[#This Row],[backers_count]])</f>
        <v>no backers</v>
      </c>
      <c r="U2414" t="str">
        <f>LEFT(Table1[[#This Row],[Category and Sub-Category]],FIND("/",Table1[[#This Row],[Category and Sub-Category]])-1)</f>
        <v>food</v>
      </c>
      <c r="V2414" t="str">
        <f>RIGHT(Table1[[#This Row],[Category and Sub-Category]],LEN(Table1[[#This Row],[Category and Sub-Category]])-FIND("/",Table1[[#This Row],[Category and Sub-Category]]))</f>
        <v>food trucks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 s="12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>((Table1[[#This Row],[deadline]]/60)/60/24)+DATE(1970,1,1)</f>
        <v>41790.979166666664</v>
      </c>
      <c r="K2415">
        <v>1398911882</v>
      </c>
      <c r="L2415" s="11">
        <f>((Table1[[#This Row],[launched_at]]/60)/60/24)+DATE(1970,1,1)</f>
        <v>41760.10974537037</v>
      </c>
      <c r="M2415">
        <f>MONTH(Table1[[#This Row],[Date Created Conversion]])</f>
        <v>5</v>
      </c>
      <c r="N2415">
        <f>YEAR(Table1[[#This Row],[Date Created Conversion]])</f>
        <v>2014</v>
      </c>
      <c r="O2415" t="b">
        <v>0</v>
      </c>
      <c r="P2415">
        <v>3</v>
      </c>
      <c r="Q2415" t="b">
        <v>0</v>
      </c>
      <c r="R2415" t="s">
        <v>8284</v>
      </c>
      <c r="S2415" s="6">
        <f>Table1[[#This Row],[pledged]]/Table1[[#This Row],[goal]]</f>
        <v>8.3333333333333332E-3</v>
      </c>
      <c r="T2415" s="8">
        <f>IF(Table1[[#This Row],[pledged]]=0,"no backers",Table1[[#This Row],[pledged]]/Table1[[#This Row],[backers_count]])</f>
        <v>8.3333333333333339</v>
      </c>
      <c r="U2415" t="str">
        <f>LEFT(Table1[[#This Row],[Category and Sub-Category]],FIND("/",Table1[[#This Row],[Category and Sub-Category]])-1)</f>
        <v>food</v>
      </c>
      <c r="V2415" t="str">
        <f>RIGHT(Table1[[#This Row],[Category and Sub-Category]],LEN(Table1[[#This Row],[Category and Sub-Category]])-FIND("/",Table1[[#This Row],[Category and Sub-Category]]))</f>
        <v>food trucks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 s="12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>((Table1[[#This Row],[deadline]]/60)/60/24)+DATE(1970,1,1)</f>
        <v>42238.165972222225</v>
      </c>
      <c r="K2416">
        <v>1436805660</v>
      </c>
      <c r="L2416" s="11">
        <f>((Table1[[#This Row],[launched_at]]/60)/60/24)+DATE(1970,1,1)</f>
        <v>42198.695138888885</v>
      </c>
      <c r="M2416">
        <f>MONTH(Table1[[#This Row],[Date Created Conversion]])</f>
        <v>7</v>
      </c>
      <c r="N2416">
        <f>YEAR(Table1[[#This Row],[Date Created Conversion]])</f>
        <v>2015</v>
      </c>
      <c r="O2416" t="b">
        <v>0</v>
      </c>
      <c r="P2416">
        <v>13</v>
      </c>
      <c r="Q2416" t="b">
        <v>0</v>
      </c>
      <c r="R2416" t="s">
        <v>8284</v>
      </c>
      <c r="S2416" s="6">
        <f>Table1[[#This Row],[pledged]]/Table1[[#This Row],[goal]]</f>
        <v>3.0666666666666665E-2</v>
      </c>
      <c r="T2416" s="8">
        <f>IF(Table1[[#This Row],[pledged]]=0,"no backers",Table1[[#This Row],[pledged]]/Table1[[#This Row],[backers_count]])</f>
        <v>35.384615384615387</v>
      </c>
      <c r="U2416" t="str">
        <f>LEFT(Table1[[#This Row],[Category and Sub-Category]],FIND("/",Table1[[#This Row],[Category and Sub-Category]])-1)</f>
        <v>food</v>
      </c>
      <c r="V2416" t="str">
        <f>RIGHT(Table1[[#This Row],[Category and Sub-Category]],LEN(Table1[[#This Row],[Category and Sub-Category]])-FIND("/",Table1[[#This Row],[Category and Sub-Category]]))</f>
        <v>food trucks</v>
      </c>
    </row>
    <row r="2417" spans="1:22" ht="43.2" x14ac:dyDescent="0.3">
      <c r="A2417">
        <v>2415</v>
      </c>
      <c r="B2417" s="3" t="s">
        <v>2416</v>
      </c>
      <c r="C2417" s="3" t="s">
        <v>6525</v>
      </c>
      <c r="D2417" s="12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>((Table1[[#This Row],[deadline]]/60)/60/24)+DATE(1970,1,1)</f>
        <v>42566.862800925926</v>
      </c>
      <c r="K2417">
        <v>1466023346</v>
      </c>
      <c r="L2417" s="11">
        <f>((Table1[[#This Row],[launched_at]]/60)/60/24)+DATE(1970,1,1)</f>
        <v>42536.862800925926</v>
      </c>
      <c r="M2417">
        <f>MONTH(Table1[[#This Row],[Date Created Conversion]])</f>
        <v>6</v>
      </c>
      <c r="N2417">
        <f>YEAR(Table1[[#This Row],[Date Created Conversion]])</f>
        <v>2016</v>
      </c>
      <c r="O2417" t="b">
        <v>0</v>
      </c>
      <c r="P2417">
        <v>6</v>
      </c>
      <c r="Q2417" t="b">
        <v>0</v>
      </c>
      <c r="R2417" t="s">
        <v>8284</v>
      </c>
      <c r="S2417" s="6">
        <f>Table1[[#This Row],[pledged]]/Table1[[#This Row],[goal]]</f>
        <v>5.5833333333333334E-3</v>
      </c>
      <c r="T2417" s="8">
        <f>IF(Table1[[#This Row],[pledged]]=0,"no backers",Table1[[#This Row],[pledged]]/Table1[[#This Row],[backers_count]])</f>
        <v>55.833333333333336</v>
      </c>
      <c r="U2417" t="str">
        <f>LEFT(Table1[[#This Row],[Category and Sub-Category]],FIND("/",Table1[[#This Row],[Category and Sub-Category]])-1)</f>
        <v>food</v>
      </c>
      <c r="V2417" t="str">
        <f>RIGHT(Table1[[#This Row],[Category and Sub-Category]],LEN(Table1[[#This Row],[Category and Sub-Category]])-FIND("/",Table1[[#This Row],[Category and Sub-Category]]))</f>
        <v>food trucks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 s="12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>((Table1[[#This Row],[deadline]]/60)/60/24)+DATE(1970,1,1)</f>
        <v>42077.625</v>
      </c>
      <c r="K2418">
        <v>1421343743</v>
      </c>
      <c r="L2418" s="11">
        <f>((Table1[[#This Row],[launched_at]]/60)/60/24)+DATE(1970,1,1)</f>
        <v>42019.737766203703</v>
      </c>
      <c r="M2418">
        <f>MONTH(Table1[[#This Row],[Date Created Conversion]])</f>
        <v>1</v>
      </c>
      <c r="N2418">
        <f>YEAR(Table1[[#This Row],[Date Created Conversion]])</f>
        <v>2015</v>
      </c>
      <c r="O2418" t="b">
        <v>0</v>
      </c>
      <c r="P2418">
        <v>1</v>
      </c>
      <c r="Q2418" t="b">
        <v>0</v>
      </c>
      <c r="R2418" t="s">
        <v>8284</v>
      </c>
      <c r="S2418" s="6">
        <f>Table1[[#This Row],[pledged]]/Table1[[#This Row],[goal]]</f>
        <v>2.5000000000000001E-4</v>
      </c>
      <c r="T2418" s="8">
        <f>IF(Table1[[#This Row],[pledged]]=0,"no backers",Table1[[#This Row],[pledged]]/Table1[[#This Row],[backers_count]])</f>
        <v>5</v>
      </c>
      <c r="U2418" t="str">
        <f>LEFT(Table1[[#This Row],[Category and Sub-Category]],FIND("/",Table1[[#This Row],[Category and Sub-Category]])-1)</f>
        <v>food</v>
      </c>
      <c r="V2418" t="str">
        <f>RIGHT(Table1[[#This Row],[Category and Sub-Category]],LEN(Table1[[#This Row],[Category and Sub-Category]])-FIND("/",Table1[[#This Row],[Category and Sub-Category]]))</f>
        <v>food trucks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 s="12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>((Table1[[#This Row],[deadline]]/60)/60/24)+DATE(1970,1,1)</f>
        <v>41861.884108796294</v>
      </c>
      <c r="K2419">
        <v>1405113187</v>
      </c>
      <c r="L2419" s="11">
        <f>((Table1[[#This Row],[launched_at]]/60)/60/24)+DATE(1970,1,1)</f>
        <v>41831.884108796294</v>
      </c>
      <c r="M2419">
        <f>MONTH(Table1[[#This Row],[Date Created Conversion]])</f>
        <v>7</v>
      </c>
      <c r="N2419">
        <f>YEAR(Table1[[#This Row],[Date Created Conversion]])</f>
        <v>2014</v>
      </c>
      <c r="O2419" t="b">
        <v>0</v>
      </c>
      <c r="P2419">
        <v>0</v>
      </c>
      <c r="Q2419" t="b">
        <v>0</v>
      </c>
      <c r="R2419" t="s">
        <v>8284</v>
      </c>
      <c r="S2419" s="6">
        <f>Table1[[#This Row],[pledged]]/Table1[[#This Row],[goal]]</f>
        <v>0</v>
      </c>
      <c r="T2419" s="8" t="str">
        <f>IF(Table1[[#This Row],[pledged]]=0,"no backers",Table1[[#This Row],[pledged]]/Table1[[#This Row],[backers_count]])</f>
        <v>no backers</v>
      </c>
      <c r="U2419" t="str">
        <f>LEFT(Table1[[#This Row],[Category and Sub-Category]],FIND("/",Table1[[#This Row],[Category and Sub-Category]])-1)</f>
        <v>food</v>
      </c>
      <c r="V2419" t="str">
        <f>RIGHT(Table1[[#This Row],[Category and Sub-Category]],LEN(Table1[[#This Row],[Category and Sub-Category]])-FIND("/",Table1[[#This Row],[Category and Sub-Category]]))</f>
        <v>food trucks</v>
      </c>
    </row>
    <row r="2420" spans="1:22" x14ac:dyDescent="0.3">
      <c r="A2420">
        <v>2418</v>
      </c>
      <c r="B2420" s="3" t="s">
        <v>2419</v>
      </c>
      <c r="C2420" s="3" t="s">
        <v>6528</v>
      </c>
      <c r="D2420" s="12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>((Table1[[#This Row],[deadline]]/60)/60/24)+DATE(1970,1,1)</f>
        <v>42087.815324074079</v>
      </c>
      <c r="K2420">
        <v>1422045244</v>
      </c>
      <c r="L2420" s="11">
        <f>((Table1[[#This Row],[launched_at]]/60)/60/24)+DATE(1970,1,1)</f>
        <v>42027.856990740736</v>
      </c>
      <c r="M2420">
        <f>MONTH(Table1[[#This Row],[Date Created Conversion]])</f>
        <v>1</v>
      </c>
      <c r="N2420">
        <f>YEAR(Table1[[#This Row],[Date Created Conversion]])</f>
        <v>2015</v>
      </c>
      <c r="O2420" t="b">
        <v>0</v>
      </c>
      <c r="P2420">
        <v>5</v>
      </c>
      <c r="Q2420" t="b">
        <v>0</v>
      </c>
      <c r="R2420" t="s">
        <v>8284</v>
      </c>
      <c r="S2420" s="6">
        <f>Table1[[#This Row],[pledged]]/Table1[[#This Row],[goal]]</f>
        <v>2.0000000000000001E-4</v>
      </c>
      <c r="T2420" s="8">
        <f>IF(Table1[[#This Row],[pledged]]=0,"no backers",Table1[[#This Row],[pledged]]/Table1[[#This Row],[backers_count]])</f>
        <v>1</v>
      </c>
      <c r="U2420" t="str">
        <f>LEFT(Table1[[#This Row],[Category and Sub-Category]],FIND("/",Table1[[#This Row],[Category and Sub-Category]])-1)</f>
        <v>food</v>
      </c>
      <c r="V2420" t="str">
        <f>RIGHT(Table1[[#This Row],[Category and Sub-Category]],LEN(Table1[[#This Row],[Category and Sub-Category]])-FIND("/",Table1[[#This Row],[Category and Sub-Category]]))</f>
        <v>food trucks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 s="12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>((Table1[[#This Row],[deadline]]/60)/60/24)+DATE(1970,1,1)</f>
        <v>42053.738298611104</v>
      </c>
      <c r="K2421">
        <v>1419097389</v>
      </c>
      <c r="L2421" s="11">
        <f>((Table1[[#This Row],[launched_at]]/60)/60/24)+DATE(1970,1,1)</f>
        <v>41993.738298611104</v>
      </c>
      <c r="M2421">
        <f>MONTH(Table1[[#This Row],[Date Created Conversion]])</f>
        <v>12</v>
      </c>
      <c r="N2421">
        <f>YEAR(Table1[[#This Row],[Date Created Conversion]])</f>
        <v>2014</v>
      </c>
      <c r="O2421" t="b">
        <v>0</v>
      </c>
      <c r="P2421">
        <v>0</v>
      </c>
      <c r="Q2421" t="b">
        <v>0</v>
      </c>
      <c r="R2421" t="s">
        <v>8284</v>
      </c>
      <c r="S2421" s="6">
        <f>Table1[[#This Row],[pledged]]/Table1[[#This Row],[goal]]</f>
        <v>0</v>
      </c>
      <c r="T2421" s="8" t="str">
        <f>IF(Table1[[#This Row],[pledged]]=0,"no backers",Table1[[#This Row],[pledged]]/Table1[[#This Row],[backers_count]])</f>
        <v>no backers</v>
      </c>
      <c r="U2421" t="str">
        <f>LEFT(Table1[[#This Row],[Category and Sub-Category]],FIND("/",Table1[[#This Row],[Category and Sub-Category]])-1)</f>
        <v>food</v>
      </c>
      <c r="V2421" t="str">
        <f>RIGHT(Table1[[#This Row],[Category and Sub-Category]],LEN(Table1[[#This Row],[Category and Sub-Category]])-FIND("/",Table1[[#This Row],[Category and Sub-Category]]))</f>
        <v>food trucks</v>
      </c>
    </row>
    <row r="2422" spans="1:22" ht="43.2" x14ac:dyDescent="0.3">
      <c r="A2422">
        <v>2420</v>
      </c>
      <c r="B2422" s="3" t="s">
        <v>2421</v>
      </c>
      <c r="C2422" s="3" t="s">
        <v>6530</v>
      </c>
      <c r="D2422" s="1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>((Table1[[#This Row],[deadline]]/60)/60/24)+DATE(1970,1,1)</f>
        <v>41953.070543981477</v>
      </c>
      <c r="K2422">
        <v>1410396095</v>
      </c>
      <c r="L2422" s="11">
        <f>((Table1[[#This Row],[launched_at]]/60)/60/24)+DATE(1970,1,1)</f>
        <v>41893.028877314813</v>
      </c>
      <c r="M2422">
        <f>MONTH(Table1[[#This Row],[Date Created Conversion]])</f>
        <v>9</v>
      </c>
      <c r="N2422">
        <f>YEAR(Table1[[#This Row],[Date Created Conversion]])</f>
        <v>2014</v>
      </c>
      <c r="O2422" t="b">
        <v>0</v>
      </c>
      <c r="P2422">
        <v>36</v>
      </c>
      <c r="Q2422" t="b">
        <v>0</v>
      </c>
      <c r="R2422" t="s">
        <v>8284</v>
      </c>
      <c r="S2422" s="6">
        <f>Table1[[#This Row],[pledged]]/Table1[[#This Row],[goal]]</f>
        <v>0.14825133372851215</v>
      </c>
      <c r="T2422" s="8">
        <f>IF(Table1[[#This Row],[pledged]]=0,"no backers",Table1[[#This Row],[pledged]]/Table1[[#This Row],[backers_count]])</f>
        <v>69.472222222222229</v>
      </c>
      <c r="U2422" t="str">
        <f>LEFT(Table1[[#This Row],[Category and Sub-Category]],FIND("/",Table1[[#This Row],[Category and Sub-Category]])-1)</f>
        <v>food</v>
      </c>
      <c r="V2422" t="str">
        <f>RIGHT(Table1[[#This Row],[Category and Sub-Category]],LEN(Table1[[#This Row],[Category and Sub-Category]])-FIND("/",Table1[[#This Row],[Category and Sub-Category]]))</f>
        <v>food trucks</v>
      </c>
    </row>
    <row r="2423" spans="1:22" ht="28.8" x14ac:dyDescent="0.3">
      <c r="A2423">
        <v>2421</v>
      </c>
      <c r="B2423" s="3" t="s">
        <v>2422</v>
      </c>
      <c r="C2423" s="3" t="s">
        <v>6531</v>
      </c>
      <c r="D2423" s="12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>((Table1[[#This Row],[deadline]]/60)/60/24)+DATE(1970,1,1)</f>
        <v>42056.687453703707</v>
      </c>
      <c r="K2423">
        <v>1421944196</v>
      </c>
      <c r="L2423" s="11">
        <f>((Table1[[#This Row],[launched_at]]/60)/60/24)+DATE(1970,1,1)</f>
        <v>42026.687453703707</v>
      </c>
      <c r="M2423">
        <f>MONTH(Table1[[#This Row],[Date Created Conversion]])</f>
        <v>1</v>
      </c>
      <c r="N2423">
        <f>YEAR(Table1[[#This Row],[Date Created Conversion]])</f>
        <v>2015</v>
      </c>
      <c r="O2423" t="b">
        <v>0</v>
      </c>
      <c r="P2423">
        <v>1</v>
      </c>
      <c r="Q2423" t="b">
        <v>0</v>
      </c>
      <c r="R2423" t="s">
        <v>8284</v>
      </c>
      <c r="S2423" s="6">
        <f>Table1[[#This Row],[pledged]]/Table1[[#This Row],[goal]]</f>
        <v>1.6666666666666666E-4</v>
      </c>
      <c r="T2423" s="8">
        <f>IF(Table1[[#This Row],[pledged]]=0,"no backers",Table1[[#This Row],[pledged]]/Table1[[#This Row],[backers_count]])</f>
        <v>1</v>
      </c>
      <c r="U2423" t="str">
        <f>LEFT(Table1[[#This Row],[Category and Sub-Category]],FIND("/",Table1[[#This Row],[Category and Sub-Category]])-1)</f>
        <v>food</v>
      </c>
      <c r="V2423" t="str">
        <f>RIGHT(Table1[[#This Row],[Category and Sub-Category]],LEN(Table1[[#This Row],[Category and Sub-Category]])-FIND("/",Table1[[#This Row],[Category and Sub-Category]]))</f>
        <v>food trucks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 s="12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>((Table1[[#This Row],[deadline]]/60)/60/24)+DATE(1970,1,1)</f>
        <v>42074.683287037042</v>
      </c>
      <c r="K2424">
        <v>1423502636</v>
      </c>
      <c r="L2424" s="11">
        <f>((Table1[[#This Row],[launched_at]]/60)/60/24)+DATE(1970,1,1)</f>
        <v>42044.724953703699</v>
      </c>
      <c r="M2424">
        <f>MONTH(Table1[[#This Row],[Date Created Conversion]])</f>
        <v>2</v>
      </c>
      <c r="N2424">
        <f>YEAR(Table1[[#This Row],[Date Created Conversion]])</f>
        <v>2015</v>
      </c>
      <c r="O2424" t="b">
        <v>0</v>
      </c>
      <c r="P2424">
        <v>1</v>
      </c>
      <c r="Q2424" t="b">
        <v>0</v>
      </c>
      <c r="R2424" t="s">
        <v>8284</v>
      </c>
      <c r="S2424" s="6">
        <f>Table1[[#This Row],[pledged]]/Table1[[#This Row],[goal]]</f>
        <v>2E-3</v>
      </c>
      <c r="T2424" s="8">
        <f>IF(Table1[[#This Row],[pledged]]=0,"no backers",Table1[[#This Row],[pledged]]/Table1[[#This Row],[backers_count]])</f>
        <v>1</v>
      </c>
      <c r="U2424" t="str">
        <f>LEFT(Table1[[#This Row],[Category and Sub-Category]],FIND("/",Table1[[#This Row],[Category and Sub-Category]])-1)</f>
        <v>food</v>
      </c>
      <c r="V2424" t="str">
        <f>RIGHT(Table1[[#This Row],[Category and Sub-Category]],LEN(Table1[[#This Row],[Category and Sub-Category]])-FIND("/",Table1[[#This Row],[Category and Sub-Category]]))</f>
        <v>food trucks</v>
      </c>
    </row>
    <row r="2425" spans="1:22" ht="43.2" x14ac:dyDescent="0.3">
      <c r="A2425">
        <v>2423</v>
      </c>
      <c r="B2425" s="3" t="s">
        <v>2424</v>
      </c>
      <c r="C2425" s="3" t="s">
        <v>6533</v>
      </c>
      <c r="D2425" s="12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>((Table1[[#This Row],[deadline]]/60)/60/24)+DATE(1970,1,1)</f>
        <v>42004.704745370371</v>
      </c>
      <c r="K2425">
        <v>1417452890</v>
      </c>
      <c r="L2425" s="11">
        <f>((Table1[[#This Row],[launched_at]]/60)/60/24)+DATE(1970,1,1)</f>
        <v>41974.704745370371</v>
      </c>
      <c r="M2425">
        <f>MONTH(Table1[[#This Row],[Date Created Conversion]])</f>
        <v>12</v>
      </c>
      <c r="N2425">
        <f>YEAR(Table1[[#This Row],[Date Created Conversion]])</f>
        <v>2014</v>
      </c>
      <c r="O2425" t="b">
        <v>0</v>
      </c>
      <c r="P2425">
        <v>1</v>
      </c>
      <c r="Q2425" t="b">
        <v>0</v>
      </c>
      <c r="R2425" t="s">
        <v>8284</v>
      </c>
      <c r="S2425" s="6">
        <f>Table1[[#This Row],[pledged]]/Table1[[#This Row],[goal]]</f>
        <v>1.3333333333333334E-4</v>
      </c>
      <c r="T2425" s="8">
        <f>IF(Table1[[#This Row],[pledged]]=0,"no backers",Table1[[#This Row],[pledged]]/Table1[[#This Row],[backers_count]])</f>
        <v>8</v>
      </c>
      <c r="U2425" t="str">
        <f>LEFT(Table1[[#This Row],[Category and Sub-Category]],FIND("/",Table1[[#This Row],[Category and Sub-Category]])-1)</f>
        <v>food</v>
      </c>
      <c r="V2425" t="str">
        <f>RIGHT(Table1[[#This Row],[Category and Sub-Category]],LEN(Table1[[#This Row],[Category and Sub-Category]])-FIND("/",Table1[[#This Row],[Category and Sub-Category]]))</f>
        <v>food trucks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 s="12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>((Table1[[#This Row],[deadline]]/60)/60/24)+DATE(1970,1,1)</f>
        <v>41939.892453703702</v>
      </c>
      <c r="K2426">
        <v>1411853108</v>
      </c>
      <c r="L2426" s="11">
        <f>((Table1[[#This Row],[launched_at]]/60)/60/24)+DATE(1970,1,1)</f>
        <v>41909.892453703702</v>
      </c>
      <c r="M2426">
        <f>MONTH(Table1[[#This Row],[Date Created Conversion]])</f>
        <v>9</v>
      </c>
      <c r="N2426">
        <f>YEAR(Table1[[#This Row],[Date Created Conversion]])</f>
        <v>2014</v>
      </c>
      <c r="O2426" t="b">
        <v>0</v>
      </c>
      <c r="P2426">
        <v>9</v>
      </c>
      <c r="Q2426" t="b">
        <v>0</v>
      </c>
      <c r="R2426" t="s">
        <v>8284</v>
      </c>
      <c r="S2426" s="6">
        <f>Table1[[#This Row],[pledged]]/Table1[[#This Row],[goal]]</f>
        <v>1.24E-2</v>
      </c>
      <c r="T2426" s="8">
        <f>IF(Table1[[#This Row],[pledged]]=0,"no backers",Table1[[#This Row],[pledged]]/Table1[[#This Row],[backers_count]])</f>
        <v>34.444444444444443</v>
      </c>
      <c r="U2426" t="str">
        <f>LEFT(Table1[[#This Row],[Category and Sub-Category]],FIND("/",Table1[[#This Row],[Category and Sub-Category]])-1)</f>
        <v>food</v>
      </c>
      <c r="V2426" t="str">
        <f>RIGHT(Table1[[#This Row],[Category and Sub-Category]],LEN(Table1[[#This Row],[Category and Sub-Category]])-FIND("/",Table1[[#This Row],[Category and Sub-Category]]))</f>
        <v>food trucks</v>
      </c>
    </row>
    <row r="2427" spans="1:22" ht="57.6" x14ac:dyDescent="0.3">
      <c r="A2427">
        <v>2425</v>
      </c>
      <c r="B2427" s="3" t="s">
        <v>2426</v>
      </c>
      <c r="C2427" s="3" t="s">
        <v>6535</v>
      </c>
      <c r="D2427" s="12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>((Table1[[#This Row],[deadline]]/60)/60/24)+DATE(1970,1,1)</f>
        <v>42517.919444444444</v>
      </c>
      <c r="K2427">
        <v>1463090149</v>
      </c>
      <c r="L2427" s="11">
        <f>((Table1[[#This Row],[launched_at]]/60)/60/24)+DATE(1970,1,1)</f>
        <v>42502.913761574076</v>
      </c>
      <c r="M2427">
        <f>MONTH(Table1[[#This Row],[Date Created Conversion]])</f>
        <v>5</v>
      </c>
      <c r="N2427">
        <f>YEAR(Table1[[#This Row],[Date Created Conversion]])</f>
        <v>2016</v>
      </c>
      <c r="O2427" t="b">
        <v>0</v>
      </c>
      <c r="P2427">
        <v>1</v>
      </c>
      <c r="Q2427" t="b">
        <v>0</v>
      </c>
      <c r="R2427" t="s">
        <v>8284</v>
      </c>
      <c r="S2427" s="6">
        <f>Table1[[#This Row],[pledged]]/Table1[[#This Row],[goal]]</f>
        <v>2.8571428571428574E-4</v>
      </c>
      <c r="T2427" s="8">
        <f>IF(Table1[[#This Row],[pledged]]=0,"no backers",Table1[[#This Row],[pledged]]/Table1[[#This Row],[backers_count]])</f>
        <v>1</v>
      </c>
      <c r="U2427" t="str">
        <f>LEFT(Table1[[#This Row],[Category and Sub-Category]],FIND("/",Table1[[#This Row],[Category and Sub-Category]])-1)</f>
        <v>food</v>
      </c>
      <c r="V2427" t="str">
        <f>RIGHT(Table1[[#This Row],[Category and Sub-Category]],LEN(Table1[[#This Row],[Category and Sub-Category]])-FIND("/",Table1[[#This Row],[Category and Sub-Category]]))</f>
        <v>food trucks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 s="12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>((Table1[[#This Row],[deadline]]/60)/60/24)+DATE(1970,1,1)</f>
        <v>42224.170046296291</v>
      </c>
      <c r="K2428">
        <v>1433822692</v>
      </c>
      <c r="L2428" s="11">
        <f>((Table1[[#This Row],[launched_at]]/60)/60/24)+DATE(1970,1,1)</f>
        <v>42164.170046296291</v>
      </c>
      <c r="M2428">
        <f>MONTH(Table1[[#This Row],[Date Created Conversion]])</f>
        <v>6</v>
      </c>
      <c r="N2428">
        <f>YEAR(Table1[[#This Row],[Date Created Conversion]])</f>
        <v>2015</v>
      </c>
      <c r="O2428" t="b">
        <v>0</v>
      </c>
      <c r="P2428">
        <v>0</v>
      </c>
      <c r="Q2428" t="b">
        <v>0</v>
      </c>
      <c r="R2428" t="s">
        <v>8284</v>
      </c>
      <c r="S2428" s="6">
        <f>Table1[[#This Row],[pledged]]/Table1[[#This Row],[goal]]</f>
        <v>0</v>
      </c>
      <c r="T2428" s="8" t="str">
        <f>IF(Table1[[#This Row],[pledged]]=0,"no backers",Table1[[#This Row],[pledged]]/Table1[[#This Row],[backers_count]])</f>
        <v>no backers</v>
      </c>
      <c r="U2428" t="str">
        <f>LEFT(Table1[[#This Row],[Category and Sub-Category]],FIND("/",Table1[[#This Row],[Category and Sub-Category]])-1)</f>
        <v>food</v>
      </c>
      <c r="V2428" t="str">
        <f>RIGHT(Table1[[#This Row],[Category and Sub-Category]],LEN(Table1[[#This Row],[Category and Sub-Category]])-FIND("/",Table1[[#This Row],[Category and Sub-Category]]))</f>
        <v>food trucks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 s="12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>((Table1[[#This Row],[deadline]]/60)/60/24)+DATE(1970,1,1)</f>
        <v>42452.277002314819</v>
      </c>
      <c r="K2429">
        <v>1455262733</v>
      </c>
      <c r="L2429" s="11">
        <f>((Table1[[#This Row],[launched_at]]/60)/60/24)+DATE(1970,1,1)</f>
        <v>42412.318668981476</v>
      </c>
      <c r="M2429">
        <f>MONTH(Table1[[#This Row],[Date Created Conversion]])</f>
        <v>2</v>
      </c>
      <c r="N2429">
        <f>YEAR(Table1[[#This Row],[Date Created Conversion]])</f>
        <v>2016</v>
      </c>
      <c r="O2429" t="b">
        <v>0</v>
      </c>
      <c r="P2429">
        <v>1</v>
      </c>
      <c r="Q2429" t="b">
        <v>0</v>
      </c>
      <c r="R2429" t="s">
        <v>8284</v>
      </c>
      <c r="S2429" s="6">
        <f>Table1[[#This Row],[pledged]]/Table1[[#This Row],[goal]]</f>
        <v>2.0000000000000002E-5</v>
      </c>
      <c r="T2429" s="8">
        <f>IF(Table1[[#This Row],[pledged]]=0,"no backers",Table1[[#This Row],[pledged]]/Table1[[#This Row],[backers_count]])</f>
        <v>1</v>
      </c>
      <c r="U2429" t="str">
        <f>LEFT(Table1[[#This Row],[Category and Sub-Category]],FIND("/",Table1[[#This Row],[Category and Sub-Category]])-1)</f>
        <v>food</v>
      </c>
      <c r="V2429" t="str">
        <f>RIGHT(Table1[[#This Row],[Category and Sub-Category]],LEN(Table1[[#This Row],[Category and Sub-Category]])-FIND("/",Table1[[#This Row],[Category and Sub-Category]]))</f>
        <v>food trucks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 s="12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>((Table1[[#This Row],[deadline]]/60)/60/24)+DATE(1970,1,1)</f>
        <v>42075.742488425924</v>
      </c>
      <c r="K2430">
        <v>1423594151</v>
      </c>
      <c r="L2430" s="11">
        <f>((Table1[[#This Row],[launched_at]]/60)/60/24)+DATE(1970,1,1)</f>
        <v>42045.784155092595</v>
      </c>
      <c r="M2430">
        <f>MONTH(Table1[[#This Row],[Date Created Conversion]])</f>
        <v>2</v>
      </c>
      <c r="N2430">
        <f>YEAR(Table1[[#This Row],[Date Created Conversion]])</f>
        <v>2015</v>
      </c>
      <c r="O2430" t="b">
        <v>0</v>
      </c>
      <c r="P2430">
        <v>1</v>
      </c>
      <c r="Q2430" t="b">
        <v>0</v>
      </c>
      <c r="R2430" t="s">
        <v>8284</v>
      </c>
      <c r="S2430" s="6">
        <f>Table1[[#This Row],[pledged]]/Table1[[#This Row],[goal]]</f>
        <v>2.8571428571428571E-5</v>
      </c>
      <c r="T2430" s="8">
        <f>IF(Table1[[#This Row],[pledged]]=0,"no backers",Table1[[#This Row],[pledged]]/Table1[[#This Row],[backers_count]])</f>
        <v>1</v>
      </c>
      <c r="U2430" t="str">
        <f>LEFT(Table1[[#This Row],[Category and Sub-Category]],FIND("/",Table1[[#This Row],[Category and Sub-Category]])-1)</f>
        <v>food</v>
      </c>
      <c r="V2430" t="str">
        <f>RIGHT(Table1[[#This Row],[Category and Sub-Category]],LEN(Table1[[#This Row],[Category and Sub-Category]])-FIND("/",Table1[[#This Row],[Category and Sub-Category]]))</f>
        <v>food trucks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 s="12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>((Table1[[#This Row],[deadline]]/60)/60/24)+DATE(1970,1,1)</f>
        <v>42771.697222222225</v>
      </c>
      <c r="K2431">
        <v>1483131966</v>
      </c>
      <c r="L2431" s="11">
        <f>((Table1[[#This Row],[launched_at]]/60)/60/24)+DATE(1970,1,1)</f>
        <v>42734.879236111112</v>
      </c>
      <c r="M2431">
        <f>MONTH(Table1[[#This Row],[Date Created Conversion]])</f>
        <v>12</v>
      </c>
      <c r="N2431">
        <f>YEAR(Table1[[#This Row],[Date Created Conversion]])</f>
        <v>2016</v>
      </c>
      <c r="O2431" t="b">
        <v>0</v>
      </c>
      <c r="P2431">
        <v>4</v>
      </c>
      <c r="Q2431" t="b">
        <v>0</v>
      </c>
      <c r="R2431" t="s">
        <v>8284</v>
      </c>
      <c r="S2431" s="6">
        <f>Table1[[#This Row],[pledged]]/Table1[[#This Row],[goal]]</f>
        <v>1.4321428571428572E-2</v>
      </c>
      <c r="T2431" s="8">
        <f>IF(Table1[[#This Row],[pledged]]=0,"no backers",Table1[[#This Row],[pledged]]/Table1[[#This Row],[backers_count]])</f>
        <v>501.25</v>
      </c>
      <c r="U2431" t="str">
        <f>LEFT(Table1[[#This Row],[Category and Sub-Category]],FIND("/",Table1[[#This Row],[Category and Sub-Category]])-1)</f>
        <v>food</v>
      </c>
      <c r="V2431" t="str">
        <f>RIGHT(Table1[[#This Row],[Category and Sub-Category]],LEN(Table1[[#This Row],[Category and Sub-Category]])-FIND("/",Table1[[#This Row],[Category and Sub-Category]]))</f>
        <v>food trucks</v>
      </c>
    </row>
    <row r="2432" spans="1:22" ht="57.6" x14ac:dyDescent="0.3">
      <c r="A2432">
        <v>2430</v>
      </c>
      <c r="B2432" s="3" t="s">
        <v>2431</v>
      </c>
      <c r="C2432" s="3" t="s">
        <v>6540</v>
      </c>
      <c r="D2432" s="1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>((Table1[[#This Row],[deadline]]/60)/60/24)+DATE(1970,1,1)</f>
        <v>42412.130833333329</v>
      </c>
      <c r="K2432">
        <v>1452654504</v>
      </c>
      <c r="L2432" s="11">
        <f>((Table1[[#This Row],[launched_at]]/60)/60/24)+DATE(1970,1,1)</f>
        <v>42382.130833333329</v>
      </c>
      <c r="M2432">
        <f>MONTH(Table1[[#This Row],[Date Created Conversion]])</f>
        <v>1</v>
      </c>
      <c r="N2432">
        <f>YEAR(Table1[[#This Row],[Date Created Conversion]])</f>
        <v>2016</v>
      </c>
      <c r="O2432" t="b">
        <v>0</v>
      </c>
      <c r="P2432">
        <v>2</v>
      </c>
      <c r="Q2432" t="b">
        <v>0</v>
      </c>
      <c r="R2432" t="s">
        <v>8284</v>
      </c>
      <c r="S2432" s="6">
        <f>Table1[[#This Row],[pledged]]/Table1[[#This Row],[goal]]</f>
        <v>7.0000000000000001E-3</v>
      </c>
      <c r="T2432" s="8">
        <f>IF(Table1[[#This Row],[pledged]]=0,"no backers",Table1[[#This Row],[pledged]]/Table1[[#This Row],[backers_count]])</f>
        <v>10.5</v>
      </c>
      <c r="U2432" t="str">
        <f>LEFT(Table1[[#This Row],[Category and Sub-Category]],FIND("/",Table1[[#This Row],[Category and Sub-Category]])-1)</f>
        <v>food</v>
      </c>
      <c r="V2432" t="str">
        <f>RIGHT(Table1[[#This Row],[Category and Sub-Category]],LEN(Table1[[#This Row],[Category and Sub-Category]])-FIND("/",Table1[[#This Row],[Category and Sub-Category]]))</f>
        <v>food trucks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 s="12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>((Table1[[#This Row],[deadline]]/60)/60/24)+DATE(1970,1,1)</f>
        <v>42549.099687499998</v>
      </c>
      <c r="K2433">
        <v>1461896613</v>
      </c>
      <c r="L2433" s="11">
        <f>((Table1[[#This Row],[launched_at]]/60)/60/24)+DATE(1970,1,1)</f>
        <v>42489.099687499998</v>
      </c>
      <c r="M2433">
        <f>MONTH(Table1[[#This Row],[Date Created Conversion]])</f>
        <v>4</v>
      </c>
      <c r="N2433">
        <f>YEAR(Table1[[#This Row],[Date Created Conversion]])</f>
        <v>2016</v>
      </c>
      <c r="O2433" t="b">
        <v>0</v>
      </c>
      <c r="P2433">
        <v>2</v>
      </c>
      <c r="Q2433" t="b">
        <v>0</v>
      </c>
      <c r="R2433" t="s">
        <v>8284</v>
      </c>
      <c r="S2433" s="6">
        <f>Table1[[#This Row],[pledged]]/Table1[[#This Row],[goal]]</f>
        <v>2.0000000000000002E-5</v>
      </c>
      <c r="T2433" s="8">
        <f>IF(Table1[[#This Row],[pledged]]=0,"no backers",Table1[[#This Row],[pledged]]/Table1[[#This Row],[backers_count]])</f>
        <v>1</v>
      </c>
      <c r="U2433" t="str">
        <f>LEFT(Table1[[#This Row],[Category and Sub-Category]],FIND("/",Table1[[#This Row],[Category and Sub-Category]])-1)</f>
        <v>food</v>
      </c>
      <c r="V2433" t="str">
        <f>RIGHT(Table1[[#This Row],[Category and Sub-Category]],LEN(Table1[[#This Row],[Category and Sub-Category]])-FIND("/",Table1[[#This Row],[Category and Sub-Category]]))</f>
        <v>food trucks</v>
      </c>
    </row>
    <row r="2434" spans="1:22" ht="43.2" x14ac:dyDescent="0.3">
      <c r="A2434">
        <v>2432</v>
      </c>
      <c r="B2434" s="3" t="s">
        <v>2433</v>
      </c>
      <c r="C2434" s="3" t="s">
        <v>6542</v>
      </c>
      <c r="D2434" s="12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>((Table1[[#This Row],[deadline]]/60)/60/24)+DATE(1970,1,1)</f>
        <v>42071.218715277777</v>
      </c>
      <c r="K2434">
        <v>1423199697</v>
      </c>
      <c r="L2434" s="11">
        <f>((Table1[[#This Row],[launched_at]]/60)/60/24)+DATE(1970,1,1)</f>
        <v>42041.218715277777</v>
      </c>
      <c r="M2434">
        <f>MONTH(Table1[[#This Row],[Date Created Conversion]])</f>
        <v>2</v>
      </c>
      <c r="N2434">
        <f>YEAR(Table1[[#This Row],[Date Created Conversion]])</f>
        <v>2015</v>
      </c>
      <c r="O2434" t="b">
        <v>0</v>
      </c>
      <c r="P2434">
        <v>2</v>
      </c>
      <c r="Q2434" t="b">
        <v>0</v>
      </c>
      <c r="R2434" t="s">
        <v>8284</v>
      </c>
      <c r="S2434" s="6">
        <f>Table1[[#This Row],[pledged]]/Table1[[#This Row],[goal]]</f>
        <v>1.4285714285714287E-4</v>
      </c>
      <c r="T2434" s="8">
        <f>IF(Table1[[#This Row],[pledged]]=0,"no backers",Table1[[#This Row],[pledged]]/Table1[[#This Row],[backers_count]])</f>
        <v>1</v>
      </c>
      <c r="U2434" t="str">
        <f>LEFT(Table1[[#This Row],[Category and Sub-Category]],FIND("/",Table1[[#This Row],[Category and Sub-Category]])-1)</f>
        <v>food</v>
      </c>
      <c r="V2434" t="str">
        <f>RIGHT(Table1[[#This Row],[Category and Sub-Category]],LEN(Table1[[#This Row],[Category and Sub-Category]])-FIND("/",Table1[[#This Row],[Category and Sub-Category]]))</f>
        <v>food trucks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 s="12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>((Table1[[#This Row],[deadline]]/60)/60/24)+DATE(1970,1,1)</f>
        <v>42427.89980324074</v>
      </c>
      <c r="K2435">
        <v>1454016943</v>
      </c>
      <c r="L2435" s="11">
        <f>((Table1[[#This Row],[launched_at]]/60)/60/24)+DATE(1970,1,1)</f>
        <v>42397.89980324074</v>
      </c>
      <c r="M2435">
        <f>MONTH(Table1[[#This Row],[Date Created Conversion]])</f>
        <v>1</v>
      </c>
      <c r="N2435">
        <f>YEAR(Table1[[#This Row],[Date Created Conversion]])</f>
        <v>2016</v>
      </c>
      <c r="O2435" t="b">
        <v>0</v>
      </c>
      <c r="P2435">
        <v>0</v>
      </c>
      <c r="Q2435" t="b">
        <v>0</v>
      </c>
      <c r="R2435" t="s">
        <v>8284</v>
      </c>
      <c r="S2435" s="6">
        <f>Table1[[#This Row],[pledged]]/Table1[[#This Row],[goal]]</f>
        <v>0</v>
      </c>
      <c r="T2435" s="8" t="str">
        <f>IF(Table1[[#This Row],[pledged]]=0,"no backers",Table1[[#This Row],[pledged]]/Table1[[#This Row],[backers_count]])</f>
        <v>no backers</v>
      </c>
      <c r="U2435" t="str">
        <f>LEFT(Table1[[#This Row],[Category and Sub-Category]],FIND("/",Table1[[#This Row],[Category and Sub-Category]])-1)</f>
        <v>food</v>
      </c>
      <c r="V2435" t="str">
        <f>RIGHT(Table1[[#This Row],[Category and Sub-Category]],LEN(Table1[[#This Row],[Category and Sub-Category]])-FIND("/",Table1[[#This Row],[Category and Sub-Category]]))</f>
        <v>food trucks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 s="12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>((Table1[[#This Row],[deadline]]/60)/60/24)+DATE(1970,1,1)</f>
        <v>42220.18604166666</v>
      </c>
      <c r="K2436">
        <v>1435206474</v>
      </c>
      <c r="L2436" s="11">
        <f>((Table1[[#This Row],[launched_at]]/60)/60/24)+DATE(1970,1,1)</f>
        <v>42180.18604166666</v>
      </c>
      <c r="M2436">
        <f>MONTH(Table1[[#This Row],[Date Created Conversion]])</f>
        <v>6</v>
      </c>
      <c r="N2436">
        <f>YEAR(Table1[[#This Row],[Date Created Conversion]])</f>
        <v>2015</v>
      </c>
      <c r="O2436" t="b">
        <v>0</v>
      </c>
      <c r="P2436">
        <v>2</v>
      </c>
      <c r="Q2436" t="b">
        <v>0</v>
      </c>
      <c r="R2436" t="s">
        <v>8284</v>
      </c>
      <c r="S2436" s="6">
        <f>Table1[[#This Row],[pledged]]/Table1[[#This Row],[goal]]</f>
        <v>1.2999999999999999E-3</v>
      </c>
      <c r="T2436" s="8">
        <f>IF(Table1[[#This Row],[pledged]]=0,"no backers",Table1[[#This Row],[pledged]]/Table1[[#This Row],[backers_count]])</f>
        <v>13</v>
      </c>
      <c r="U2436" t="str">
        <f>LEFT(Table1[[#This Row],[Category and Sub-Category]],FIND("/",Table1[[#This Row],[Category and Sub-Category]])-1)</f>
        <v>food</v>
      </c>
      <c r="V2436" t="str">
        <f>RIGHT(Table1[[#This Row],[Category and Sub-Category]],LEN(Table1[[#This Row],[Category and Sub-Category]])-FIND("/",Table1[[#This Row],[Category and Sub-Category]]))</f>
        <v>food trucks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 s="12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>((Table1[[#This Row],[deadline]]/60)/60/24)+DATE(1970,1,1)</f>
        <v>42282.277615740735</v>
      </c>
      <c r="K2437">
        <v>1441435186</v>
      </c>
      <c r="L2437" s="11">
        <f>((Table1[[#This Row],[launched_at]]/60)/60/24)+DATE(1970,1,1)</f>
        <v>42252.277615740735</v>
      </c>
      <c r="M2437">
        <f>MONTH(Table1[[#This Row],[Date Created Conversion]])</f>
        <v>9</v>
      </c>
      <c r="N2437">
        <f>YEAR(Table1[[#This Row],[Date Created Conversion]])</f>
        <v>2015</v>
      </c>
      <c r="O2437" t="b">
        <v>0</v>
      </c>
      <c r="P2437">
        <v>4</v>
      </c>
      <c r="Q2437" t="b">
        <v>0</v>
      </c>
      <c r="R2437" t="s">
        <v>8284</v>
      </c>
      <c r="S2437" s="6">
        <f>Table1[[#This Row],[pledged]]/Table1[[#This Row],[goal]]</f>
        <v>4.8960000000000002E-3</v>
      </c>
      <c r="T2437" s="8">
        <f>IF(Table1[[#This Row],[pledged]]=0,"no backers",Table1[[#This Row],[pledged]]/Table1[[#This Row],[backers_count]])</f>
        <v>306</v>
      </c>
      <c r="U2437" t="str">
        <f>LEFT(Table1[[#This Row],[Category and Sub-Category]],FIND("/",Table1[[#This Row],[Category and Sub-Category]])-1)</f>
        <v>food</v>
      </c>
      <c r="V2437" t="str">
        <f>RIGHT(Table1[[#This Row],[Category and Sub-Category]],LEN(Table1[[#This Row],[Category and Sub-Category]])-FIND("/",Table1[[#This Row],[Category and Sub-Category]]))</f>
        <v>food trucks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 s="12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>((Table1[[#This Row],[deadline]]/60)/60/24)+DATE(1970,1,1)</f>
        <v>42398.615393518514</v>
      </c>
      <c r="K2438">
        <v>1448894770</v>
      </c>
      <c r="L2438" s="11">
        <f>((Table1[[#This Row],[launched_at]]/60)/60/24)+DATE(1970,1,1)</f>
        <v>42338.615393518514</v>
      </c>
      <c r="M2438">
        <f>MONTH(Table1[[#This Row],[Date Created Conversion]])</f>
        <v>11</v>
      </c>
      <c r="N2438">
        <f>YEAR(Table1[[#This Row],[Date Created Conversion]])</f>
        <v>2015</v>
      </c>
      <c r="O2438" t="b">
        <v>0</v>
      </c>
      <c r="P2438">
        <v>2</v>
      </c>
      <c r="Q2438" t="b">
        <v>0</v>
      </c>
      <c r="R2438" t="s">
        <v>8284</v>
      </c>
      <c r="S2438" s="6">
        <f>Table1[[#This Row],[pledged]]/Table1[[#This Row],[goal]]</f>
        <v>3.8461538461538462E-4</v>
      </c>
      <c r="T2438" s="8">
        <f>IF(Table1[[#This Row],[pledged]]=0,"no backers",Table1[[#This Row],[pledged]]/Table1[[#This Row],[backers_count]])</f>
        <v>22.5</v>
      </c>
      <c r="U2438" t="str">
        <f>LEFT(Table1[[#This Row],[Category and Sub-Category]],FIND("/",Table1[[#This Row],[Category and Sub-Category]])-1)</f>
        <v>food</v>
      </c>
      <c r="V2438" t="str">
        <f>RIGHT(Table1[[#This Row],[Category and Sub-Category]],LEN(Table1[[#This Row],[Category and Sub-Category]])-FIND("/",Table1[[#This Row],[Category and Sub-Category]]))</f>
        <v>food trucks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 s="12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>((Table1[[#This Row],[deadline]]/60)/60/24)+DATE(1970,1,1)</f>
        <v>42080.75</v>
      </c>
      <c r="K2439">
        <v>1422400188</v>
      </c>
      <c r="L2439" s="11">
        <f>((Table1[[#This Row],[launched_at]]/60)/60/24)+DATE(1970,1,1)</f>
        <v>42031.965138888889</v>
      </c>
      <c r="M2439">
        <f>MONTH(Table1[[#This Row],[Date Created Conversion]])</f>
        <v>1</v>
      </c>
      <c r="N2439">
        <f>YEAR(Table1[[#This Row],[Date Created Conversion]])</f>
        <v>2015</v>
      </c>
      <c r="O2439" t="b">
        <v>0</v>
      </c>
      <c r="P2439">
        <v>0</v>
      </c>
      <c r="Q2439" t="b">
        <v>0</v>
      </c>
      <c r="R2439" t="s">
        <v>8284</v>
      </c>
      <c r="S2439" s="6">
        <f>Table1[[#This Row],[pledged]]/Table1[[#This Row],[goal]]</f>
        <v>0</v>
      </c>
      <c r="T2439" s="8" t="str">
        <f>IF(Table1[[#This Row],[pledged]]=0,"no backers",Table1[[#This Row],[pledged]]/Table1[[#This Row],[backers_count]])</f>
        <v>no backers</v>
      </c>
      <c r="U2439" t="str">
        <f>LEFT(Table1[[#This Row],[Category and Sub-Category]],FIND("/",Table1[[#This Row],[Category and Sub-Category]])-1)</f>
        <v>food</v>
      </c>
      <c r="V2439" t="str">
        <f>RIGHT(Table1[[#This Row],[Category and Sub-Category]],LEN(Table1[[#This Row],[Category and Sub-Category]])-FIND("/",Table1[[#This Row],[Category and Sub-Category]]))</f>
        <v>food trucks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 s="12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>((Table1[[#This Row],[deadline]]/60)/60/24)+DATE(1970,1,1)</f>
        <v>42345.956736111111</v>
      </c>
      <c r="K2440">
        <v>1444341462</v>
      </c>
      <c r="L2440" s="11">
        <f>((Table1[[#This Row],[launched_at]]/60)/60/24)+DATE(1970,1,1)</f>
        <v>42285.91506944444</v>
      </c>
      <c r="M2440">
        <f>MONTH(Table1[[#This Row],[Date Created Conversion]])</f>
        <v>10</v>
      </c>
      <c r="N2440">
        <f>YEAR(Table1[[#This Row],[Date Created Conversion]])</f>
        <v>2015</v>
      </c>
      <c r="O2440" t="b">
        <v>0</v>
      </c>
      <c r="P2440">
        <v>1</v>
      </c>
      <c r="Q2440" t="b">
        <v>0</v>
      </c>
      <c r="R2440" t="s">
        <v>8284</v>
      </c>
      <c r="S2440" s="6">
        <f>Table1[[#This Row],[pledged]]/Table1[[#This Row],[goal]]</f>
        <v>3.3333333333333335E-3</v>
      </c>
      <c r="T2440" s="8">
        <f>IF(Table1[[#This Row],[pledged]]=0,"no backers",Table1[[#This Row],[pledged]]/Table1[[#This Row],[backers_count]])</f>
        <v>50</v>
      </c>
      <c r="U2440" t="str">
        <f>LEFT(Table1[[#This Row],[Category and Sub-Category]],FIND("/",Table1[[#This Row],[Category and Sub-Category]])-1)</f>
        <v>food</v>
      </c>
      <c r="V2440" t="str">
        <f>RIGHT(Table1[[#This Row],[Category and Sub-Category]],LEN(Table1[[#This Row],[Category and Sub-Category]])-FIND("/",Table1[[#This Row],[Category and Sub-Category]]))</f>
        <v>food trucks</v>
      </c>
    </row>
    <row r="2441" spans="1:22" ht="57.6" x14ac:dyDescent="0.3">
      <c r="A2441">
        <v>2439</v>
      </c>
      <c r="B2441" s="3" t="s">
        <v>2440</v>
      </c>
      <c r="C2441" s="3" t="s">
        <v>6549</v>
      </c>
      <c r="D2441" s="12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>((Table1[[#This Row],[deadline]]/60)/60/24)+DATE(1970,1,1)</f>
        <v>42295.818622685183</v>
      </c>
      <c r="K2441">
        <v>1442605129</v>
      </c>
      <c r="L2441" s="11">
        <f>((Table1[[#This Row],[launched_at]]/60)/60/24)+DATE(1970,1,1)</f>
        <v>42265.818622685183</v>
      </c>
      <c r="M2441">
        <f>MONTH(Table1[[#This Row],[Date Created Conversion]])</f>
        <v>9</v>
      </c>
      <c r="N2441">
        <f>YEAR(Table1[[#This Row],[Date Created Conversion]])</f>
        <v>2015</v>
      </c>
      <c r="O2441" t="b">
        <v>0</v>
      </c>
      <c r="P2441">
        <v>0</v>
      </c>
      <c r="Q2441" t="b">
        <v>0</v>
      </c>
      <c r="R2441" t="s">
        <v>8284</v>
      </c>
      <c r="S2441" s="6">
        <f>Table1[[#This Row],[pledged]]/Table1[[#This Row],[goal]]</f>
        <v>0</v>
      </c>
      <c r="T2441" s="8" t="str">
        <f>IF(Table1[[#This Row],[pledged]]=0,"no backers",Table1[[#This Row],[pledged]]/Table1[[#This Row],[backers_count]])</f>
        <v>no backers</v>
      </c>
      <c r="U2441" t="str">
        <f>LEFT(Table1[[#This Row],[Category and Sub-Category]],FIND("/",Table1[[#This Row],[Category and Sub-Category]])-1)</f>
        <v>food</v>
      </c>
      <c r="V2441" t="str">
        <f>RIGHT(Table1[[#This Row],[Category and Sub-Category]],LEN(Table1[[#This Row],[Category and Sub-Category]])-FIND("/",Table1[[#This Row],[Category and Sub-Category]]))</f>
        <v>food trucks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 s="1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>((Table1[[#This Row],[deadline]]/60)/60/24)+DATE(1970,1,1)</f>
        <v>42413.899456018517</v>
      </c>
      <c r="K2442">
        <v>1452807313</v>
      </c>
      <c r="L2442" s="11">
        <f>((Table1[[#This Row],[launched_at]]/60)/60/24)+DATE(1970,1,1)</f>
        <v>42383.899456018517</v>
      </c>
      <c r="M2442">
        <f>MONTH(Table1[[#This Row],[Date Created Conversion]])</f>
        <v>1</v>
      </c>
      <c r="N2442">
        <f>YEAR(Table1[[#This Row],[Date Created Conversion]])</f>
        <v>2016</v>
      </c>
      <c r="O2442" t="b">
        <v>0</v>
      </c>
      <c r="P2442">
        <v>2</v>
      </c>
      <c r="Q2442" t="b">
        <v>0</v>
      </c>
      <c r="R2442" t="s">
        <v>8284</v>
      </c>
      <c r="S2442" s="6">
        <f>Table1[[#This Row],[pledged]]/Table1[[#This Row],[goal]]</f>
        <v>2E-3</v>
      </c>
      <c r="T2442" s="8">
        <f>IF(Table1[[#This Row],[pledged]]=0,"no backers",Table1[[#This Row],[pledged]]/Table1[[#This Row],[backers_count]])</f>
        <v>5</v>
      </c>
      <c r="U2442" t="str">
        <f>LEFT(Table1[[#This Row],[Category and Sub-Category]],FIND("/",Table1[[#This Row],[Category and Sub-Category]])-1)</f>
        <v>food</v>
      </c>
      <c r="V2442" t="str">
        <f>RIGHT(Table1[[#This Row],[Category and Sub-Category]],LEN(Table1[[#This Row],[Category and Sub-Category]])-FIND("/",Table1[[#This Row],[Category and Sub-Category]]))</f>
        <v>food trucks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 s="12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>((Table1[[#This Row],[deadline]]/60)/60/24)+DATE(1970,1,1)</f>
        <v>42208.207638888889</v>
      </c>
      <c r="K2443">
        <v>1435806054</v>
      </c>
      <c r="L2443" s="11">
        <f>((Table1[[#This Row],[launched_at]]/60)/60/24)+DATE(1970,1,1)</f>
        <v>42187.125625000001</v>
      </c>
      <c r="M2443">
        <f>MONTH(Table1[[#This Row],[Date Created Conversion]])</f>
        <v>7</v>
      </c>
      <c r="N2443">
        <f>YEAR(Table1[[#This Row],[Date Created Conversion]])</f>
        <v>2015</v>
      </c>
      <c r="O2443" t="b">
        <v>0</v>
      </c>
      <c r="P2443">
        <v>109</v>
      </c>
      <c r="Q2443" t="b">
        <v>1</v>
      </c>
      <c r="R2443" t="s">
        <v>8298</v>
      </c>
      <c r="S2443" s="6">
        <f>Table1[[#This Row],[pledged]]/Table1[[#This Row],[goal]]</f>
        <v>1.0788</v>
      </c>
      <c r="T2443" s="8">
        <f>IF(Table1[[#This Row],[pledged]]=0,"no backers",Table1[[#This Row],[pledged]]/Table1[[#This Row],[backers_count]])</f>
        <v>74.22935779816514</v>
      </c>
      <c r="U2443" t="str">
        <f>LEFT(Table1[[#This Row],[Category and Sub-Category]],FIND("/",Table1[[#This Row],[Category and Sub-Category]])-1)</f>
        <v>food</v>
      </c>
      <c r="V2443" t="str">
        <f>RIGHT(Table1[[#This Row],[Category and Sub-Category]],LEN(Table1[[#This Row],[Category and Sub-Category]])-FIND("/",Table1[[#This Row],[Category and Sub-Category]]))</f>
        <v>small batch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 s="12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>((Table1[[#This Row],[deadline]]/60)/60/24)+DATE(1970,1,1)</f>
        <v>42082.625324074077</v>
      </c>
      <c r="K2444">
        <v>1424188828</v>
      </c>
      <c r="L2444" s="11">
        <f>((Table1[[#This Row],[launched_at]]/60)/60/24)+DATE(1970,1,1)</f>
        <v>42052.666990740734</v>
      </c>
      <c r="M2444">
        <f>MONTH(Table1[[#This Row],[Date Created Conversion]])</f>
        <v>2</v>
      </c>
      <c r="N2444">
        <f>YEAR(Table1[[#This Row],[Date Created Conversion]])</f>
        <v>2015</v>
      </c>
      <c r="O2444" t="b">
        <v>0</v>
      </c>
      <c r="P2444">
        <v>372</v>
      </c>
      <c r="Q2444" t="b">
        <v>1</v>
      </c>
      <c r="R2444" t="s">
        <v>8298</v>
      </c>
      <c r="S2444" s="6">
        <f>Table1[[#This Row],[pledged]]/Table1[[#This Row],[goal]]</f>
        <v>1.2594166666666666</v>
      </c>
      <c r="T2444" s="8">
        <f>IF(Table1[[#This Row],[pledged]]=0,"no backers",Table1[[#This Row],[pledged]]/Table1[[#This Row],[backers_count]])</f>
        <v>81.252688172043008</v>
      </c>
      <c r="U2444" t="str">
        <f>LEFT(Table1[[#This Row],[Category and Sub-Category]],FIND("/",Table1[[#This Row],[Category and Sub-Category]])-1)</f>
        <v>food</v>
      </c>
      <c r="V2444" t="str">
        <f>RIGHT(Table1[[#This Row],[Category and Sub-Category]],LEN(Table1[[#This Row],[Category and Sub-Category]])-FIND("/",Table1[[#This Row],[Category and Sub-Category]]))</f>
        <v>small batch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 s="12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>((Table1[[#This Row],[deadline]]/60)/60/24)+DATE(1970,1,1)</f>
        <v>41866.625254629631</v>
      </c>
      <c r="K2445">
        <v>1405522822</v>
      </c>
      <c r="L2445" s="11">
        <f>((Table1[[#This Row],[launched_at]]/60)/60/24)+DATE(1970,1,1)</f>
        <v>41836.625254629631</v>
      </c>
      <c r="M2445">
        <f>MONTH(Table1[[#This Row],[Date Created Conversion]])</f>
        <v>7</v>
      </c>
      <c r="N2445">
        <f>YEAR(Table1[[#This Row],[Date Created Conversion]])</f>
        <v>2014</v>
      </c>
      <c r="O2445" t="b">
        <v>0</v>
      </c>
      <c r="P2445">
        <v>311</v>
      </c>
      <c r="Q2445" t="b">
        <v>1</v>
      </c>
      <c r="R2445" t="s">
        <v>8298</v>
      </c>
      <c r="S2445" s="6">
        <f>Table1[[#This Row],[pledged]]/Table1[[#This Row],[goal]]</f>
        <v>2.0251494999999999</v>
      </c>
      <c r="T2445" s="8">
        <f>IF(Table1[[#This Row],[pledged]]=0,"no backers",Table1[[#This Row],[pledged]]/Table1[[#This Row],[backers_count]])</f>
        <v>130.23469453376205</v>
      </c>
      <c r="U2445" t="str">
        <f>LEFT(Table1[[#This Row],[Category and Sub-Category]],FIND("/",Table1[[#This Row],[Category and Sub-Category]])-1)</f>
        <v>food</v>
      </c>
      <c r="V2445" t="str">
        <f>RIGHT(Table1[[#This Row],[Category and Sub-Category]],LEN(Table1[[#This Row],[Category and Sub-Category]])-FIND("/",Table1[[#This Row],[Category and Sub-Category]]))</f>
        <v>small batch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 s="12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>((Table1[[#This Row],[deadline]]/60)/60/24)+DATE(1970,1,1)</f>
        <v>42515.754525462966</v>
      </c>
      <c r="K2446">
        <v>1461607591</v>
      </c>
      <c r="L2446" s="11">
        <f>((Table1[[#This Row],[launched_at]]/60)/60/24)+DATE(1970,1,1)</f>
        <v>42485.754525462966</v>
      </c>
      <c r="M2446">
        <f>MONTH(Table1[[#This Row],[Date Created Conversion]])</f>
        <v>4</v>
      </c>
      <c r="N2446">
        <f>YEAR(Table1[[#This Row],[Date Created Conversion]])</f>
        <v>2016</v>
      </c>
      <c r="O2446" t="b">
        <v>0</v>
      </c>
      <c r="P2446">
        <v>61</v>
      </c>
      <c r="Q2446" t="b">
        <v>1</v>
      </c>
      <c r="R2446" t="s">
        <v>8298</v>
      </c>
      <c r="S2446" s="6">
        <f>Table1[[#This Row],[pledged]]/Table1[[#This Row],[goal]]</f>
        <v>1.0860000000000001</v>
      </c>
      <c r="T2446" s="8">
        <f>IF(Table1[[#This Row],[pledged]]=0,"no backers",Table1[[#This Row],[pledged]]/Table1[[#This Row],[backers_count]])</f>
        <v>53.409836065573771</v>
      </c>
      <c r="U2446" t="str">
        <f>LEFT(Table1[[#This Row],[Category and Sub-Category]],FIND("/",Table1[[#This Row],[Category and Sub-Category]])-1)</f>
        <v>food</v>
      </c>
      <c r="V2446" t="str">
        <f>RIGHT(Table1[[#This Row],[Category and Sub-Category]],LEN(Table1[[#This Row],[Category and Sub-Category]])-FIND("/",Table1[[#This Row],[Category and Sub-Category]]))</f>
        <v>small batch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 s="12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>((Table1[[#This Row],[deadline]]/60)/60/24)+DATE(1970,1,1)</f>
        <v>42273.190057870372</v>
      </c>
      <c r="K2447">
        <v>1440650021</v>
      </c>
      <c r="L2447" s="11">
        <f>((Table1[[#This Row],[launched_at]]/60)/60/24)+DATE(1970,1,1)</f>
        <v>42243.190057870372</v>
      </c>
      <c r="M2447">
        <f>MONTH(Table1[[#This Row],[Date Created Conversion]])</f>
        <v>8</v>
      </c>
      <c r="N2447">
        <f>YEAR(Table1[[#This Row],[Date Created Conversion]])</f>
        <v>2015</v>
      </c>
      <c r="O2447" t="b">
        <v>0</v>
      </c>
      <c r="P2447">
        <v>115</v>
      </c>
      <c r="Q2447" t="b">
        <v>1</v>
      </c>
      <c r="R2447" t="s">
        <v>8298</v>
      </c>
      <c r="S2447" s="6">
        <f>Table1[[#This Row],[pledged]]/Table1[[#This Row],[goal]]</f>
        <v>1.728</v>
      </c>
      <c r="T2447" s="8">
        <f>IF(Table1[[#This Row],[pledged]]=0,"no backers",Table1[[#This Row],[pledged]]/Table1[[#This Row],[backers_count]])</f>
        <v>75.130434782608702</v>
      </c>
      <c r="U2447" t="str">
        <f>LEFT(Table1[[#This Row],[Category and Sub-Category]],FIND("/",Table1[[#This Row],[Category and Sub-Category]])-1)</f>
        <v>food</v>
      </c>
      <c r="V2447" t="str">
        <f>RIGHT(Table1[[#This Row],[Category and Sub-Category]],LEN(Table1[[#This Row],[Category and Sub-Category]])-FIND("/",Table1[[#This Row],[Category and Sub-Category]]))</f>
        <v>small batch</v>
      </c>
    </row>
    <row r="2448" spans="1:22" ht="57.6" x14ac:dyDescent="0.3">
      <c r="A2448">
        <v>2446</v>
      </c>
      <c r="B2448" s="3" t="s">
        <v>2447</v>
      </c>
      <c r="C2448" s="3" t="s">
        <v>6556</v>
      </c>
      <c r="D2448" s="12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>((Table1[[#This Row],[deadline]]/60)/60/24)+DATE(1970,1,1)</f>
        <v>42700.64434027778</v>
      </c>
      <c r="K2448">
        <v>1477578471</v>
      </c>
      <c r="L2448" s="11">
        <f>((Table1[[#This Row],[launched_at]]/60)/60/24)+DATE(1970,1,1)</f>
        <v>42670.602673611109</v>
      </c>
      <c r="M2448">
        <f>MONTH(Table1[[#This Row],[Date Created Conversion]])</f>
        <v>10</v>
      </c>
      <c r="N2448">
        <f>YEAR(Table1[[#This Row],[Date Created Conversion]])</f>
        <v>2016</v>
      </c>
      <c r="O2448" t="b">
        <v>0</v>
      </c>
      <c r="P2448">
        <v>111</v>
      </c>
      <c r="Q2448" t="b">
        <v>1</v>
      </c>
      <c r="R2448" t="s">
        <v>8298</v>
      </c>
      <c r="S2448" s="6">
        <f>Table1[[#This Row],[pledged]]/Table1[[#This Row],[goal]]</f>
        <v>1.6798</v>
      </c>
      <c r="T2448" s="8">
        <f>IF(Table1[[#This Row],[pledged]]=0,"no backers",Table1[[#This Row],[pledged]]/Table1[[#This Row],[backers_count]])</f>
        <v>75.666666666666671</v>
      </c>
      <c r="U2448" t="str">
        <f>LEFT(Table1[[#This Row],[Category and Sub-Category]],FIND("/",Table1[[#This Row],[Category and Sub-Category]])-1)</f>
        <v>food</v>
      </c>
      <c r="V2448" t="str">
        <f>RIGHT(Table1[[#This Row],[Category and Sub-Category]],LEN(Table1[[#This Row],[Category and Sub-Category]])-FIND("/",Table1[[#This Row],[Category and Sub-Category]]))</f>
        <v>small batch</v>
      </c>
    </row>
    <row r="2449" spans="1:22" ht="57.6" x14ac:dyDescent="0.3">
      <c r="A2449">
        <v>2447</v>
      </c>
      <c r="B2449" s="3" t="s">
        <v>2448</v>
      </c>
      <c r="C2449" s="3" t="s">
        <v>6557</v>
      </c>
      <c r="D2449" s="12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>((Table1[[#This Row],[deadline]]/60)/60/24)+DATE(1970,1,1)</f>
        <v>42686.166666666672</v>
      </c>
      <c r="K2449">
        <v>1476184593</v>
      </c>
      <c r="L2449" s="11">
        <f>((Table1[[#This Row],[launched_at]]/60)/60/24)+DATE(1970,1,1)</f>
        <v>42654.469826388886</v>
      </c>
      <c r="M2449">
        <f>MONTH(Table1[[#This Row],[Date Created Conversion]])</f>
        <v>10</v>
      </c>
      <c r="N2449">
        <f>YEAR(Table1[[#This Row],[Date Created Conversion]])</f>
        <v>2016</v>
      </c>
      <c r="O2449" t="b">
        <v>0</v>
      </c>
      <c r="P2449">
        <v>337</v>
      </c>
      <c r="Q2449" t="b">
        <v>1</v>
      </c>
      <c r="R2449" t="s">
        <v>8298</v>
      </c>
      <c r="S2449" s="6">
        <f>Table1[[#This Row],[pledged]]/Table1[[#This Row],[goal]]</f>
        <v>4.2720000000000002</v>
      </c>
      <c r="T2449" s="8">
        <f>IF(Table1[[#This Row],[pledged]]=0,"no backers",Table1[[#This Row],[pledged]]/Table1[[#This Row],[backers_count]])</f>
        <v>31.691394658753708</v>
      </c>
      <c r="U2449" t="str">
        <f>LEFT(Table1[[#This Row],[Category and Sub-Category]],FIND("/",Table1[[#This Row],[Category and Sub-Category]])-1)</f>
        <v>food</v>
      </c>
      <c r="V2449" t="str">
        <f>RIGHT(Table1[[#This Row],[Category and Sub-Category]],LEN(Table1[[#This Row],[Category and Sub-Category]])-FIND("/",Table1[[#This Row],[Category and Sub-Category]]))</f>
        <v>small batch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 s="12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>((Table1[[#This Row],[deadline]]/60)/60/24)+DATE(1970,1,1)</f>
        <v>42613.233333333337</v>
      </c>
      <c r="K2450">
        <v>1472110513</v>
      </c>
      <c r="L2450" s="11">
        <f>((Table1[[#This Row],[launched_at]]/60)/60/24)+DATE(1970,1,1)</f>
        <v>42607.316122685181</v>
      </c>
      <c r="M2450">
        <f>MONTH(Table1[[#This Row],[Date Created Conversion]])</f>
        <v>8</v>
      </c>
      <c r="N2450">
        <f>YEAR(Table1[[#This Row],[Date Created Conversion]])</f>
        <v>2016</v>
      </c>
      <c r="O2450" t="b">
        <v>0</v>
      </c>
      <c r="P2450">
        <v>9</v>
      </c>
      <c r="Q2450" t="b">
        <v>1</v>
      </c>
      <c r="R2450" t="s">
        <v>8298</v>
      </c>
      <c r="S2450" s="6">
        <f>Table1[[#This Row],[pledged]]/Table1[[#This Row],[goal]]</f>
        <v>1.075</v>
      </c>
      <c r="T2450" s="8">
        <f>IF(Table1[[#This Row],[pledged]]=0,"no backers",Table1[[#This Row],[pledged]]/Table1[[#This Row],[backers_count]])</f>
        <v>47.777777777777779</v>
      </c>
      <c r="U2450" t="str">
        <f>LEFT(Table1[[#This Row],[Category and Sub-Category]],FIND("/",Table1[[#This Row],[Category and Sub-Category]])-1)</f>
        <v>food</v>
      </c>
      <c r="V2450" t="str">
        <f>RIGHT(Table1[[#This Row],[Category and Sub-Category]],LEN(Table1[[#This Row],[Category and Sub-Category]])-FIND("/",Table1[[#This Row],[Category and Sub-Category]]))</f>
        <v>small batch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 s="12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>((Table1[[#This Row],[deadline]]/60)/60/24)+DATE(1970,1,1)</f>
        <v>41973.184201388889</v>
      </c>
      <c r="K2451">
        <v>1414725915</v>
      </c>
      <c r="L2451" s="11">
        <f>((Table1[[#This Row],[launched_at]]/60)/60/24)+DATE(1970,1,1)</f>
        <v>41943.142534722225</v>
      </c>
      <c r="M2451">
        <f>MONTH(Table1[[#This Row],[Date Created Conversion]])</f>
        <v>10</v>
      </c>
      <c r="N2451">
        <f>YEAR(Table1[[#This Row],[Date Created Conversion]])</f>
        <v>2014</v>
      </c>
      <c r="O2451" t="b">
        <v>0</v>
      </c>
      <c r="P2451">
        <v>120</v>
      </c>
      <c r="Q2451" t="b">
        <v>1</v>
      </c>
      <c r="R2451" t="s">
        <v>8298</v>
      </c>
      <c r="S2451" s="6">
        <f>Table1[[#This Row],[pledged]]/Table1[[#This Row],[goal]]</f>
        <v>1.08</v>
      </c>
      <c r="T2451" s="8">
        <f>IF(Table1[[#This Row],[pledged]]=0,"no backers",Table1[[#This Row],[pledged]]/Table1[[#This Row],[backers_count]])</f>
        <v>90</v>
      </c>
      <c r="U2451" t="str">
        <f>LEFT(Table1[[#This Row],[Category and Sub-Category]],FIND("/",Table1[[#This Row],[Category and Sub-Category]])-1)</f>
        <v>food</v>
      </c>
      <c r="V2451" t="str">
        <f>RIGHT(Table1[[#This Row],[Category and Sub-Category]],LEN(Table1[[#This Row],[Category and Sub-Category]])-FIND("/",Table1[[#This Row],[Category and Sub-Category]]))</f>
        <v>small batch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 s="1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>((Table1[[#This Row],[deadline]]/60)/60/24)+DATE(1970,1,1)</f>
        <v>41940.132638888892</v>
      </c>
      <c r="K2452">
        <v>1411177456</v>
      </c>
      <c r="L2452" s="11">
        <f>((Table1[[#This Row],[launched_at]]/60)/60/24)+DATE(1970,1,1)</f>
        <v>41902.07240740741</v>
      </c>
      <c r="M2452">
        <f>MONTH(Table1[[#This Row],[Date Created Conversion]])</f>
        <v>9</v>
      </c>
      <c r="N2452">
        <f>YEAR(Table1[[#This Row],[Date Created Conversion]])</f>
        <v>2014</v>
      </c>
      <c r="O2452" t="b">
        <v>0</v>
      </c>
      <c r="P2452">
        <v>102</v>
      </c>
      <c r="Q2452" t="b">
        <v>1</v>
      </c>
      <c r="R2452" t="s">
        <v>8298</v>
      </c>
      <c r="S2452" s="6">
        <f>Table1[[#This Row],[pledged]]/Table1[[#This Row],[goal]]</f>
        <v>1.0153353333333335</v>
      </c>
      <c r="T2452" s="8">
        <f>IF(Table1[[#This Row],[pledged]]=0,"no backers",Table1[[#This Row],[pledged]]/Table1[[#This Row],[backers_count]])</f>
        <v>149.31401960784314</v>
      </c>
      <c r="U2452" t="str">
        <f>LEFT(Table1[[#This Row],[Category and Sub-Category]],FIND("/",Table1[[#This Row],[Category and Sub-Category]])-1)</f>
        <v>food</v>
      </c>
      <c r="V2452" t="str">
        <f>RIGHT(Table1[[#This Row],[Category and Sub-Category]],LEN(Table1[[#This Row],[Category and Sub-Category]])-FIND("/",Table1[[#This Row],[Category and Sub-Category]]))</f>
        <v>small batch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 s="12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>((Table1[[#This Row],[deadline]]/60)/60/24)+DATE(1970,1,1)</f>
        <v>42799.908449074079</v>
      </c>
      <c r="K2453">
        <v>1487022490</v>
      </c>
      <c r="L2453" s="11">
        <f>((Table1[[#This Row],[launched_at]]/60)/60/24)+DATE(1970,1,1)</f>
        <v>42779.908449074079</v>
      </c>
      <c r="M2453">
        <f>MONTH(Table1[[#This Row],[Date Created Conversion]])</f>
        <v>2</v>
      </c>
      <c r="N2453">
        <f>YEAR(Table1[[#This Row],[Date Created Conversion]])</f>
        <v>2017</v>
      </c>
      <c r="O2453" t="b">
        <v>0</v>
      </c>
      <c r="P2453">
        <v>186</v>
      </c>
      <c r="Q2453" t="b">
        <v>1</v>
      </c>
      <c r="R2453" t="s">
        <v>8298</v>
      </c>
      <c r="S2453" s="6">
        <f>Table1[[#This Row],[pledged]]/Table1[[#This Row],[goal]]</f>
        <v>1.1545000000000001</v>
      </c>
      <c r="T2453" s="8">
        <f>IF(Table1[[#This Row],[pledged]]=0,"no backers",Table1[[#This Row],[pledged]]/Table1[[#This Row],[backers_count]])</f>
        <v>62.06989247311828</v>
      </c>
      <c r="U2453" t="str">
        <f>LEFT(Table1[[#This Row],[Category and Sub-Category]],FIND("/",Table1[[#This Row],[Category and Sub-Category]])-1)</f>
        <v>food</v>
      </c>
      <c r="V2453" t="str">
        <f>RIGHT(Table1[[#This Row],[Category and Sub-Category]],LEN(Table1[[#This Row],[Category and Sub-Category]])-FIND("/",Table1[[#This Row],[Category and Sub-Category]]))</f>
        <v>small batch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 s="12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>((Table1[[#This Row],[deadline]]/60)/60/24)+DATE(1970,1,1)</f>
        <v>42367.958333333328</v>
      </c>
      <c r="K2454">
        <v>1448914500</v>
      </c>
      <c r="L2454" s="11">
        <f>((Table1[[#This Row],[launched_at]]/60)/60/24)+DATE(1970,1,1)</f>
        <v>42338.84375</v>
      </c>
      <c r="M2454">
        <f>MONTH(Table1[[#This Row],[Date Created Conversion]])</f>
        <v>11</v>
      </c>
      <c r="N2454">
        <f>YEAR(Table1[[#This Row],[Date Created Conversion]])</f>
        <v>2015</v>
      </c>
      <c r="O2454" t="b">
        <v>0</v>
      </c>
      <c r="P2454">
        <v>15</v>
      </c>
      <c r="Q2454" t="b">
        <v>1</v>
      </c>
      <c r="R2454" t="s">
        <v>8298</v>
      </c>
      <c r="S2454" s="6">
        <f>Table1[[#This Row],[pledged]]/Table1[[#This Row],[goal]]</f>
        <v>1.335</v>
      </c>
      <c r="T2454" s="8">
        <f>IF(Table1[[#This Row],[pledged]]=0,"no backers",Table1[[#This Row],[pledged]]/Table1[[#This Row],[backers_count]])</f>
        <v>53.4</v>
      </c>
      <c r="U2454" t="str">
        <f>LEFT(Table1[[#This Row],[Category and Sub-Category]],FIND("/",Table1[[#This Row],[Category and Sub-Category]])-1)</f>
        <v>food</v>
      </c>
      <c r="V2454" t="str">
        <f>RIGHT(Table1[[#This Row],[Category and Sub-Category]],LEN(Table1[[#This Row],[Category and Sub-Category]])-FIND("/",Table1[[#This Row],[Category and Sub-Category]]))</f>
        <v>small batch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 s="12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>((Table1[[#This Row],[deadline]]/60)/60/24)+DATE(1970,1,1)</f>
        <v>42768.692233796297</v>
      </c>
      <c r="K2455">
        <v>1483461409</v>
      </c>
      <c r="L2455" s="11">
        <f>((Table1[[#This Row],[launched_at]]/60)/60/24)+DATE(1970,1,1)</f>
        <v>42738.692233796297</v>
      </c>
      <c r="M2455">
        <f>MONTH(Table1[[#This Row],[Date Created Conversion]])</f>
        <v>1</v>
      </c>
      <c r="N2455">
        <f>YEAR(Table1[[#This Row],[Date Created Conversion]])</f>
        <v>2017</v>
      </c>
      <c r="O2455" t="b">
        <v>0</v>
      </c>
      <c r="P2455">
        <v>67</v>
      </c>
      <c r="Q2455" t="b">
        <v>1</v>
      </c>
      <c r="R2455" t="s">
        <v>8298</v>
      </c>
      <c r="S2455" s="6">
        <f>Table1[[#This Row],[pledged]]/Table1[[#This Row],[goal]]</f>
        <v>1.5469999999999999</v>
      </c>
      <c r="T2455" s="8">
        <f>IF(Table1[[#This Row],[pledged]]=0,"no backers",Table1[[#This Row],[pledged]]/Table1[[#This Row],[backers_count]])</f>
        <v>69.268656716417908</v>
      </c>
      <c r="U2455" t="str">
        <f>LEFT(Table1[[#This Row],[Category and Sub-Category]],FIND("/",Table1[[#This Row],[Category and Sub-Category]])-1)</f>
        <v>food</v>
      </c>
      <c r="V2455" t="str">
        <f>RIGHT(Table1[[#This Row],[Category and Sub-Category]],LEN(Table1[[#This Row],[Category and Sub-Category]])-FIND("/",Table1[[#This Row],[Category and Sub-Category]]))</f>
        <v>small batch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 s="12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>((Table1[[#This Row],[deadline]]/60)/60/24)+DATE(1970,1,1)</f>
        <v>42805.201481481476</v>
      </c>
      <c r="K2456">
        <v>1486183808</v>
      </c>
      <c r="L2456" s="11">
        <f>((Table1[[#This Row],[launched_at]]/60)/60/24)+DATE(1970,1,1)</f>
        <v>42770.201481481476</v>
      </c>
      <c r="M2456">
        <f>MONTH(Table1[[#This Row],[Date Created Conversion]])</f>
        <v>2</v>
      </c>
      <c r="N2456">
        <f>YEAR(Table1[[#This Row],[Date Created Conversion]])</f>
        <v>2017</v>
      </c>
      <c r="O2456" t="b">
        <v>0</v>
      </c>
      <c r="P2456">
        <v>130</v>
      </c>
      <c r="Q2456" t="b">
        <v>1</v>
      </c>
      <c r="R2456" t="s">
        <v>8298</v>
      </c>
      <c r="S2456" s="6">
        <f>Table1[[#This Row],[pledged]]/Table1[[#This Row],[goal]]</f>
        <v>1.0084571428571429</v>
      </c>
      <c r="T2456" s="8">
        <f>IF(Table1[[#This Row],[pledged]]=0,"no backers",Table1[[#This Row],[pledged]]/Table1[[#This Row],[backers_count]])</f>
        <v>271.50769230769231</v>
      </c>
      <c r="U2456" t="str">
        <f>LEFT(Table1[[#This Row],[Category and Sub-Category]],FIND("/",Table1[[#This Row],[Category and Sub-Category]])-1)</f>
        <v>food</v>
      </c>
      <c r="V2456" t="str">
        <f>RIGHT(Table1[[#This Row],[Category and Sub-Category]],LEN(Table1[[#This Row],[Category and Sub-Category]])-FIND("/",Table1[[#This Row],[Category and Sub-Category]]))</f>
        <v>small batch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 s="12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>((Table1[[#This Row],[deadline]]/60)/60/24)+DATE(1970,1,1)</f>
        <v>42480.781828703708</v>
      </c>
      <c r="K2457">
        <v>1458758750</v>
      </c>
      <c r="L2457" s="11">
        <f>((Table1[[#This Row],[launched_at]]/60)/60/24)+DATE(1970,1,1)</f>
        <v>42452.781828703708</v>
      </c>
      <c r="M2457">
        <f>MONTH(Table1[[#This Row],[Date Created Conversion]])</f>
        <v>3</v>
      </c>
      <c r="N2457">
        <f>YEAR(Table1[[#This Row],[Date Created Conversion]])</f>
        <v>2016</v>
      </c>
      <c r="O2457" t="b">
        <v>0</v>
      </c>
      <c r="P2457">
        <v>16</v>
      </c>
      <c r="Q2457" t="b">
        <v>1</v>
      </c>
      <c r="R2457" t="s">
        <v>8298</v>
      </c>
      <c r="S2457" s="6">
        <f>Table1[[#This Row],[pledged]]/Table1[[#This Row],[goal]]</f>
        <v>1.82</v>
      </c>
      <c r="T2457" s="8">
        <f>IF(Table1[[#This Row],[pledged]]=0,"no backers",Table1[[#This Row],[pledged]]/Table1[[#This Row],[backers_count]])</f>
        <v>34.125</v>
      </c>
      <c r="U2457" t="str">
        <f>LEFT(Table1[[#This Row],[Category and Sub-Category]],FIND("/",Table1[[#This Row],[Category and Sub-Category]])-1)</f>
        <v>food</v>
      </c>
      <c r="V2457" t="str">
        <f>RIGHT(Table1[[#This Row],[Category and Sub-Category]],LEN(Table1[[#This Row],[Category and Sub-Category]])-FIND("/",Table1[[#This Row],[Category and Sub-Category]]))</f>
        <v>small batch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 s="12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>((Table1[[#This Row],[deadline]]/60)/60/24)+DATE(1970,1,1)</f>
        <v>42791.961099537039</v>
      </c>
      <c r="K2458">
        <v>1485471839</v>
      </c>
      <c r="L2458" s="11">
        <f>((Table1[[#This Row],[launched_at]]/60)/60/24)+DATE(1970,1,1)</f>
        <v>42761.961099537039</v>
      </c>
      <c r="M2458">
        <f>MONTH(Table1[[#This Row],[Date Created Conversion]])</f>
        <v>1</v>
      </c>
      <c r="N2458">
        <f>YEAR(Table1[[#This Row],[Date Created Conversion]])</f>
        <v>2017</v>
      </c>
      <c r="O2458" t="b">
        <v>0</v>
      </c>
      <c r="P2458">
        <v>67</v>
      </c>
      <c r="Q2458" t="b">
        <v>1</v>
      </c>
      <c r="R2458" t="s">
        <v>8298</v>
      </c>
      <c r="S2458" s="6">
        <f>Table1[[#This Row],[pledged]]/Table1[[#This Row],[goal]]</f>
        <v>1.8086666666666666</v>
      </c>
      <c r="T2458" s="8">
        <f>IF(Table1[[#This Row],[pledged]]=0,"no backers",Table1[[#This Row],[pledged]]/Table1[[#This Row],[backers_count]])</f>
        <v>40.492537313432834</v>
      </c>
      <c r="U2458" t="str">
        <f>LEFT(Table1[[#This Row],[Category and Sub-Category]],FIND("/",Table1[[#This Row],[Category and Sub-Category]])-1)</f>
        <v>food</v>
      </c>
      <c r="V2458" t="str">
        <f>RIGHT(Table1[[#This Row],[Category and Sub-Category]],LEN(Table1[[#This Row],[Category and Sub-Category]])-FIND("/",Table1[[#This Row],[Category and Sub-Category]]))</f>
        <v>small batch</v>
      </c>
    </row>
    <row r="2459" spans="1:22" ht="43.2" x14ac:dyDescent="0.3">
      <c r="A2459">
        <v>2457</v>
      </c>
      <c r="B2459" s="3" t="s">
        <v>2458</v>
      </c>
      <c r="C2459" s="3" t="s">
        <v>6567</v>
      </c>
      <c r="D2459" s="12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>((Table1[[#This Row],[deadline]]/60)/60/24)+DATE(1970,1,1)</f>
        <v>42453.560833333337</v>
      </c>
      <c r="K2459">
        <v>1456237656</v>
      </c>
      <c r="L2459" s="11">
        <f>((Table1[[#This Row],[launched_at]]/60)/60/24)+DATE(1970,1,1)</f>
        <v>42423.602500000001</v>
      </c>
      <c r="M2459">
        <f>MONTH(Table1[[#This Row],[Date Created Conversion]])</f>
        <v>2</v>
      </c>
      <c r="N2459">
        <f>YEAR(Table1[[#This Row],[Date Created Conversion]])</f>
        <v>2016</v>
      </c>
      <c r="O2459" t="b">
        <v>0</v>
      </c>
      <c r="P2459">
        <v>124</v>
      </c>
      <c r="Q2459" t="b">
        <v>1</v>
      </c>
      <c r="R2459" t="s">
        <v>8298</v>
      </c>
      <c r="S2459" s="6">
        <f>Table1[[#This Row],[pledged]]/Table1[[#This Row],[goal]]</f>
        <v>1.0230434782608695</v>
      </c>
      <c r="T2459" s="8">
        <f>IF(Table1[[#This Row],[pledged]]=0,"no backers",Table1[[#This Row],[pledged]]/Table1[[#This Row],[backers_count]])</f>
        <v>189.75806451612902</v>
      </c>
      <c r="U2459" t="str">
        <f>LEFT(Table1[[#This Row],[Category and Sub-Category]],FIND("/",Table1[[#This Row],[Category and Sub-Category]])-1)</f>
        <v>food</v>
      </c>
      <c r="V2459" t="str">
        <f>RIGHT(Table1[[#This Row],[Category and Sub-Category]],LEN(Table1[[#This Row],[Category and Sub-Category]])-FIND("/",Table1[[#This Row],[Category and Sub-Category]]))</f>
        <v>small batch</v>
      </c>
    </row>
    <row r="2460" spans="1:22" ht="57.6" x14ac:dyDescent="0.3">
      <c r="A2460">
        <v>2458</v>
      </c>
      <c r="B2460" s="3" t="s">
        <v>2459</v>
      </c>
      <c r="C2460" s="3" t="s">
        <v>6568</v>
      </c>
      <c r="D2460" s="12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>((Table1[[#This Row],[deadline]]/60)/60/24)+DATE(1970,1,1)</f>
        <v>42530.791666666672</v>
      </c>
      <c r="K2460">
        <v>1462481718</v>
      </c>
      <c r="L2460" s="11">
        <f>((Table1[[#This Row],[launched_at]]/60)/60/24)+DATE(1970,1,1)</f>
        <v>42495.871736111112</v>
      </c>
      <c r="M2460">
        <f>MONTH(Table1[[#This Row],[Date Created Conversion]])</f>
        <v>5</v>
      </c>
      <c r="N2460">
        <f>YEAR(Table1[[#This Row],[Date Created Conversion]])</f>
        <v>2016</v>
      </c>
      <c r="O2460" t="b">
        <v>0</v>
      </c>
      <c r="P2460">
        <v>80</v>
      </c>
      <c r="Q2460" t="b">
        <v>1</v>
      </c>
      <c r="R2460" t="s">
        <v>8298</v>
      </c>
      <c r="S2460" s="6">
        <f>Table1[[#This Row],[pledged]]/Table1[[#This Row],[goal]]</f>
        <v>1.1017999999999999</v>
      </c>
      <c r="T2460" s="8">
        <f>IF(Table1[[#This Row],[pledged]]=0,"no backers",Table1[[#This Row],[pledged]]/Table1[[#This Row],[backers_count]])</f>
        <v>68.862499999999997</v>
      </c>
      <c r="U2460" t="str">
        <f>LEFT(Table1[[#This Row],[Category and Sub-Category]],FIND("/",Table1[[#This Row],[Category and Sub-Category]])-1)</f>
        <v>food</v>
      </c>
      <c r="V2460" t="str">
        <f>RIGHT(Table1[[#This Row],[Category and Sub-Category]],LEN(Table1[[#This Row],[Category and Sub-Category]])-FIND("/",Table1[[#This Row],[Category and Sub-Category]]))</f>
        <v>small batch</v>
      </c>
    </row>
    <row r="2461" spans="1:22" ht="57.6" x14ac:dyDescent="0.3">
      <c r="A2461">
        <v>2459</v>
      </c>
      <c r="B2461" s="3" t="s">
        <v>2460</v>
      </c>
      <c r="C2461" s="3" t="s">
        <v>6569</v>
      </c>
      <c r="D2461" s="12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>((Table1[[#This Row],[deadline]]/60)/60/24)+DATE(1970,1,1)</f>
        <v>42452.595891203702</v>
      </c>
      <c r="K2461">
        <v>1454858285</v>
      </c>
      <c r="L2461" s="11">
        <f>((Table1[[#This Row],[launched_at]]/60)/60/24)+DATE(1970,1,1)</f>
        <v>42407.637557870374</v>
      </c>
      <c r="M2461">
        <f>MONTH(Table1[[#This Row],[Date Created Conversion]])</f>
        <v>2</v>
      </c>
      <c r="N2461">
        <f>YEAR(Table1[[#This Row],[Date Created Conversion]])</f>
        <v>2016</v>
      </c>
      <c r="O2461" t="b">
        <v>0</v>
      </c>
      <c r="P2461">
        <v>282</v>
      </c>
      <c r="Q2461" t="b">
        <v>1</v>
      </c>
      <c r="R2461" t="s">
        <v>8298</v>
      </c>
      <c r="S2461" s="6">
        <f>Table1[[#This Row],[pledged]]/Table1[[#This Row],[goal]]</f>
        <v>1.0225</v>
      </c>
      <c r="T2461" s="8">
        <f>IF(Table1[[#This Row],[pledged]]=0,"no backers",Table1[[#This Row],[pledged]]/Table1[[#This Row],[backers_count]])</f>
        <v>108.77659574468085</v>
      </c>
      <c r="U2461" t="str">
        <f>LEFT(Table1[[#This Row],[Category and Sub-Category]],FIND("/",Table1[[#This Row],[Category and Sub-Category]])-1)</f>
        <v>food</v>
      </c>
      <c r="V2461" t="str">
        <f>RIGHT(Table1[[#This Row],[Category and Sub-Category]],LEN(Table1[[#This Row],[Category and Sub-Category]])-FIND("/",Table1[[#This Row],[Category and Sub-Category]]))</f>
        <v>small batch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 s="1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>((Table1[[#This Row],[deadline]]/60)/60/24)+DATE(1970,1,1)</f>
        <v>42738.178472222222</v>
      </c>
      <c r="K2462">
        <v>1480480167</v>
      </c>
      <c r="L2462" s="11">
        <f>((Table1[[#This Row],[launched_at]]/60)/60/24)+DATE(1970,1,1)</f>
        <v>42704.187118055561</v>
      </c>
      <c r="M2462">
        <f>MONTH(Table1[[#This Row],[Date Created Conversion]])</f>
        <v>11</v>
      </c>
      <c r="N2462">
        <f>YEAR(Table1[[#This Row],[Date Created Conversion]])</f>
        <v>2016</v>
      </c>
      <c r="O2462" t="b">
        <v>0</v>
      </c>
      <c r="P2462">
        <v>68</v>
      </c>
      <c r="Q2462" t="b">
        <v>1</v>
      </c>
      <c r="R2462" t="s">
        <v>8298</v>
      </c>
      <c r="S2462" s="6">
        <f>Table1[[#This Row],[pledged]]/Table1[[#This Row],[goal]]</f>
        <v>1.0078823529411765</v>
      </c>
      <c r="T2462" s="8">
        <f>IF(Table1[[#This Row],[pledged]]=0,"no backers",Table1[[#This Row],[pledged]]/Table1[[#This Row],[backers_count]])</f>
        <v>125.98529411764706</v>
      </c>
      <c r="U2462" t="str">
        <f>LEFT(Table1[[#This Row],[Category and Sub-Category]],FIND("/",Table1[[#This Row],[Category and Sub-Category]])-1)</f>
        <v>food</v>
      </c>
      <c r="V2462" t="str">
        <f>RIGHT(Table1[[#This Row],[Category and Sub-Category]],LEN(Table1[[#This Row],[Category and Sub-Category]])-FIND("/",Table1[[#This Row],[Category and Sub-Category]]))</f>
        <v>small batch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 s="12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>((Table1[[#This Row],[deadline]]/60)/60/24)+DATE(1970,1,1)</f>
        <v>40817.125</v>
      </c>
      <c r="K2463">
        <v>1314577097</v>
      </c>
      <c r="L2463" s="11">
        <f>((Table1[[#This Row],[launched_at]]/60)/60/24)+DATE(1970,1,1)</f>
        <v>40784.012696759259</v>
      </c>
      <c r="M2463">
        <f>MONTH(Table1[[#This Row],[Date Created Conversion]])</f>
        <v>8</v>
      </c>
      <c r="N2463">
        <f>YEAR(Table1[[#This Row],[Date Created Conversion]])</f>
        <v>2011</v>
      </c>
      <c r="O2463" t="b">
        <v>0</v>
      </c>
      <c r="P2463">
        <v>86</v>
      </c>
      <c r="Q2463" t="b">
        <v>1</v>
      </c>
      <c r="R2463" t="s">
        <v>8279</v>
      </c>
      <c r="S2463" s="6">
        <f>Table1[[#This Row],[pledged]]/Table1[[#This Row],[goal]]</f>
        <v>1.038</v>
      </c>
      <c r="T2463" s="8">
        <f>IF(Table1[[#This Row],[pledged]]=0,"no backers",Table1[[#This Row],[pledged]]/Table1[[#This Row],[backers_count]])</f>
        <v>90.523255813953483</v>
      </c>
      <c r="U2463" t="str">
        <f>LEFT(Table1[[#This Row],[Category and Sub-Category]],FIND("/",Table1[[#This Row],[Category and Sub-Category]])-1)</f>
        <v>music</v>
      </c>
      <c r="V2463" t="str">
        <f>RIGHT(Table1[[#This Row],[Category and Sub-Category]],LEN(Table1[[#This Row],[Category and Sub-Category]])-FIND("/",Table1[[#This Row],[Category and Sub-Category]]))</f>
        <v>indie rock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 s="12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>((Table1[[#This Row],[deadline]]/60)/60/24)+DATE(1970,1,1)</f>
        <v>41109.186296296299</v>
      </c>
      <c r="K2464">
        <v>1340944096</v>
      </c>
      <c r="L2464" s="11">
        <f>((Table1[[#This Row],[launched_at]]/60)/60/24)+DATE(1970,1,1)</f>
        <v>41089.186296296299</v>
      </c>
      <c r="M2464">
        <f>MONTH(Table1[[#This Row],[Date Created Conversion]])</f>
        <v>6</v>
      </c>
      <c r="N2464">
        <f>YEAR(Table1[[#This Row],[Date Created Conversion]])</f>
        <v>2012</v>
      </c>
      <c r="O2464" t="b">
        <v>0</v>
      </c>
      <c r="P2464">
        <v>115</v>
      </c>
      <c r="Q2464" t="b">
        <v>1</v>
      </c>
      <c r="R2464" t="s">
        <v>8279</v>
      </c>
      <c r="S2464" s="6">
        <f>Table1[[#This Row],[pledged]]/Table1[[#This Row],[goal]]</f>
        <v>1.1070833333333334</v>
      </c>
      <c r="T2464" s="8">
        <f>IF(Table1[[#This Row],[pledged]]=0,"no backers",Table1[[#This Row],[pledged]]/Table1[[#This Row],[backers_count]])</f>
        <v>28.880434782608695</v>
      </c>
      <c r="U2464" t="str">
        <f>LEFT(Table1[[#This Row],[Category and Sub-Category]],FIND("/",Table1[[#This Row],[Category and Sub-Category]])-1)</f>
        <v>music</v>
      </c>
      <c r="V2464" t="str">
        <f>RIGHT(Table1[[#This Row],[Category and Sub-Category]],LEN(Table1[[#This Row],[Category and Sub-Category]])-FIND("/",Table1[[#This Row],[Category and Sub-Category]]))</f>
        <v>indie rock</v>
      </c>
    </row>
    <row r="2465" spans="1:22" x14ac:dyDescent="0.3">
      <c r="A2465">
        <v>2463</v>
      </c>
      <c r="B2465" s="3" t="s">
        <v>2464</v>
      </c>
      <c r="C2465" s="3" t="s">
        <v>6573</v>
      </c>
      <c r="D2465" s="12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>((Table1[[#This Row],[deadline]]/60)/60/24)+DATE(1970,1,1)</f>
        <v>41380.791666666664</v>
      </c>
      <c r="K2465">
        <v>1362710425</v>
      </c>
      <c r="L2465" s="11">
        <f>((Table1[[#This Row],[launched_at]]/60)/60/24)+DATE(1970,1,1)</f>
        <v>41341.111400462964</v>
      </c>
      <c r="M2465">
        <f>MONTH(Table1[[#This Row],[Date Created Conversion]])</f>
        <v>3</v>
      </c>
      <c r="N2465">
        <f>YEAR(Table1[[#This Row],[Date Created Conversion]])</f>
        <v>2013</v>
      </c>
      <c r="O2465" t="b">
        <v>0</v>
      </c>
      <c r="P2465">
        <v>75</v>
      </c>
      <c r="Q2465" t="b">
        <v>1</v>
      </c>
      <c r="R2465" t="s">
        <v>8279</v>
      </c>
      <c r="S2465" s="6">
        <f>Table1[[#This Row],[pledged]]/Table1[[#This Row],[goal]]</f>
        <v>1.1625000000000001</v>
      </c>
      <c r="T2465" s="8">
        <f>IF(Table1[[#This Row],[pledged]]=0,"no backers",Table1[[#This Row],[pledged]]/Table1[[#This Row],[backers_count]])</f>
        <v>31</v>
      </c>
      <c r="U2465" t="str">
        <f>LEFT(Table1[[#This Row],[Category and Sub-Category]],FIND("/",Table1[[#This Row],[Category and Sub-Category]])-1)</f>
        <v>music</v>
      </c>
      <c r="V2465" t="str">
        <f>RIGHT(Table1[[#This Row],[Category and Sub-Category]],LEN(Table1[[#This Row],[Category and Sub-Category]])-FIND("/",Table1[[#This Row],[Category and Sub-Category]]))</f>
        <v>indie rock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 s="12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>((Table1[[#This Row],[deadline]]/60)/60/24)+DATE(1970,1,1)</f>
        <v>42277.811805555553</v>
      </c>
      <c r="K2466">
        <v>1441143397</v>
      </c>
      <c r="L2466" s="11">
        <f>((Table1[[#This Row],[launched_at]]/60)/60/24)+DATE(1970,1,1)</f>
        <v>42248.90042824074</v>
      </c>
      <c r="M2466">
        <f>MONTH(Table1[[#This Row],[Date Created Conversion]])</f>
        <v>9</v>
      </c>
      <c r="N2466">
        <f>YEAR(Table1[[#This Row],[Date Created Conversion]])</f>
        <v>2015</v>
      </c>
      <c r="O2466" t="b">
        <v>0</v>
      </c>
      <c r="P2466">
        <v>43</v>
      </c>
      <c r="Q2466" t="b">
        <v>1</v>
      </c>
      <c r="R2466" t="s">
        <v>8279</v>
      </c>
      <c r="S2466" s="6">
        <f>Table1[[#This Row],[pledged]]/Table1[[#This Row],[goal]]</f>
        <v>1.111</v>
      </c>
      <c r="T2466" s="8">
        <f>IF(Table1[[#This Row],[pledged]]=0,"no backers",Table1[[#This Row],[pledged]]/Table1[[#This Row],[backers_count]])</f>
        <v>51.674418604651166</v>
      </c>
      <c r="U2466" t="str">
        <f>LEFT(Table1[[#This Row],[Category and Sub-Category]],FIND("/",Table1[[#This Row],[Category and Sub-Category]])-1)</f>
        <v>music</v>
      </c>
      <c r="V2466" t="str">
        <f>RIGHT(Table1[[#This Row],[Category and Sub-Category]],LEN(Table1[[#This Row],[Category and Sub-Category]])-FIND("/",Table1[[#This Row],[Category and Sub-Category]]))</f>
        <v>indie rock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 s="12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>((Table1[[#This Row],[deadline]]/60)/60/24)+DATE(1970,1,1)</f>
        <v>41175.719305555554</v>
      </c>
      <c r="K2467">
        <v>1345828548</v>
      </c>
      <c r="L2467" s="11">
        <f>((Table1[[#This Row],[launched_at]]/60)/60/24)+DATE(1970,1,1)</f>
        <v>41145.719305555554</v>
      </c>
      <c r="M2467">
        <f>MONTH(Table1[[#This Row],[Date Created Conversion]])</f>
        <v>8</v>
      </c>
      <c r="N2467">
        <f>YEAR(Table1[[#This Row],[Date Created Conversion]])</f>
        <v>2012</v>
      </c>
      <c r="O2467" t="b">
        <v>0</v>
      </c>
      <c r="P2467">
        <v>48</v>
      </c>
      <c r="Q2467" t="b">
        <v>1</v>
      </c>
      <c r="R2467" t="s">
        <v>8279</v>
      </c>
      <c r="S2467" s="6">
        <f>Table1[[#This Row],[pledged]]/Table1[[#This Row],[goal]]</f>
        <v>1.8014285714285714</v>
      </c>
      <c r="T2467" s="8">
        <f>IF(Table1[[#This Row],[pledged]]=0,"no backers",Table1[[#This Row],[pledged]]/Table1[[#This Row],[backers_count]])</f>
        <v>26.270833333333332</v>
      </c>
      <c r="U2467" t="str">
        <f>LEFT(Table1[[#This Row],[Category and Sub-Category]],FIND("/",Table1[[#This Row],[Category and Sub-Category]])-1)</f>
        <v>music</v>
      </c>
      <c r="V2467" t="str">
        <f>RIGHT(Table1[[#This Row],[Category and Sub-Category]],LEN(Table1[[#This Row],[Category and Sub-Category]])-FIND("/",Table1[[#This Row],[Category and Sub-Category]]))</f>
        <v>indie rock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 s="12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>((Table1[[#This Row],[deadline]]/60)/60/24)+DATE(1970,1,1)</f>
        <v>41403.102465277778</v>
      </c>
      <c r="K2468">
        <v>1365474453</v>
      </c>
      <c r="L2468" s="11">
        <f>((Table1[[#This Row],[launched_at]]/60)/60/24)+DATE(1970,1,1)</f>
        <v>41373.102465277778</v>
      </c>
      <c r="M2468">
        <f>MONTH(Table1[[#This Row],[Date Created Conversion]])</f>
        <v>4</v>
      </c>
      <c r="N2468">
        <f>YEAR(Table1[[#This Row],[Date Created Conversion]])</f>
        <v>2013</v>
      </c>
      <c r="O2468" t="b">
        <v>0</v>
      </c>
      <c r="P2468">
        <v>52</v>
      </c>
      <c r="Q2468" t="b">
        <v>1</v>
      </c>
      <c r="R2468" t="s">
        <v>8279</v>
      </c>
      <c r="S2468" s="6">
        <f>Table1[[#This Row],[pledged]]/Table1[[#This Row],[goal]]</f>
        <v>1</v>
      </c>
      <c r="T2468" s="8">
        <f>IF(Table1[[#This Row],[pledged]]=0,"no backers",Table1[[#This Row],[pledged]]/Table1[[#This Row],[backers_count]])</f>
        <v>48.07692307692308</v>
      </c>
      <c r="U2468" t="str">
        <f>LEFT(Table1[[#This Row],[Category and Sub-Category]],FIND("/",Table1[[#This Row],[Category and Sub-Category]])-1)</f>
        <v>music</v>
      </c>
      <c r="V2468" t="str">
        <f>RIGHT(Table1[[#This Row],[Category and Sub-Category]],LEN(Table1[[#This Row],[Category and Sub-Category]])-FIND("/",Table1[[#This Row],[Category and Sub-Category]]))</f>
        <v>indie rock</v>
      </c>
    </row>
    <row r="2469" spans="1:22" ht="43.2" x14ac:dyDescent="0.3">
      <c r="A2469">
        <v>2467</v>
      </c>
      <c r="B2469" s="3" t="s">
        <v>2468</v>
      </c>
      <c r="C2469" s="3" t="s">
        <v>6577</v>
      </c>
      <c r="D2469" s="12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>((Table1[[#This Row],[deadline]]/60)/60/24)+DATE(1970,1,1)</f>
        <v>41039.708333333336</v>
      </c>
      <c r="K2469">
        <v>1335473931</v>
      </c>
      <c r="L2469" s="11">
        <f>((Table1[[#This Row],[launched_at]]/60)/60/24)+DATE(1970,1,1)</f>
        <v>41025.874201388891</v>
      </c>
      <c r="M2469">
        <f>MONTH(Table1[[#This Row],[Date Created Conversion]])</f>
        <v>4</v>
      </c>
      <c r="N2469">
        <f>YEAR(Table1[[#This Row],[Date Created Conversion]])</f>
        <v>2012</v>
      </c>
      <c r="O2469" t="b">
        <v>0</v>
      </c>
      <c r="P2469">
        <v>43</v>
      </c>
      <c r="Q2469" t="b">
        <v>1</v>
      </c>
      <c r="R2469" t="s">
        <v>8279</v>
      </c>
      <c r="S2469" s="6">
        <f>Table1[[#This Row],[pledged]]/Table1[[#This Row],[goal]]</f>
        <v>1.1850000000000001</v>
      </c>
      <c r="T2469" s="8">
        <f>IF(Table1[[#This Row],[pledged]]=0,"no backers",Table1[[#This Row],[pledged]]/Table1[[#This Row],[backers_count]])</f>
        <v>27.558139534883722</v>
      </c>
      <c r="U2469" t="str">
        <f>LEFT(Table1[[#This Row],[Category and Sub-Category]],FIND("/",Table1[[#This Row],[Category and Sub-Category]])-1)</f>
        <v>music</v>
      </c>
      <c r="V2469" t="str">
        <f>RIGHT(Table1[[#This Row],[Category and Sub-Category]],LEN(Table1[[#This Row],[Category and Sub-Category]])-FIND("/",Table1[[#This Row],[Category and Sub-Category]]))</f>
        <v>indie rock</v>
      </c>
    </row>
    <row r="2470" spans="1:22" ht="43.2" x14ac:dyDescent="0.3">
      <c r="A2470">
        <v>2468</v>
      </c>
      <c r="B2470" s="3" t="s">
        <v>2469</v>
      </c>
      <c r="C2470" s="3" t="s">
        <v>6578</v>
      </c>
      <c r="D2470" s="12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>((Table1[[#This Row],[deadline]]/60)/60/24)+DATE(1970,1,1)</f>
        <v>41210.208333333336</v>
      </c>
      <c r="K2470">
        <v>1348285321</v>
      </c>
      <c r="L2470" s="11">
        <f>((Table1[[#This Row],[launched_at]]/60)/60/24)+DATE(1970,1,1)</f>
        <v>41174.154178240737</v>
      </c>
      <c r="M2470">
        <f>MONTH(Table1[[#This Row],[Date Created Conversion]])</f>
        <v>9</v>
      </c>
      <c r="N2470">
        <f>YEAR(Table1[[#This Row],[Date Created Conversion]])</f>
        <v>2012</v>
      </c>
      <c r="O2470" t="b">
        <v>0</v>
      </c>
      <c r="P2470">
        <v>58</v>
      </c>
      <c r="Q2470" t="b">
        <v>1</v>
      </c>
      <c r="R2470" t="s">
        <v>8279</v>
      </c>
      <c r="S2470" s="6">
        <f>Table1[[#This Row],[pledged]]/Table1[[#This Row],[goal]]</f>
        <v>1.0721700000000001</v>
      </c>
      <c r="T2470" s="8">
        <f>IF(Table1[[#This Row],[pledged]]=0,"no backers",Table1[[#This Row],[pledged]]/Table1[[#This Row],[backers_count]])</f>
        <v>36.97137931034483</v>
      </c>
      <c r="U2470" t="str">
        <f>LEFT(Table1[[#This Row],[Category and Sub-Category]],FIND("/",Table1[[#This Row],[Category and Sub-Category]])-1)</f>
        <v>music</v>
      </c>
      <c r="V2470" t="str">
        <f>RIGHT(Table1[[#This Row],[Category and Sub-Category]],LEN(Table1[[#This Row],[Category and Sub-Category]])-FIND("/",Table1[[#This Row],[Category and Sub-Category]]))</f>
        <v>indie rock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 s="12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>((Table1[[#This Row],[deadline]]/60)/60/24)+DATE(1970,1,1)</f>
        <v>40582.429733796293</v>
      </c>
      <c r="K2471">
        <v>1295000329</v>
      </c>
      <c r="L2471" s="11">
        <f>((Table1[[#This Row],[launched_at]]/60)/60/24)+DATE(1970,1,1)</f>
        <v>40557.429733796293</v>
      </c>
      <c r="M2471">
        <f>MONTH(Table1[[#This Row],[Date Created Conversion]])</f>
        <v>1</v>
      </c>
      <c r="N2471">
        <f>YEAR(Table1[[#This Row],[Date Created Conversion]])</f>
        <v>2011</v>
      </c>
      <c r="O2471" t="b">
        <v>0</v>
      </c>
      <c r="P2471">
        <v>47</v>
      </c>
      <c r="Q2471" t="b">
        <v>1</v>
      </c>
      <c r="R2471" t="s">
        <v>8279</v>
      </c>
      <c r="S2471" s="6">
        <f>Table1[[#This Row],[pledged]]/Table1[[#This Row],[goal]]</f>
        <v>1.1366666666666667</v>
      </c>
      <c r="T2471" s="8">
        <f>IF(Table1[[#This Row],[pledged]]=0,"no backers",Table1[[#This Row],[pledged]]/Table1[[#This Row],[backers_count]])</f>
        <v>29.021276595744681</v>
      </c>
      <c r="U2471" t="str">
        <f>LEFT(Table1[[#This Row],[Category and Sub-Category]],FIND("/",Table1[[#This Row],[Category and Sub-Category]])-1)</f>
        <v>music</v>
      </c>
      <c r="V2471" t="str">
        <f>RIGHT(Table1[[#This Row],[Category and Sub-Category]],LEN(Table1[[#This Row],[Category and Sub-Category]])-FIND("/",Table1[[#This Row],[Category and Sub-Category]]))</f>
        <v>indie rock</v>
      </c>
    </row>
    <row r="2472" spans="1:22" ht="43.2" x14ac:dyDescent="0.3">
      <c r="A2472">
        <v>2470</v>
      </c>
      <c r="B2472" s="3" t="s">
        <v>2471</v>
      </c>
      <c r="C2472" s="3" t="s">
        <v>6580</v>
      </c>
      <c r="D2472" s="1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>((Table1[[#This Row],[deadline]]/60)/60/24)+DATE(1970,1,1)</f>
        <v>41053.07471064815</v>
      </c>
      <c r="K2472">
        <v>1335232055</v>
      </c>
      <c r="L2472" s="11">
        <f>((Table1[[#This Row],[launched_at]]/60)/60/24)+DATE(1970,1,1)</f>
        <v>41023.07471064815</v>
      </c>
      <c r="M2472">
        <f>MONTH(Table1[[#This Row],[Date Created Conversion]])</f>
        <v>4</v>
      </c>
      <c r="N2472">
        <f>YEAR(Table1[[#This Row],[Date Created Conversion]])</f>
        <v>2012</v>
      </c>
      <c r="O2472" t="b">
        <v>0</v>
      </c>
      <c r="P2472">
        <v>36</v>
      </c>
      <c r="Q2472" t="b">
        <v>1</v>
      </c>
      <c r="R2472" t="s">
        <v>8279</v>
      </c>
      <c r="S2472" s="6">
        <f>Table1[[#This Row],[pledged]]/Table1[[#This Row],[goal]]</f>
        <v>1.0316400000000001</v>
      </c>
      <c r="T2472" s="8">
        <f>IF(Table1[[#This Row],[pledged]]=0,"no backers",Table1[[#This Row],[pledged]]/Table1[[#This Row],[backers_count]])</f>
        <v>28.65666666666667</v>
      </c>
      <c r="U2472" t="str">
        <f>LEFT(Table1[[#This Row],[Category and Sub-Category]],FIND("/",Table1[[#This Row],[Category and Sub-Category]])-1)</f>
        <v>music</v>
      </c>
      <c r="V2472" t="str">
        <f>RIGHT(Table1[[#This Row],[Category and Sub-Category]],LEN(Table1[[#This Row],[Category and Sub-Category]])-FIND("/",Table1[[#This Row],[Category and Sub-Category]]))</f>
        <v>indie rock</v>
      </c>
    </row>
    <row r="2473" spans="1:22" ht="57.6" x14ac:dyDescent="0.3">
      <c r="A2473">
        <v>2471</v>
      </c>
      <c r="B2473" s="3" t="s">
        <v>2472</v>
      </c>
      <c r="C2473" s="3" t="s">
        <v>6581</v>
      </c>
      <c r="D2473" s="12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>((Table1[[#This Row],[deadline]]/60)/60/24)+DATE(1970,1,1)</f>
        <v>40933.992962962962</v>
      </c>
      <c r="K2473">
        <v>1324079392</v>
      </c>
      <c r="L2473" s="11">
        <f>((Table1[[#This Row],[launched_at]]/60)/60/24)+DATE(1970,1,1)</f>
        <v>40893.992962962962</v>
      </c>
      <c r="M2473">
        <f>MONTH(Table1[[#This Row],[Date Created Conversion]])</f>
        <v>12</v>
      </c>
      <c r="N2473">
        <f>YEAR(Table1[[#This Row],[Date Created Conversion]])</f>
        <v>2011</v>
      </c>
      <c r="O2473" t="b">
        <v>0</v>
      </c>
      <c r="P2473">
        <v>17</v>
      </c>
      <c r="Q2473" t="b">
        <v>1</v>
      </c>
      <c r="R2473" t="s">
        <v>8279</v>
      </c>
      <c r="S2473" s="6">
        <f>Table1[[#This Row],[pledged]]/Table1[[#This Row],[goal]]</f>
        <v>1.28</v>
      </c>
      <c r="T2473" s="8">
        <f>IF(Table1[[#This Row],[pledged]]=0,"no backers",Table1[[#This Row],[pledged]]/Table1[[#This Row],[backers_count]])</f>
        <v>37.647058823529413</v>
      </c>
      <c r="U2473" t="str">
        <f>LEFT(Table1[[#This Row],[Category and Sub-Category]],FIND("/",Table1[[#This Row],[Category and Sub-Category]])-1)</f>
        <v>music</v>
      </c>
      <c r="V2473" t="str">
        <f>RIGHT(Table1[[#This Row],[Category and Sub-Category]],LEN(Table1[[#This Row],[Category and Sub-Category]])-FIND("/",Table1[[#This Row],[Category and Sub-Category]]))</f>
        <v>indie rock</v>
      </c>
    </row>
    <row r="2474" spans="1:22" ht="57.6" x14ac:dyDescent="0.3">
      <c r="A2474">
        <v>2472</v>
      </c>
      <c r="B2474" s="3" t="s">
        <v>2473</v>
      </c>
      <c r="C2474" s="3" t="s">
        <v>6582</v>
      </c>
      <c r="D2474" s="12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>((Table1[[#This Row],[deadline]]/60)/60/24)+DATE(1970,1,1)</f>
        <v>40425.043749999997</v>
      </c>
      <c r="K2474">
        <v>1277433980</v>
      </c>
      <c r="L2474" s="11">
        <f>((Table1[[#This Row],[launched_at]]/60)/60/24)+DATE(1970,1,1)</f>
        <v>40354.11550925926</v>
      </c>
      <c r="M2474">
        <f>MONTH(Table1[[#This Row],[Date Created Conversion]])</f>
        <v>6</v>
      </c>
      <c r="N2474">
        <f>YEAR(Table1[[#This Row],[Date Created Conversion]])</f>
        <v>2010</v>
      </c>
      <c r="O2474" t="b">
        <v>0</v>
      </c>
      <c r="P2474">
        <v>104</v>
      </c>
      <c r="Q2474" t="b">
        <v>1</v>
      </c>
      <c r="R2474" t="s">
        <v>8279</v>
      </c>
      <c r="S2474" s="6">
        <f>Table1[[#This Row],[pledged]]/Table1[[#This Row],[goal]]</f>
        <v>1.3576026666666667</v>
      </c>
      <c r="T2474" s="8">
        <f>IF(Table1[[#This Row],[pledged]]=0,"no backers",Table1[[#This Row],[pledged]]/Table1[[#This Row],[backers_count]])</f>
        <v>97.904038461538462</v>
      </c>
      <c r="U2474" t="str">
        <f>LEFT(Table1[[#This Row],[Category and Sub-Category]],FIND("/",Table1[[#This Row],[Category and Sub-Category]])-1)</f>
        <v>music</v>
      </c>
      <c r="V2474" t="str">
        <f>RIGHT(Table1[[#This Row],[Category and Sub-Category]],LEN(Table1[[#This Row],[Category and Sub-Category]])-FIND("/",Table1[[#This Row],[Category and Sub-Category]]))</f>
        <v>indie rock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 s="12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>((Table1[[#This Row],[deadline]]/60)/60/24)+DATE(1970,1,1)</f>
        <v>41223.790150462963</v>
      </c>
      <c r="K2475">
        <v>1349978269</v>
      </c>
      <c r="L2475" s="11">
        <f>((Table1[[#This Row],[launched_at]]/60)/60/24)+DATE(1970,1,1)</f>
        <v>41193.748483796298</v>
      </c>
      <c r="M2475">
        <f>MONTH(Table1[[#This Row],[Date Created Conversion]])</f>
        <v>10</v>
      </c>
      <c r="N2475">
        <f>YEAR(Table1[[#This Row],[Date Created Conversion]])</f>
        <v>2012</v>
      </c>
      <c r="O2475" t="b">
        <v>0</v>
      </c>
      <c r="P2475">
        <v>47</v>
      </c>
      <c r="Q2475" t="b">
        <v>1</v>
      </c>
      <c r="R2475" t="s">
        <v>8279</v>
      </c>
      <c r="S2475" s="6">
        <f>Table1[[#This Row],[pledged]]/Table1[[#This Row],[goal]]</f>
        <v>1</v>
      </c>
      <c r="T2475" s="8">
        <f>IF(Table1[[#This Row],[pledged]]=0,"no backers",Table1[[#This Row],[pledged]]/Table1[[#This Row],[backers_count]])</f>
        <v>42.553191489361701</v>
      </c>
      <c r="U2475" t="str">
        <f>LEFT(Table1[[#This Row],[Category and Sub-Category]],FIND("/",Table1[[#This Row],[Category and Sub-Category]])-1)</f>
        <v>music</v>
      </c>
      <c r="V2475" t="str">
        <f>RIGHT(Table1[[#This Row],[Category and Sub-Category]],LEN(Table1[[#This Row],[Category and Sub-Category]])-FIND("/",Table1[[#This Row],[Category and Sub-Category]]))</f>
        <v>indie rock</v>
      </c>
    </row>
    <row r="2476" spans="1:22" ht="57.6" x14ac:dyDescent="0.3">
      <c r="A2476">
        <v>2474</v>
      </c>
      <c r="B2476" s="3" t="s">
        <v>2475</v>
      </c>
      <c r="C2476" s="3" t="s">
        <v>6584</v>
      </c>
      <c r="D2476" s="12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>((Table1[[#This Row],[deadline]]/60)/60/24)+DATE(1970,1,1)</f>
        <v>40462.011296296296</v>
      </c>
      <c r="K2476">
        <v>1282868176</v>
      </c>
      <c r="L2476" s="11">
        <f>((Table1[[#This Row],[launched_at]]/60)/60/24)+DATE(1970,1,1)</f>
        <v>40417.011296296296</v>
      </c>
      <c r="M2476">
        <f>MONTH(Table1[[#This Row],[Date Created Conversion]])</f>
        <v>8</v>
      </c>
      <c r="N2476">
        <f>YEAR(Table1[[#This Row],[Date Created Conversion]])</f>
        <v>2010</v>
      </c>
      <c r="O2476" t="b">
        <v>0</v>
      </c>
      <c r="P2476">
        <v>38</v>
      </c>
      <c r="Q2476" t="b">
        <v>1</v>
      </c>
      <c r="R2476" t="s">
        <v>8279</v>
      </c>
      <c r="S2476" s="6">
        <f>Table1[[#This Row],[pledged]]/Table1[[#This Row],[goal]]</f>
        <v>1.0000360000000001</v>
      </c>
      <c r="T2476" s="8">
        <f>IF(Table1[[#This Row],[pledged]]=0,"no backers",Table1[[#This Row],[pledged]]/Table1[[#This Row],[backers_count]])</f>
        <v>131.58368421052631</v>
      </c>
      <c r="U2476" t="str">
        <f>LEFT(Table1[[#This Row],[Category and Sub-Category]],FIND("/",Table1[[#This Row],[Category and Sub-Category]])-1)</f>
        <v>music</v>
      </c>
      <c r="V2476" t="str">
        <f>RIGHT(Table1[[#This Row],[Category and Sub-Category]],LEN(Table1[[#This Row],[Category and Sub-Category]])-FIND("/",Table1[[#This Row],[Category and Sub-Category]]))</f>
        <v>indie rock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 s="12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>((Table1[[#This Row],[deadline]]/60)/60/24)+DATE(1970,1,1)</f>
        <v>40369.916666666664</v>
      </c>
      <c r="K2477">
        <v>1273647255</v>
      </c>
      <c r="L2477" s="11">
        <f>((Table1[[#This Row],[launched_at]]/60)/60/24)+DATE(1970,1,1)</f>
        <v>40310.287673611114</v>
      </c>
      <c r="M2477">
        <f>MONTH(Table1[[#This Row],[Date Created Conversion]])</f>
        <v>5</v>
      </c>
      <c r="N2477">
        <f>YEAR(Table1[[#This Row],[Date Created Conversion]])</f>
        <v>2010</v>
      </c>
      <c r="O2477" t="b">
        <v>0</v>
      </c>
      <c r="P2477">
        <v>81</v>
      </c>
      <c r="Q2477" t="b">
        <v>1</v>
      </c>
      <c r="R2477" t="s">
        <v>8279</v>
      </c>
      <c r="S2477" s="6">
        <f>Table1[[#This Row],[pledged]]/Table1[[#This Row],[goal]]</f>
        <v>1.0471999999999999</v>
      </c>
      <c r="T2477" s="8">
        <f>IF(Table1[[#This Row],[pledged]]=0,"no backers",Table1[[#This Row],[pledged]]/Table1[[#This Row],[backers_count]])</f>
        <v>32.320987654320987</v>
      </c>
      <c r="U2477" t="str">
        <f>LEFT(Table1[[#This Row],[Category and Sub-Category]],FIND("/",Table1[[#This Row],[Category and Sub-Category]])-1)</f>
        <v>music</v>
      </c>
      <c r="V2477" t="str">
        <f>RIGHT(Table1[[#This Row],[Category and Sub-Category]],LEN(Table1[[#This Row],[Category and Sub-Category]])-FIND("/",Table1[[#This Row],[Category and Sub-Category]]))</f>
        <v>indie rock</v>
      </c>
    </row>
    <row r="2478" spans="1:22" ht="43.2" x14ac:dyDescent="0.3">
      <c r="A2478">
        <v>2476</v>
      </c>
      <c r="B2478" s="3" t="s">
        <v>2477</v>
      </c>
      <c r="C2478" s="3" t="s">
        <v>6586</v>
      </c>
      <c r="D2478" s="12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>((Table1[[#This Row],[deadline]]/60)/60/24)+DATE(1970,1,1)</f>
        <v>41946.370023148149</v>
      </c>
      <c r="K2478">
        <v>1412149970</v>
      </c>
      <c r="L2478" s="11">
        <f>((Table1[[#This Row],[launched_at]]/60)/60/24)+DATE(1970,1,1)</f>
        <v>41913.328356481477</v>
      </c>
      <c r="M2478">
        <f>MONTH(Table1[[#This Row],[Date Created Conversion]])</f>
        <v>10</v>
      </c>
      <c r="N2478">
        <f>YEAR(Table1[[#This Row],[Date Created Conversion]])</f>
        <v>2014</v>
      </c>
      <c r="O2478" t="b">
        <v>0</v>
      </c>
      <c r="P2478">
        <v>55</v>
      </c>
      <c r="Q2478" t="b">
        <v>1</v>
      </c>
      <c r="R2478" t="s">
        <v>8279</v>
      </c>
      <c r="S2478" s="6">
        <f>Table1[[#This Row],[pledged]]/Table1[[#This Row],[goal]]</f>
        <v>1.050225</v>
      </c>
      <c r="T2478" s="8">
        <f>IF(Table1[[#This Row],[pledged]]=0,"no backers",Table1[[#This Row],[pledged]]/Table1[[#This Row],[backers_count]])</f>
        <v>61.103999999999999</v>
      </c>
      <c r="U2478" t="str">
        <f>LEFT(Table1[[#This Row],[Category and Sub-Category]],FIND("/",Table1[[#This Row],[Category and Sub-Category]])-1)</f>
        <v>music</v>
      </c>
      <c r="V2478" t="str">
        <f>RIGHT(Table1[[#This Row],[Category and Sub-Category]],LEN(Table1[[#This Row],[Category and Sub-Category]])-FIND("/",Table1[[#This Row],[Category and Sub-Category]]))</f>
        <v>indie rock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 s="12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>((Table1[[#This Row],[deadline]]/60)/60/24)+DATE(1970,1,1)</f>
        <v>41133.691493055558</v>
      </c>
      <c r="K2479">
        <v>1340901345</v>
      </c>
      <c r="L2479" s="11">
        <f>((Table1[[#This Row],[launched_at]]/60)/60/24)+DATE(1970,1,1)</f>
        <v>41088.691493055558</v>
      </c>
      <c r="M2479">
        <f>MONTH(Table1[[#This Row],[Date Created Conversion]])</f>
        <v>6</v>
      </c>
      <c r="N2479">
        <f>YEAR(Table1[[#This Row],[Date Created Conversion]])</f>
        <v>2012</v>
      </c>
      <c r="O2479" t="b">
        <v>0</v>
      </c>
      <c r="P2479">
        <v>41</v>
      </c>
      <c r="Q2479" t="b">
        <v>1</v>
      </c>
      <c r="R2479" t="s">
        <v>8279</v>
      </c>
      <c r="S2479" s="6">
        <f>Table1[[#This Row],[pledged]]/Table1[[#This Row],[goal]]</f>
        <v>1.7133333333333334</v>
      </c>
      <c r="T2479" s="8">
        <f>IF(Table1[[#This Row],[pledged]]=0,"no backers",Table1[[#This Row],[pledged]]/Table1[[#This Row],[backers_count]])</f>
        <v>31.341463414634145</v>
      </c>
      <c r="U2479" t="str">
        <f>LEFT(Table1[[#This Row],[Category and Sub-Category]],FIND("/",Table1[[#This Row],[Category and Sub-Category]])-1)</f>
        <v>music</v>
      </c>
      <c r="V2479" t="str">
        <f>RIGHT(Table1[[#This Row],[Category and Sub-Category]],LEN(Table1[[#This Row],[Category and Sub-Category]])-FIND("/",Table1[[#This Row],[Category and Sub-Category]]))</f>
        <v>indie rock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 s="12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>((Table1[[#This Row],[deadline]]/60)/60/24)+DATE(1970,1,1)</f>
        <v>41287.950381944444</v>
      </c>
      <c r="K2480">
        <v>1355525313</v>
      </c>
      <c r="L2480" s="11">
        <f>((Table1[[#This Row],[launched_at]]/60)/60/24)+DATE(1970,1,1)</f>
        <v>41257.950381944444</v>
      </c>
      <c r="M2480">
        <f>MONTH(Table1[[#This Row],[Date Created Conversion]])</f>
        <v>12</v>
      </c>
      <c r="N2480">
        <f>YEAR(Table1[[#This Row],[Date Created Conversion]])</f>
        <v>2012</v>
      </c>
      <c r="O2480" t="b">
        <v>0</v>
      </c>
      <c r="P2480">
        <v>79</v>
      </c>
      <c r="Q2480" t="b">
        <v>1</v>
      </c>
      <c r="R2480" t="s">
        <v>8279</v>
      </c>
      <c r="S2480" s="6">
        <f>Table1[[#This Row],[pledged]]/Table1[[#This Row],[goal]]</f>
        <v>1.2749999999999999</v>
      </c>
      <c r="T2480" s="8">
        <f>IF(Table1[[#This Row],[pledged]]=0,"no backers",Table1[[#This Row],[pledged]]/Table1[[#This Row],[backers_count]])</f>
        <v>129.1139240506329</v>
      </c>
      <c r="U2480" t="str">
        <f>LEFT(Table1[[#This Row],[Category and Sub-Category]],FIND("/",Table1[[#This Row],[Category and Sub-Category]])-1)</f>
        <v>music</v>
      </c>
      <c r="V2480" t="str">
        <f>RIGHT(Table1[[#This Row],[Category and Sub-Category]],LEN(Table1[[#This Row],[Category and Sub-Category]])-FIND("/",Table1[[#This Row],[Category and Sub-Category]]))</f>
        <v>indie rock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 s="12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>((Table1[[#This Row],[deadline]]/60)/60/24)+DATE(1970,1,1)</f>
        <v>41118.083333333336</v>
      </c>
      <c r="K2481">
        <v>1342545994</v>
      </c>
      <c r="L2481" s="11">
        <f>((Table1[[#This Row],[launched_at]]/60)/60/24)+DATE(1970,1,1)</f>
        <v>41107.726782407408</v>
      </c>
      <c r="M2481">
        <f>MONTH(Table1[[#This Row],[Date Created Conversion]])</f>
        <v>7</v>
      </c>
      <c r="N2481">
        <f>YEAR(Table1[[#This Row],[Date Created Conversion]])</f>
        <v>2012</v>
      </c>
      <c r="O2481" t="b">
        <v>0</v>
      </c>
      <c r="P2481">
        <v>16</v>
      </c>
      <c r="Q2481" t="b">
        <v>1</v>
      </c>
      <c r="R2481" t="s">
        <v>8279</v>
      </c>
      <c r="S2481" s="6">
        <f>Table1[[#This Row],[pledged]]/Table1[[#This Row],[goal]]</f>
        <v>1.3344333333333334</v>
      </c>
      <c r="T2481" s="8">
        <f>IF(Table1[[#This Row],[pledged]]=0,"no backers",Table1[[#This Row],[pledged]]/Table1[[#This Row],[backers_count]])</f>
        <v>25.020624999999999</v>
      </c>
      <c r="U2481" t="str">
        <f>LEFT(Table1[[#This Row],[Category and Sub-Category]],FIND("/",Table1[[#This Row],[Category and Sub-Category]])-1)</f>
        <v>music</v>
      </c>
      <c r="V2481" t="str">
        <f>RIGHT(Table1[[#This Row],[Category and Sub-Category]],LEN(Table1[[#This Row],[Category and Sub-Category]])-FIND("/",Table1[[#This Row],[Category and Sub-Category]]))</f>
        <v>indie rock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 s="1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>((Table1[[#This Row],[deadline]]/60)/60/24)+DATE(1970,1,1)</f>
        <v>42287.936157407406</v>
      </c>
      <c r="K2482">
        <v>1439332084</v>
      </c>
      <c r="L2482" s="11">
        <f>((Table1[[#This Row],[launched_at]]/60)/60/24)+DATE(1970,1,1)</f>
        <v>42227.936157407406</v>
      </c>
      <c r="M2482">
        <f>MONTH(Table1[[#This Row],[Date Created Conversion]])</f>
        <v>8</v>
      </c>
      <c r="N2482">
        <f>YEAR(Table1[[#This Row],[Date Created Conversion]])</f>
        <v>2015</v>
      </c>
      <c r="O2482" t="b">
        <v>0</v>
      </c>
      <c r="P2482">
        <v>8</v>
      </c>
      <c r="Q2482" t="b">
        <v>1</v>
      </c>
      <c r="R2482" t="s">
        <v>8279</v>
      </c>
      <c r="S2482" s="6">
        <f>Table1[[#This Row],[pledged]]/Table1[[#This Row],[goal]]</f>
        <v>1</v>
      </c>
      <c r="T2482" s="8">
        <f>IF(Table1[[#This Row],[pledged]]=0,"no backers",Table1[[#This Row],[pledged]]/Table1[[#This Row],[backers_count]])</f>
        <v>250</v>
      </c>
      <c r="U2482" t="str">
        <f>LEFT(Table1[[#This Row],[Category and Sub-Category]],FIND("/",Table1[[#This Row],[Category and Sub-Category]])-1)</f>
        <v>music</v>
      </c>
      <c r="V2482" t="str">
        <f>RIGHT(Table1[[#This Row],[Category and Sub-Category]],LEN(Table1[[#This Row],[Category and Sub-Category]])-FIND("/",Table1[[#This Row],[Category and Sub-Category]]))</f>
        <v>indie rock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 s="12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>((Table1[[#This Row],[deadline]]/60)/60/24)+DATE(1970,1,1)</f>
        <v>41029.645925925928</v>
      </c>
      <c r="K2483">
        <v>1333207808</v>
      </c>
      <c r="L2483" s="11">
        <f>((Table1[[#This Row],[launched_at]]/60)/60/24)+DATE(1970,1,1)</f>
        <v>40999.645925925928</v>
      </c>
      <c r="M2483">
        <f>MONTH(Table1[[#This Row],[Date Created Conversion]])</f>
        <v>3</v>
      </c>
      <c r="N2483">
        <f>YEAR(Table1[[#This Row],[Date Created Conversion]])</f>
        <v>2012</v>
      </c>
      <c r="O2483" t="b">
        <v>0</v>
      </c>
      <c r="P2483">
        <v>95</v>
      </c>
      <c r="Q2483" t="b">
        <v>1</v>
      </c>
      <c r="R2483" t="s">
        <v>8279</v>
      </c>
      <c r="S2483" s="6">
        <f>Table1[[#This Row],[pledged]]/Table1[[#This Row],[goal]]</f>
        <v>1.1291099999999998</v>
      </c>
      <c r="T2483" s="8">
        <f>IF(Table1[[#This Row],[pledged]]=0,"no backers",Table1[[#This Row],[pledged]]/Table1[[#This Row],[backers_count]])</f>
        <v>47.541473684210523</v>
      </c>
      <c r="U2483" t="str">
        <f>LEFT(Table1[[#This Row],[Category and Sub-Category]],FIND("/",Table1[[#This Row],[Category and Sub-Category]])-1)</f>
        <v>music</v>
      </c>
      <c r="V2483" t="str">
        <f>RIGHT(Table1[[#This Row],[Category and Sub-Category]],LEN(Table1[[#This Row],[Category and Sub-Category]])-FIND("/",Table1[[#This Row],[Category and Sub-Category]]))</f>
        <v>indie rock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 s="12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>((Table1[[#This Row],[deadline]]/60)/60/24)+DATE(1970,1,1)</f>
        <v>40756.782210648147</v>
      </c>
      <c r="K2484">
        <v>1308336383</v>
      </c>
      <c r="L2484" s="11">
        <f>((Table1[[#This Row],[launched_at]]/60)/60/24)+DATE(1970,1,1)</f>
        <v>40711.782210648147</v>
      </c>
      <c r="M2484">
        <f>MONTH(Table1[[#This Row],[Date Created Conversion]])</f>
        <v>6</v>
      </c>
      <c r="N2484">
        <f>YEAR(Table1[[#This Row],[Date Created Conversion]])</f>
        <v>2011</v>
      </c>
      <c r="O2484" t="b">
        <v>0</v>
      </c>
      <c r="P2484">
        <v>25</v>
      </c>
      <c r="Q2484" t="b">
        <v>1</v>
      </c>
      <c r="R2484" t="s">
        <v>8279</v>
      </c>
      <c r="S2484" s="6">
        <f>Table1[[#This Row],[pledged]]/Table1[[#This Row],[goal]]</f>
        <v>1.0009999999999999</v>
      </c>
      <c r="T2484" s="8">
        <f>IF(Table1[[#This Row],[pledged]]=0,"no backers",Table1[[#This Row],[pledged]]/Table1[[#This Row],[backers_count]])</f>
        <v>40.04</v>
      </c>
      <c r="U2484" t="str">
        <f>LEFT(Table1[[#This Row],[Category and Sub-Category]],FIND("/",Table1[[#This Row],[Category and Sub-Category]])-1)</f>
        <v>music</v>
      </c>
      <c r="V2484" t="str">
        <f>RIGHT(Table1[[#This Row],[Category and Sub-Category]],LEN(Table1[[#This Row],[Category and Sub-Category]])-FIND("/",Table1[[#This Row],[Category and Sub-Category]]))</f>
        <v>indie rock</v>
      </c>
    </row>
    <row r="2485" spans="1:22" ht="43.2" x14ac:dyDescent="0.3">
      <c r="A2485">
        <v>2483</v>
      </c>
      <c r="B2485" s="3" t="s">
        <v>2483</v>
      </c>
      <c r="C2485" s="3" t="s">
        <v>6593</v>
      </c>
      <c r="D2485" s="12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>((Table1[[#This Row],[deadline]]/60)/60/24)+DATE(1970,1,1)</f>
        <v>41030.708368055559</v>
      </c>
      <c r="K2485">
        <v>1330711203</v>
      </c>
      <c r="L2485" s="11">
        <f>((Table1[[#This Row],[launched_at]]/60)/60/24)+DATE(1970,1,1)</f>
        <v>40970.750034722223</v>
      </c>
      <c r="M2485">
        <f>MONTH(Table1[[#This Row],[Date Created Conversion]])</f>
        <v>3</v>
      </c>
      <c r="N2485">
        <f>YEAR(Table1[[#This Row],[Date Created Conversion]])</f>
        <v>2012</v>
      </c>
      <c r="O2485" t="b">
        <v>0</v>
      </c>
      <c r="P2485">
        <v>19</v>
      </c>
      <c r="Q2485" t="b">
        <v>1</v>
      </c>
      <c r="R2485" t="s">
        <v>8279</v>
      </c>
      <c r="S2485" s="6">
        <f>Table1[[#This Row],[pledged]]/Table1[[#This Row],[goal]]</f>
        <v>1.1372727272727272</v>
      </c>
      <c r="T2485" s="8">
        <f>IF(Table1[[#This Row],[pledged]]=0,"no backers",Table1[[#This Row],[pledged]]/Table1[[#This Row],[backers_count]])</f>
        <v>65.84210526315789</v>
      </c>
      <c r="U2485" t="str">
        <f>LEFT(Table1[[#This Row],[Category and Sub-Category]],FIND("/",Table1[[#This Row],[Category and Sub-Category]])-1)</f>
        <v>music</v>
      </c>
      <c r="V2485" t="str">
        <f>RIGHT(Table1[[#This Row],[Category and Sub-Category]],LEN(Table1[[#This Row],[Category and Sub-Category]])-FIND("/",Table1[[#This Row],[Category and Sub-Category]]))</f>
        <v>indie rock</v>
      </c>
    </row>
    <row r="2486" spans="1:22" ht="57.6" x14ac:dyDescent="0.3">
      <c r="A2486">
        <v>2484</v>
      </c>
      <c r="B2486" s="3" t="s">
        <v>2484</v>
      </c>
      <c r="C2486" s="3" t="s">
        <v>6594</v>
      </c>
      <c r="D2486" s="12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>((Table1[[#This Row],[deadline]]/60)/60/24)+DATE(1970,1,1)</f>
        <v>40801.916701388887</v>
      </c>
      <c r="K2486">
        <v>1313532003</v>
      </c>
      <c r="L2486" s="11">
        <f>((Table1[[#This Row],[launched_at]]/60)/60/24)+DATE(1970,1,1)</f>
        <v>40771.916701388887</v>
      </c>
      <c r="M2486">
        <f>MONTH(Table1[[#This Row],[Date Created Conversion]])</f>
        <v>8</v>
      </c>
      <c r="N2486">
        <f>YEAR(Table1[[#This Row],[Date Created Conversion]])</f>
        <v>2011</v>
      </c>
      <c r="O2486" t="b">
        <v>0</v>
      </c>
      <c r="P2486">
        <v>90</v>
      </c>
      <c r="Q2486" t="b">
        <v>1</v>
      </c>
      <c r="R2486" t="s">
        <v>8279</v>
      </c>
      <c r="S2486" s="6">
        <f>Table1[[#This Row],[pledged]]/Table1[[#This Row],[goal]]</f>
        <v>1.1931742857142855</v>
      </c>
      <c r="T2486" s="8">
        <f>IF(Table1[[#This Row],[pledged]]=0,"no backers",Table1[[#This Row],[pledged]]/Table1[[#This Row],[backers_count]])</f>
        <v>46.401222222222216</v>
      </c>
      <c r="U2486" t="str">
        <f>LEFT(Table1[[#This Row],[Category and Sub-Category]],FIND("/",Table1[[#This Row],[Category and Sub-Category]])-1)</f>
        <v>music</v>
      </c>
      <c r="V2486" t="str">
        <f>RIGHT(Table1[[#This Row],[Category and Sub-Category]],LEN(Table1[[#This Row],[Category and Sub-Category]])-FIND("/",Table1[[#This Row],[Category and Sub-Category]]))</f>
        <v>indie rock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 s="12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>((Table1[[#This Row],[deadline]]/60)/60/24)+DATE(1970,1,1)</f>
        <v>40828.998599537037</v>
      </c>
      <c r="K2487">
        <v>1315439879</v>
      </c>
      <c r="L2487" s="11">
        <f>((Table1[[#This Row],[launched_at]]/60)/60/24)+DATE(1970,1,1)</f>
        <v>40793.998599537037</v>
      </c>
      <c r="M2487">
        <f>MONTH(Table1[[#This Row],[Date Created Conversion]])</f>
        <v>9</v>
      </c>
      <c r="N2487">
        <f>YEAR(Table1[[#This Row],[Date Created Conversion]])</f>
        <v>2011</v>
      </c>
      <c r="O2487" t="b">
        <v>0</v>
      </c>
      <c r="P2487">
        <v>41</v>
      </c>
      <c r="Q2487" t="b">
        <v>1</v>
      </c>
      <c r="R2487" t="s">
        <v>8279</v>
      </c>
      <c r="S2487" s="6">
        <f>Table1[[#This Row],[pledged]]/Table1[[#This Row],[goal]]</f>
        <v>1.0325</v>
      </c>
      <c r="T2487" s="8">
        <f>IF(Table1[[#This Row],[pledged]]=0,"no backers",Table1[[#This Row],[pledged]]/Table1[[#This Row],[backers_count]])</f>
        <v>50.365853658536587</v>
      </c>
      <c r="U2487" t="str">
        <f>LEFT(Table1[[#This Row],[Category and Sub-Category]],FIND("/",Table1[[#This Row],[Category and Sub-Category]])-1)</f>
        <v>music</v>
      </c>
      <c r="V2487" t="str">
        <f>RIGHT(Table1[[#This Row],[Category and Sub-Category]],LEN(Table1[[#This Row],[Category and Sub-Category]])-FIND("/",Table1[[#This Row],[Category and Sub-Category]]))</f>
        <v>indie rock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 s="12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>((Table1[[#This Row],[deadline]]/60)/60/24)+DATE(1970,1,1)</f>
        <v>41021.708055555559</v>
      </c>
      <c r="K2488">
        <v>1332521976</v>
      </c>
      <c r="L2488" s="11">
        <f>((Table1[[#This Row],[launched_at]]/60)/60/24)+DATE(1970,1,1)</f>
        <v>40991.708055555559</v>
      </c>
      <c r="M2488">
        <f>MONTH(Table1[[#This Row],[Date Created Conversion]])</f>
        <v>3</v>
      </c>
      <c r="N2488">
        <f>YEAR(Table1[[#This Row],[Date Created Conversion]])</f>
        <v>2012</v>
      </c>
      <c r="O2488" t="b">
        <v>0</v>
      </c>
      <c r="P2488">
        <v>30</v>
      </c>
      <c r="Q2488" t="b">
        <v>1</v>
      </c>
      <c r="R2488" t="s">
        <v>8279</v>
      </c>
      <c r="S2488" s="6">
        <f>Table1[[#This Row],[pledged]]/Table1[[#This Row],[goal]]</f>
        <v>2.6566666666666667</v>
      </c>
      <c r="T2488" s="8">
        <f>IF(Table1[[#This Row],[pledged]]=0,"no backers",Table1[[#This Row],[pledged]]/Table1[[#This Row],[backers_count]])</f>
        <v>26.566666666666666</v>
      </c>
      <c r="U2488" t="str">
        <f>LEFT(Table1[[#This Row],[Category and Sub-Category]],FIND("/",Table1[[#This Row],[Category and Sub-Category]])-1)</f>
        <v>music</v>
      </c>
      <c r="V2488" t="str">
        <f>RIGHT(Table1[[#This Row],[Category and Sub-Category]],LEN(Table1[[#This Row],[Category and Sub-Category]])-FIND("/",Table1[[#This Row],[Category and Sub-Category]]))</f>
        <v>indie rock</v>
      </c>
    </row>
    <row r="2489" spans="1:22" ht="43.2" x14ac:dyDescent="0.3">
      <c r="A2489">
        <v>2487</v>
      </c>
      <c r="B2489" s="3" t="s">
        <v>2487</v>
      </c>
      <c r="C2489" s="3" t="s">
        <v>6597</v>
      </c>
      <c r="D2489" s="12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>((Table1[[#This Row],[deadline]]/60)/60/24)+DATE(1970,1,1)</f>
        <v>41056.083298611113</v>
      </c>
      <c r="K2489">
        <v>1335491997</v>
      </c>
      <c r="L2489" s="11">
        <f>((Table1[[#This Row],[launched_at]]/60)/60/24)+DATE(1970,1,1)</f>
        <v>41026.083298611113</v>
      </c>
      <c r="M2489">
        <f>MONTH(Table1[[#This Row],[Date Created Conversion]])</f>
        <v>4</v>
      </c>
      <c r="N2489">
        <f>YEAR(Table1[[#This Row],[Date Created Conversion]])</f>
        <v>2012</v>
      </c>
      <c r="O2489" t="b">
        <v>0</v>
      </c>
      <c r="P2489">
        <v>38</v>
      </c>
      <c r="Q2489" t="b">
        <v>1</v>
      </c>
      <c r="R2489" t="s">
        <v>8279</v>
      </c>
      <c r="S2489" s="6">
        <f>Table1[[#This Row],[pledged]]/Table1[[#This Row],[goal]]</f>
        <v>1.0005066666666667</v>
      </c>
      <c r="T2489" s="8">
        <f>IF(Table1[[#This Row],[pledged]]=0,"no backers",Table1[[#This Row],[pledged]]/Table1[[#This Row],[backers_count]])</f>
        <v>39.493684210526318</v>
      </c>
      <c r="U2489" t="str">
        <f>LEFT(Table1[[#This Row],[Category and Sub-Category]],FIND("/",Table1[[#This Row],[Category and Sub-Category]])-1)</f>
        <v>music</v>
      </c>
      <c r="V2489" t="str">
        <f>RIGHT(Table1[[#This Row],[Category and Sub-Category]],LEN(Table1[[#This Row],[Category and Sub-Category]])-FIND("/",Table1[[#This Row],[Category and Sub-Category]]))</f>
        <v>indie rock</v>
      </c>
    </row>
    <row r="2490" spans="1:22" ht="57.6" x14ac:dyDescent="0.3">
      <c r="A2490">
        <v>2488</v>
      </c>
      <c r="B2490" s="3" t="s">
        <v>2488</v>
      </c>
      <c r="C2490" s="3" t="s">
        <v>6598</v>
      </c>
      <c r="D2490" s="12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>((Table1[[#This Row],[deadline]]/60)/60/24)+DATE(1970,1,1)</f>
        <v>40863.674861111111</v>
      </c>
      <c r="K2490">
        <v>1318864308</v>
      </c>
      <c r="L2490" s="11">
        <f>((Table1[[#This Row],[launched_at]]/60)/60/24)+DATE(1970,1,1)</f>
        <v>40833.633194444446</v>
      </c>
      <c r="M2490">
        <f>MONTH(Table1[[#This Row],[Date Created Conversion]])</f>
        <v>10</v>
      </c>
      <c r="N2490">
        <f>YEAR(Table1[[#This Row],[Date Created Conversion]])</f>
        <v>2011</v>
      </c>
      <c r="O2490" t="b">
        <v>0</v>
      </c>
      <c r="P2490">
        <v>65</v>
      </c>
      <c r="Q2490" t="b">
        <v>1</v>
      </c>
      <c r="R2490" t="s">
        <v>8279</v>
      </c>
      <c r="S2490" s="6">
        <f>Table1[[#This Row],[pledged]]/Table1[[#This Row],[goal]]</f>
        <v>1.0669999999999999</v>
      </c>
      <c r="T2490" s="8">
        <f>IF(Table1[[#This Row],[pledged]]=0,"no backers",Table1[[#This Row],[pledged]]/Table1[[#This Row],[backers_count]])</f>
        <v>49.246153846153845</v>
      </c>
      <c r="U2490" t="str">
        <f>LEFT(Table1[[#This Row],[Category and Sub-Category]],FIND("/",Table1[[#This Row],[Category and Sub-Category]])-1)</f>
        <v>music</v>
      </c>
      <c r="V2490" t="str">
        <f>RIGHT(Table1[[#This Row],[Category and Sub-Category]],LEN(Table1[[#This Row],[Category and Sub-Category]])-FIND("/",Table1[[#This Row],[Category and Sub-Category]]))</f>
        <v>indie rock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 s="12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>((Table1[[#This Row],[deadline]]/60)/60/24)+DATE(1970,1,1)</f>
        <v>41403.690266203703</v>
      </c>
      <c r="K2491">
        <v>1365525239</v>
      </c>
      <c r="L2491" s="11">
        <f>((Table1[[#This Row],[launched_at]]/60)/60/24)+DATE(1970,1,1)</f>
        <v>41373.690266203703</v>
      </c>
      <c r="M2491">
        <f>MONTH(Table1[[#This Row],[Date Created Conversion]])</f>
        <v>4</v>
      </c>
      <c r="N2491">
        <f>YEAR(Table1[[#This Row],[Date Created Conversion]])</f>
        <v>2013</v>
      </c>
      <c r="O2491" t="b">
        <v>0</v>
      </c>
      <c r="P2491">
        <v>75</v>
      </c>
      <c r="Q2491" t="b">
        <v>1</v>
      </c>
      <c r="R2491" t="s">
        <v>8279</v>
      </c>
      <c r="S2491" s="6">
        <f>Table1[[#This Row],[pledged]]/Table1[[#This Row],[goal]]</f>
        <v>1.3367142857142857</v>
      </c>
      <c r="T2491" s="8">
        <f>IF(Table1[[#This Row],[pledged]]=0,"no backers",Table1[[#This Row],[pledged]]/Table1[[#This Row],[backers_count]])</f>
        <v>62.38</v>
      </c>
      <c r="U2491" t="str">
        <f>LEFT(Table1[[#This Row],[Category and Sub-Category]],FIND("/",Table1[[#This Row],[Category and Sub-Category]])-1)</f>
        <v>music</v>
      </c>
      <c r="V2491" t="str">
        <f>RIGHT(Table1[[#This Row],[Category and Sub-Category]],LEN(Table1[[#This Row],[Category and Sub-Category]])-FIND("/",Table1[[#This Row],[Category and Sub-Category]]))</f>
        <v>indie rock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 s="1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>((Table1[[#This Row],[deadline]]/60)/60/24)+DATE(1970,1,1)</f>
        <v>41083.227731481478</v>
      </c>
      <c r="K2492">
        <v>1335245276</v>
      </c>
      <c r="L2492" s="11">
        <f>((Table1[[#This Row],[launched_at]]/60)/60/24)+DATE(1970,1,1)</f>
        <v>41023.227731481478</v>
      </c>
      <c r="M2492">
        <f>MONTH(Table1[[#This Row],[Date Created Conversion]])</f>
        <v>4</v>
      </c>
      <c r="N2492">
        <f>YEAR(Table1[[#This Row],[Date Created Conversion]])</f>
        <v>2012</v>
      </c>
      <c r="O2492" t="b">
        <v>0</v>
      </c>
      <c r="P2492">
        <v>16</v>
      </c>
      <c r="Q2492" t="b">
        <v>1</v>
      </c>
      <c r="R2492" t="s">
        <v>8279</v>
      </c>
      <c r="S2492" s="6">
        <f>Table1[[#This Row],[pledged]]/Table1[[#This Row],[goal]]</f>
        <v>1.214</v>
      </c>
      <c r="T2492" s="8">
        <f>IF(Table1[[#This Row],[pledged]]=0,"no backers",Table1[[#This Row],[pledged]]/Table1[[#This Row],[backers_count]])</f>
        <v>37.9375</v>
      </c>
      <c r="U2492" t="str">
        <f>LEFT(Table1[[#This Row],[Category and Sub-Category]],FIND("/",Table1[[#This Row],[Category and Sub-Category]])-1)</f>
        <v>music</v>
      </c>
      <c r="V2492" t="str">
        <f>RIGHT(Table1[[#This Row],[Category and Sub-Category]],LEN(Table1[[#This Row],[Category and Sub-Category]])-FIND("/",Table1[[#This Row],[Category and Sub-Category]]))</f>
        <v>indie rock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 s="12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>((Table1[[#This Row],[deadline]]/60)/60/24)+DATE(1970,1,1)</f>
        <v>40559.07708333333</v>
      </c>
      <c r="K2493">
        <v>1293739714</v>
      </c>
      <c r="L2493" s="11">
        <f>((Table1[[#This Row],[launched_at]]/60)/60/24)+DATE(1970,1,1)</f>
        <v>40542.839282407411</v>
      </c>
      <c r="M2493">
        <f>MONTH(Table1[[#This Row],[Date Created Conversion]])</f>
        <v>12</v>
      </c>
      <c r="N2493">
        <f>YEAR(Table1[[#This Row],[Date Created Conversion]])</f>
        <v>2010</v>
      </c>
      <c r="O2493" t="b">
        <v>0</v>
      </c>
      <c r="P2493">
        <v>10</v>
      </c>
      <c r="Q2493" t="b">
        <v>1</v>
      </c>
      <c r="R2493" t="s">
        <v>8279</v>
      </c>
      <c r="S2493" s="6">
        <f>Table1[[#This Row],[pledged]]/Table1[[#This Row],[goal]]</f>
        <v>1.032</v>
      </c>
      <c r="T2493" s="8">
        <f>IF(Table1[[#This Row],[pledged]]=0,"no backers",Table1[[#This Row],[pledged]]/Table1[[#This Row],[backers_count]])</f>
        <v>51.6</v>
      </c>
      <c r="U2493" t="str">
        <f>LEFT(Table1[[#This Row],[Category and Sub-Category]],FIND("/",Table1[[#This Row],[Category and Sub-Category]])-1)</f>
        <v>music</v>
      </c>
      <c r="V2493" t="str">
        <f>RIGHT(Table1[[#This Row],[Category and Sub-Category]],LEN(Table1[[#This Row],[Category and Sub-Category]])-FIND("/",Table1[[#This Row],[Category and Sub-Category]]))</f>
        <v>indie rock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 s="12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>((Table1[[#This Row],[deadline]]/60)/60/24)+DATE(1970,1,1)</f>
        <v>41076.415972222225</v>
      </c>
      <c r="K2494">
        <v>1335397188</v>
      </c>
      <c r="L2494" s="11">
        <f>((Table1[[#This Row],[launched_at]]/60)/60/24)+DATE(1970,1,1)</f>
        <v>41024.985972222225</v>
      </c>
      <c r="M2494">
        <f>MONTH(Table1[[#This Row],[Date Created Conversion]])</f>
        <v>4</v>
      </c>
      <c r="N2494">
        <f>YEAR(Table1[[#This Row],[Date Created Conversion]])</f>
        <v>2012</v>
      </c>
      <c r="O2494" t="b">
        <v>0</v>
      </c>
      <c r="P2494">
        <v>27</v>
      </c>
      <c r="Q2494" t="b">
        <v>1</v>
      </c>
      <c r="R2494" t="s">
        <v>8279</v>
      </c>
      <c r="S2494" s="6">
        <f>Table1[[#This Row],[pledged]]/Table1[[#This Row],[goal]]</f>
        <v>1.25</v>
      </c>
      <c r="T2494" s="8">
        <f>IF(Table1[[#This Row],[pledged]]=0,"no backers",Table1[[#This Row],[pledged]]/Table1[[#This Row],[backers_count]])</f>
        <v>27.777777777777779</v>
      </c>
      <c r="U2494" t="str">
        <f>LEFT(Table1[[#This Row],[Category and Sub-Category]],FIND("/",Table1[[#This Row],[Category and Sub-Category]])-1)</f>
        <v>music</v>
      </c>
      <c r="V2494" t="str">
        <f>RIGHT(Table1[[#This Row],[Category and Sub-Category]],LEN(Table1[[#This Row],[Category and Sub-Category]])-FIND("/",Table1[[#This Row],[Category and Sub-Category]]))</f>
        <v>indie rock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 s="12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>((Table1[[#This Row],[deadline]]/60)/60/24)+DATE(1970,1,1)</f>
        <v>41393.168287037035</v>
      </c>
      <c r="K2495">
        <v>1363320140</v>
      </c>
      <c r="L2495" s="11">
        <f>((Table1[[#This Row],[launched_at]]/60)/60/24)+DATE(1970,1,1)</f>
        <v>41348.168287037035</v>
      </c>
      <c r="M2495">
        <f>MONTH(Table1[[#This Row],[Date Created Conversion]])</f>
        <v>3</v>
      </c>
      <c r="N2495">
        <f>YEAR(Table1[[#This Row],[Date Created Conversion]])</f>
        <v>2013</v>
      </c>
      <c r="O2495" t="b">
        <v>0</v>
      </c>
      <c r="P2495">
        <v>259</v>
      </c>
      <c r="Q2495" t="b">
        <v>1</v>
      </c>
      <c r="R2495" t="s">
        <v>8279</v>
      </c>
      <c r="S2495" s="6">
        <f>Table1[[#This Row],[pledged]]/Table1[[#This Row],[goal]]</f>
        <v>1.2869999999999999</v>
      </c>
      <c r="T2495" s="8">
        <f>IF(Table1[[#This Row],[pledged]]=0,"no backers",Table1[[#This Row],[pledged]]/Table1[[#This Row],[backers_count]])</f>
        <v>99.382239382239376</v>
      </c>
      <c r="U2495" t="str">
        <f>LEFT(Table1[[#This Row],[Category and Sub-Category]],FIND("/",Table1[[#This Row],[Category and Sub-Category]])-1)</f>
        <v>music</v>
      </c>
      <c r="V2495" t="str">
        <f>RIGHT(Table1[[#This Row],[Category and Sub-Category]],LEN(Table1[[#This Row],[Category and Sub-Category]])-FIND("/",Table1[[#This Row],[Category and Sub-Category]]))</f>
        <v>indie rock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 s="12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>((Table1[[#This Row],[deadline]]/60)/60/24)+DATE(1970,1,1)</f>
        <v>41052.645185185182</v>
      </c>
      <c r="K2496">
        <v>1335194944</v>
      </c>
      <c r="L2496" s="11">
        <f>((Table1[[#This Row],[launched_at]]/60)/60/24)+DATE(1970,1,1)</f>
        <v>41022.645185185182</v>
      </c>
      <c r="M2496">
        <f>MONTH(Table1[[#This Row],[Date Created Conversion]])</f>
        <v>4</v>
      </c>
      <c r="N2496">
        <f>YEAR(Table1[[#This Row],[Date Created Conversion]])</f>
        <v>2012</v>
      </c>
      <c r="O2496" t="b">
        <v>0</v>
      </c>
      <c r="P2496">
        <v>39</v>
      </c>
      <c r="Q2496" t="b">
        <v>1</v>
      </c>
      <c r="R2496" t="s">
        <v>8279</v>
      </c>
      <c r="S2496" s="6">
        <f>Table1[[#This Row],[pledged]]/Table1[[#This Row],[goal]]</f>
        <v>1.0100533333333332</v>
      </c>
      <c r="T2496" s="8">
        <f>IF(Table1[[#This Row],[pledged]]=0,"no backers",Table1[[#This Row],[pledged]]/Table1[[#This Row],[backers_count]])</f>
        <v>38.848205128205123</v>
      </c>
      <c r="U2496" t="str">
        <f>LEFT(Table1[[#This Row],[Category and Sub-Category]],FIND("/",Table1[[#This Row],[Category and Sub-Category]])-1)</f>
        <v>music</v>
      </c>
      <c r="V2496" t="str">
        <f>RIGHT(Table1[[#This Row],[Category and Sub-Category]],LEN(Table1[[#This Row],[Category and Sub-Category]])-FIND("/",Table1[[#This Row],[Category and Sub-Category]]))</f>
        <v>indie rock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 s="12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>((Table1[[#This Row],[deadline]]/60)/60/24)+DATE(1970,1,1)</f>
        <v>41066.946469907409</v>
      </c>
      <c r="K2497">
        <v>1336430575</v>
      </c>
      <c r="L2497" s="11">
        <f>((Table1[[#This Row],[launched_at]]/60)/60/24)+DATE(1970,1,1)</f>
        <v>41036.946469907409</v>
      </c>
      <c r="M2497">
        <f>MONTH(Table1[[#This Row],[Date Created Conversion]])</f>
        <v>5</v>
      </c>
      <c r="N2497">
        <f>YEAR(Table1[[#This Row],[Date Created Conversion]])</f>
        <v>2012</v>
      </c>
      <c r="O2497" t="b">
        <v>0</v>
      </c>
      <c r="P2497">
        <v>42</v>
      </c>
      <c r="Q2497" t="b">
        <v>1</v>
      </c>
      <c r="R2497" t="s">
        <v>8279</v>
      </c>
      <c r="S2497" s="6">
        <f>Table1[[#This Row],[pledged]]/Table1[[#This Row],[goal]]</f>
        <v>1.2753666666666665</v>
      </c>
      <c r="T2497" s="8">
        <f>IF(Table1[[#This Row],[pledged]]=0,"no backers",Table1[[#This Row],[pledged]]/Table1[[#This Row],[backers_count]])</f>
        <v>45.548809523809524</v>
      </c>
      <c r="U2497" t="str">
        <f>LEFT(Table1[[#This Row],[Category and Sub-Category]],FIND("/",Table1[[#This Row],[Category and Sub-Category]])-1)</f>
        <v>music</v>
      </c>
      <c r="V2497" t="str">
        <f>RIGHT(Table1[[#This Row],[Category and Sub-Category]],LEN(Table1[[#This Row],[Category and Sub-Category]])-FIND("/",Table1[[#This Row],[Category and Sub-Category]]))</f>
        <v>indie rock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 s="12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>((Table1[[#This Row],[deadline]]/60)/60/24)+DATE(1970,1,1)</f>
        <v>41362.954768518517</v>
      </c>
      <c r="K2498">
        <v>1361577292</v>
      </c>
      <c r="L2498" s="11">
        <f>((Table1[[#This Row],[launched_at]]/60)/60/24)+DATE(1970,1,1)</f>
        <v>41327.996435185189</v>
      </c>
      <c r="M2498">
        <f>MONTH(Table1[[#This Row],[Date Created Conversion]])</f>
        <v>2</v>
      </c>
      <c r="N2498">
        <f>YEAR(Table1[[#This Row],[Date Created Conversion]])</f>
        <v>2013</v>
      </c>
      <c r="O2498" t="b">
        <v>0</v>
      </c>
      <c r="P2498">
        <v>10</v>
      </c>
      <c r="Q2498" t="b">
        <v>1</v>
      </c>
      <c r="R2498" t="s">
        <v>8279</v>
      </c>
      <c r="S2498" s="6">
        <f>Table1[[#This Row],[pledged]]/Table1[[#This Row],[goal]]</f>
        <v>1</v>
      </c>
      <c r="T2498" s="8">
        <f>IF(Table1[[#This Row],[pledged]]=0,"no backers",Table1[[#This Row],[pledged]]/Table1[[#This Row],[backers_count]])</f>
        <v>600</v>
      </c>
      <c r="U2498" t="str">
        <f>LEFT(Table1[[#This Row],[Category and Sub-Category]],FIND("/",Table1[[#This Row],[Category and Sub-Category]])-1)</f>
        <v>music</v>
      </c>
      <c r="V2498" t="str">
        <f>RIGHT(Table1[[#This Row],[Category and Sub-Category]],LEN(Table1[[#This Row],[Category and Sub-Category]])-FIND("/",Table1[[#This Row],[Category and Sub-Category]]))</f>
        <v>indie rock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 s="12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>((Table1[[#This Row],[deadline]]/60)/60/24)+DATE(1970,1,1)</f>
        <v>40760.878912037035</v>
      </c>
      <c r="K2499">
        <v>1309986338</v>
      </c>
      <c r="L2499" s="11">
        <f>((Table1[[#This Row],[launched_at]]/60)/60/24)+DATE(1970,1,1)</f>
        <v>40730.878912037035</v>
      </c>
      <c r="M2499">
        <f>MONTH(Table1[[#This Row],[Date Created Conversion]])</f>
        <v>7</v>
      </c>
      <c r="N2499">
        <f>YEAR(Table1[[#This Row],[Date Created Conversion]])</f>
        <v>2011</v>
      </c>
      <c r="O2499" t="b">
        <v>0</v>
      </c>
      <c r="P2499">
        <v>56</v>
      </c>
      <c r="Q2499" t="b">
        <v>1</v>
      </c>
      <c r="R2499" t="s">
        <v>8279</v>
      </c>
      <c r="S2499" s="6">
        <f>Table1[[#This Row],[pledged]]/Table1[[#This Row],[goal]]</f>
        <v>1.127715</v>
      </c>
      <c r="T2499" s="8">
        <f>IF(Table1[[#This Row],[pledged]]=0,"no backers",Table1[[#This Row],[pledged]]/Table1[[#This Row],[backers_count]])</f>
        <v>80.551071428571419</v>
      </c>
      <c r="U2499" t="str">
        <f>LEFT(Table1[[#This Row],[Category and Sub-Category]],FIND("/",Table1[[#This Row],[Category and Sub-Category]])-1)</f>
        <v>music</v>
      </c>
      <c r="V2499" t="str">
        <f>RIGHT(Table1[[#This Row],[Category and Sub-Category]],LEN(Table1[[#This Row],[Category and Sub-Category]])-FIND("/",Table1[[#This Row],[Category and Sub-Category]]))</f>
        <v>indie rock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 s="12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>((Table1[[#This Row],[deadline]]/60)/60/24)+DATE(1970,1,1)</f>
        <v>42031.967442129629</v>
      </c>
      <c r="K2500">
        <v>1421190787</v>
      </c>
      <c r="L2500" s="11">
        <f>((Table1[[#This Row],[launched_at]]/60)/60/24)+DATE(1970,1,1)</f>
        <v>42017.967442129629</v>
      </c>
      <c r="M2500">
        <f>MONTH(Table1[[#This Row],[Date Created Conversion]])</f>
        <v>1</v>
      </c>
      <c r="N2500">
        <f>YEAR(Table1[[#This Row],[Date Created Conversion]])</f>
        <v>2015</v>
      </c>
      <c r="O2500" t="b">
        <v>0</v>
      </c>
      <c r="P2500">
        <v>20</v>
      </c>
      <c r="Q2500" t="b">
        <v>1</v>
      </c>
      <c r="R2500" t="s">
        <v>8279</v>
      </c>
      <c r="S2500" s="6">
        <f>Table1[[#This Row],[pledged]]/Table1[[#This Row],[goal]]</f>
        <v>1.056</v>
      </c>
      <c r="T2500" s="8">
        <f>IF(Table1[[#This Row],[pledged]]=0,"no backers",Table1[[#This Row],[pledged]]/Table1[[#This Row],[backers_count]])</f>
        <v>52.8</v>
      </c>
      <c r="U2500" t="str">
        <f>LEFT(Table1[[#This Row],[Category and Sub-Category]],FIND("/",Table1[[#This Row],[Category and Sub-Category]])-1)</f>
        <v>music</v>
      </c>
      <c r="V2500" t="str">
        <f>RIGHT(Table1[[#This Row],[Category and Sub-Category]],LEN(Table1[[#This Row],[Category and Sub-Category]])-FIND("/",Table1[[#This Row],[Category and Sub-Category]]))</f>
        <v>indie rock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 s="12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>((Table1[[#This Row],[deadline]]/60)/60/24)+DATE(1970,1,1)</f>
        <v>41274.75</v>
      </c>
      <c r="K2501">
        <v>1352820837</v>
      </c>
      <c r="L2501" s="11">
        <f>((Table1[[#This Row],[launched_at]]/60)/60/24)+DATE(1970,1,1)</f>
        <v>41226.648576388885</v>
      </c>
      <c r="M2501">
        <f>MONTH(Table1[[#This Row],[Date Created Conversion]])</f>
        <v>11</v>
      </c>
      <c r="N2501">
        <f>YEAR(Table1[[#This Row],[Date Created Conversion]])</f>
        <v>2012</v>
      </c>
      <c r="O2501" t="b">
        <v>0</v>
      </c>
      <c r="P2501">
        <v>170</v>
      </c>
      <c r="Q2501" t="b">
        <v>1</v>
      </c>
      <c r="R2501" t="s">
        <v>8279</v>
      </c>
      <c r="S2501" s="6">
        <f>Table1[[#This Row],[pledged]]/Table1[[#This Row],[goal]]</f>
        <v>2.0262500000000001</v>
      </c>
      <c r="T2501" s="8">
        <f>IF(Table1[[#This Row],[pledged]]=0,"no backers",Table1[[#This Row],[pledged]]/Table1[[#This Row],[backers_count]])</f>
        <v>47.676470588235297</v>
      </c>
      <c r="U2501" t="str">
        <f>LEFT(Table1[[#This Row],[Category and Sub-Category]],FIND("/",Table1[[#This Row],[Category and Sub-Category]])-1)</f>
        <v>music</v>
      </c>
      <c r="V2501" t="str">
        <f>RIGHT(Table1[[#This Row],[Category and Sub-Category]],LEN(Table1[[#This Row],[Category and Sub-Category]])-FIND("/",Table1[[#This Row],[Category and Sub-Category]]))</f>
        <v>indie rock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 s="1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>((Table1[[#This Row],[deadline]]/60)/60/24)+DATE(1970,1,1)</f>
        <v>41083.772858796299</v>
      </c>
      <c r="K2502">
        <v>1337884375</v>
      </c>
      <c r="L2502" s="11">
        <f>((Table1[[#This Row],[launched_at]]/60)/60/24)+DATE(1970,1,1)</f>
        <v>41053.772858796299</v>
      </c>
      <c r="M2502">
        <f>MONTH(Table1[[#This Row],[Date Created Conversion]])</f>
        <v>5</v>
      </c>
      <c r="N2502">
        <f>YEAR(Table1[[#This Row],[Date Created Conversion]])</f>
        <v>2012</v>
      </c>
      <c r="O2502" t="b">
        <v>0</v>
      </c>
      <c r="P2502">
        <v>29</v>
      </c>
      <c r="Q2502" t="b">
        <v>1</v>
      </c>
      <c r="R2502" t="s">
        <v>8279</v>
      </c>
      <c r="S2502" s="6">
        <f>Table1[[#This Row],[pledged]]/Table1[[#This Row],[goal]]</f>
        <v>1.1333333333333333</v>
      </c>
      <c r="T2502" s="8">
        <f>IF(Table1[[#This Row],[pledged]]=0,"no backers",Table1[[#This Row],[pledged]]/Table1[[#This Row],[backers_count]])</f>
        <v>23.448275862068964</v>
      </c>
      <c r="U2502" t="str">
        <f>LEFT(Table1[[#This Row],[Category and Sub-Category]],FIND("/",Table1[[#This Row],[Category and Sub-Category]])-1)</f>
        <v>music</v>
      </c>
      <c r="V2502" t="str">
        <f>RIGHT(Table1[[#This Row],[Category and Sub-Category]],LEN(Table1[[#This Row],[Category and Sub-Category]])-FIND("/",Table1[[#This Row],[Category and Sub-Category]]))</f>
        <v>indie rock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 s="12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>((Table1[[#This Row],[deadline]]/60)/60/24)+DATE(1970,1,1)</f>
        <v>42274.776666666665</v>
      </c>
      <c r="K2503">
        <v>1440787104</v>
      </c>
      <c r="L2503" s="11">
        <f>((Table1[[#This Row],[launched_at]]/60)/60/24)+DATE(1970,1,1)</f>
        <v>42244.776666666665</v>
      </c>
      <c r="M2503">
        <f>MONTH(Table1[[#This Row],[Date Created Conversion]])</f>
        <v>8</v>
      </c>
      <c r="N2503">
        <f>YEAR(Table1[[#This Row],[Date Created Conversion]])</f>
        <v>2015</v>
      </c>
      <c r="O2503" t="b">
        <v>0</v>
      </c>
      <c r="P2503">
        <v>7</v>
      </c>
      <c r="Q2503" t="b">
        <v>0</v>
      </c>
      <c r="R2503" t="s">
        <v>8299</v>
      </c>
      <c r="S2503" s="6">
        <f>Table1[[#This Row],[pledged]]/Table1[[#This Row],[goal]]</f>
        <v>2.5545454545454545E-2</v>
      </c>
      <c r="T2503" s="8">
        <f>IF(Table1[[#This Row],[pledged]]=0,"no backers",Table1[[#This Row],[pledged]]/Table1[[#This Row],[backers_count]])</f>
        <v>40.142857142857146</v>
      </c>
      <c r="U2503" t="str">
        <f>LEFT(Table1[[#This Row],[Category and Sub-Category]],FIND("/",Table1[[#This Row],[Category and Sub-Category]])-1)</f>
        <v>food</v>
      </c>
      <c r="V2503" t="str">
        <f>RIGHT(Table1[[#This Row],[Category and Sub-Category]],LEN(Table1[[#This Row],[Category and Sub-Category]])-FIND("/",Table1[[#This Row],[Category and Sub-Category]]))</f>
        <v>restaurants</v>
      </c>
    </row>
    <row r="2504" spans="1:22" ht="57.6" x14ac:dyDescent="0.3">
      <c r="A2504">
        <v>2502</v>
      </c>
      <c r="B2504" s="3" t="s">
        <v>2502</v>
      </c>
      <c r="C2504" s="3" t="s">
        <v>6612</v>
      </c>
      <c r="D2504" s="12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>((Table1[[#This Row],[deadline]]/60)/60/24)+DATE(1970,1,1)</f>
        <v>41903.825439814813</v>
      </c>
      <c r="K2504">
        <v>1407440918</v>
      </c>
      <c r="L2504" s="11">
        <f>((Table1[[#This Row],[launched_at]]/60)/60/24)+DATE(1970,1,1)</f>
        <v>41858.825439814813</v>
      </c>
      <c r="M2504">
        <f>MONTH(Table1[[#This Row],[Date Created Conversion]])</f>
        <v>8</v>
      </c>
      <c r="N2504">
        <f>YEAR(Table1[[#This Row],[Date Created Conversion]])</f>
        <v>2014</v>
      </c>
      <c r="O2504" t="b">
        <v>0</v>
      </c>
      <c r="P2504">
        <v>5</v>
      </c>
      <c r="Q2504" t="b">
        <v>0</v>
      </c>
      <c r="R2504" t="s">
        <v>8299</v>
      </c>
      <c r="S2504" s="6">
        <f>Table1[[#This Row],[pledged]]/Table1[[#This Row],[goal]]</f>
        <v>7.8181818181818181E-4</v>
      </c>
      <c r="T2504" s="8">
        <f>IF(Table1[[#This Row],[pledged]]=0,"no backers",Table1[[#This Row],[pledged]]/Table1[[#This Row],[backers_count]])</f>
        <v>17.2</v>
      </c>
      <c r="U2504" t="str">
        <f>LEFT(Table1[[#This Row],[Category and Sub-Category]],FIND("/",Table1[[#This Row],[Category and Sub-Category]])-1)</f>
        <v>food</v>
      </c>
      <c r="V2504" t="str">
        <f>RIGHT(Table1[[#This Row],[Category and Sub-Category]],LEN(Table1[[#This Row],[Category and Sub-Category]])-FIND("/",Table1[[#This Row],[Category and Sub-Category]]))</f>
        <v>restaurants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 s="12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>((Table1[[#This Row],[deadline]]/60)/60/24)+DATE(1970,1,1)</f>
        <v>42528.879166666666</v>
      </c>
      <c r="K2505">
        <v>1462743308</v>
      </c>
      <c r="L2505" s="11">
        <f>((Table1[[#This Row],[launched_at]]/60)/60/24)+DATE(1970,1,1)</f>
        <v>42498.899398148147</v>
      </c>
      <c r="M2505">
        <f>MONTH(Table1[[#This Row],[Date Created Conversion]])</f>
        <v>5</v>
      </c>
      <c r="N2505">
        <f>YEAR(Table1[[#This Row],[Date Created Conversion]])</f>
        <v>2016</v>
      </c>
      <c r="O2505" t="b">
        <v>0</v>
      </c>
      <c r="P2505">
        <v>0</v>
      </c>
      <c r="Q2505" t="b">
        <v>0</v>
      </c>
      <c r="R2505" t="s">
        <v>8299</v>
      </c>
      <c r="S2505" s="6">
        <f>Table1[[#This Row],[pledged]]/Table1[[#This Row],[goal]]</f>
        <v>0</v>
      </c>
      <c r="T2505" s="8" t="str">
        <f>IF(Table1[[#This Row],[pledged]]=0,"no backers",Table1[[#This Row],[pledged]]/Table1[[#This Row],[backers_count]])</f>
        <v>no backers</v>
      </c>
      <c r="U2505" t="str">
        <f>LEFT(Table1[[#This Row],[Category and Sub-Category]],FIND("/",Table1[[#This Row],[Category and Sub-Category]])-1)</f>
        <v>food</v>
      </c>
      <c r="V2505" t="str">
        <f>RIGHT(Table1[[#This Row],[Category and Sub-Category]],LEN(Table1[[#This Row],[Category and Sub-Category]])-FIND("/",Table1[[#This Row],[Category and Sub-Category]]))</f>
        <v>restaurants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 s="12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>((Table1[[#This Row],[deadline]]/60)/60/24)+DATE(1970,1,1)</f>
        <v>41958.057106481487</v>
      </c>
      <c r="K2506">
        <v>1413418934</v>
      </c>
      <c r="L2506" s="11">
        <f>((Table1[[#This Row],[launched_at]]/60)/60/24)+DATE(1970,1,1)</f>
        <v>41928.015439814815</v>
      </c>
      <c r="M2506">
        <f>MONTH(Table1[[#This Row],[Date Created Conversion]])</f>
        <v>10</v>
      </c>
      <c r="N2506">
        <f>YEAR(Table1[[#This Row],[Date Created Conversion]])</f>
        <v>2014</v>
      </c>
      <c r="O2506" t="b">
        <v>0</v>
      </c>
      <c r="P2506">
        <v>0</v>
      </c>
      <c r="Q2506" t="b">
        <v>0</v>
      </c>
      <c r="R2506" t="s">
        <v>8299</v>
      </c>
      <c r="S2506" s="6">
        <f>Table1[[#This Row],[pledged]]/Table1[[#This Row],[goal]]</f>
        <v>0</v>
      </c>
      <c r="T2506" s="8" t="str">
        <f>IF(Table1[[#This Row],[pledged]]=0,"no backers",Table1[[#This Row],[pledged]]/Table1[[#This Row],[backers_count]])</f>
        <v>no backers</v>
      </c>
      <c r="U2506" t="str">
        <f>LEFT(Table1[[#This Row],[Category and Sub-Category]],FIND("/",Table1[[#This Row],[Category and Sub-Category]])-1)</f>
        <v>food</v>
      </c>
      <c r="V2506" t="str">
        <f>RIGHT(Table1[[#This Row],[Category and Sub-Category]],LEN(Table1[[#This Row],[Category and Sub-Category]])-FIND("/",Table1[[#This Row],[Category and Sub-Category]]))</f>
        <v>restaurants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 s="12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>((Table1[[#This Row],[deadline]]/60)/60/24)+DATE(1970,1,1)</f>
        <v>42077.014074074075</v>
      </c>
      <c r="K2507">
        <v>1423704016</v>
      </c>
      <c r="L2507" s="11">
        <f>((Table1[[#This Row],[launched_at]]/60)/60/24)+DATE(1970,1,1)</f>
        <v>42047.05574074074</v>
      </c>
      <c r="M2507">
        <f>MONTH(Table1[[#This Row],[Date Created Conversion]])</f>
        <v>2</v>
      </c>
      <c r="N2507">
        <f>YEAR(Table1[[#This Row],[Date Created Conversion]])</f>
        <v>2015</v>
      </c>
      <c r="O2507" t="b">
        <v>0</v>
      </c>
      <c r="P2507">
        <v>0</v>
      </c>
      <c r="Q2507" t="b">
        <v>0</v>
      </c>
      <c r="R2507" t="s">
        <v>8299</v>
      </c>
      <c r="S2507" s="6">
        <f>Table1[[#This Row],[pledged]]/Table1[[#This Row],[goal]]</f>
        <v>0</v>
      </c>
      <c r="T2507" s="8" t="str">
        <f>IF(Table1[[#This Row],[pledged]]=0,"no backers",Table1[[#This Row],[pledged]]/Table1[[#This Row],[backers_count]])</f>
        <v>no backers</v>
      </c>
      <c r="U2507" t="str">
        <f>LEFT(Table1[[#This Row],[Category and Sub-Category]],FIND("/",Table1[[#This Row],[Category and Sub-Category]])-1)</f>
        <v>food</v>
      </c>
      <c r="V2507" t="str">
        <f>RIGHT(Table1[[#This Row],[Category and Sub-Category]],LEN(Table1[[#This Row],[Category and Sub-Category]])-FIND("/",Table1[[#This Row],[Category and Sub-Category]]))</f>
        <v>restaurants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 s="12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>((Table1[[#This Row],[deadline]]/60)/60/24)+DATE(1970,1,1)</f>
        <v>42280.875</v>
      </c>
      <c r="K2508">
        <v>1441955269</v>
      </c>
      <c r="L2508" s="11">
        <f>((Table1[[#This Row],[launched_at]]/60)/60/24)+DATE(1970,1,1)</f>
        <v>42258.297094907408</v>
      </c>
      <c r="M2508">
        <f>MONTH(Table1[[#This Row],[Date Created Conversion]])</f>
        <v>9</v>
      </c>
      <c r="N2508">
        <f>YEAR(Table1[[#This Row],[Date Created Conversion]])</f>
        <v>2015</v>
      </c>
      <c r="O2508" t="b">
        <v>0</v>
      </c>
      <c r="P2508">
        <v>2</v>
      </c>
      <c r="Q2508" t="b">
        <v>0</v>
      </c>
      <c r="R2508" t="s">
        <v>8299</v>
      </c>
      <c r="S2508" s="6">
        <f>Table1[[#This Row],[pledged]]/Table1[[#This Row],[goal]]</f>
        <v>6.0000000000000001E-3</v>
      </c>
      <c r="T2508" s="8">
        <f>IF(Table1[[#This Row],[pledged]]=0,"no backers",Table1[[#This Row],[pledged]]/Table1[[#This Row],[backers_count]])</f>
        <v>15</v>
      </c>
      <c r="U2508" t="str">
        <f>LEFT(Table1[[#This Row],[Category and Sub-Category]],FIND("/",Table1[[#This Row],[Category and Sub-Category]])-1)</f>
        <v>food</v>
      </c>
      <c r="V2508" t="str">
        <f>RIGHT(Table1[[#This Row],[Category and Sub-Category]],LEN(Table1[[#This Row],[Category and Sub-Category]])-FIND("/",Table1[[#This Row],[Category and Sub-Category]]))</f>
        <v>restaurants</v>
      </c>
    </row>
    <row r="2509" spans="1:22" x14ac:dyDescent="0.3">
      <c r="A2509">
        <v>2507</v>
      </c>
      <c r="B2509" s="3" t="s">
        <v>2507</v>
      </c>
      <c r="C2509" s="3" t="s">
        <v>6617</v>
      </c>
      <c r="D2509" s="12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>((Table1[[#This Row],[deadline]]/60)/60/24)+DATE(1970,1,1)</f>
        <v>42135.072962962964</v>
      </c>
      <c r="K2509">
        <v>1428716704</v>
      </c>
      <c r="L2509" s="11">
        <f>((Table1[[#This Row],[launched_at]]/60)/60/24)+DATE(1970,1,1)</f>
        <v>42105.072962962964</v>
      </c>
      <c r="M2509">
        <f>MONTH(Table1[[#This Row],[Date Created Conversion]])</f>
        <v>4</v>
      </c>
      <c r="N2509">
        <f>YEAR(Table1[[#This Row],[Date Created Conversion]])</f>
        <v>2015</v>
      </c>
      <c r="O2509" t="b">
        <v>0</v>
      </c>
      <c r="P2509">
        <v>0</v>
      </c>
      <c r="Q2509" t="b">
        <v>0</v>
      </c>
      <c r="R2509" t="s">
        <v>8299</v>
      </c>
      <c r="S2509" s="6">
        <f>Table1[[#This Row],[pledged]]/Table1[[#This Row],[goal]]</f>
        <v>0</v>
      </c>
      <c r="T2509" s="8" t="str">
        <f>IF(Table1[[#This Row],[pledged]]=0,"no backers",Table1[[#This Row],[pledged]]/Table1[[#This Row],[backers_count]])</f>
        <v>no backers</v>
      </c>
      <c r="U2509" t="str">
        <f>LEFT(Table1[[#This Row],[Category and Sub-Category]],FIND("/",Table1[[#This Row],[Category and Sub-Category]])-1)</f>
        <v>food</v>
      </c>
      <c r="V2509" t="str">
        <f>RIGHT(Table1[[#This Row],[Category and Sub-Category]],LEN(Table1[[#This Row],[Category and Sub-Category]])-FIND("/",Table1[[#This Row],[Category and Sub-Category]]))</f>
        <v>restaurants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 s="12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>((Table1[[#This Row],[deadline]]/60)/60/24)+DATE(1970,1,1)</f>
        <v>41865.951782407406</v>
      </c>
      <c r="K2510">
        <v>1405464634</v>
      </c>
      <c r="L2510" s="11">
        <f>((Table1[[#This Row],[launched_at]]/60)/60/24)+DATE(1970,1,1)</f>
        <v>41835.951782407406</v>
      </c>
      <c r="M2510">
        <f>MONTH(Table1[[#This Row],[Date Created Conversion]])</f>
        <v>7</v>
      </c>
      <c r="N2510">
        <f>YEAR(Table1[[#This Row],[Date Created Conversion]])</f>
        <v>2014</v>
      </c>
      <c r="O2510" t="b">
        <v>0</v>
      </c>
      <c r="P2510">
        <v>0</v>
      </c>
      <c r="Q2510" t="b">
        <v>0</v>
      </c>
      <c r="R2510" t="s">
        <v>8299</v>
      </c>
      <c r="S2510" s="6">
        <f>Table1[[#This Row],[pledged]]/Table1[[#This Row],[goal]]</f>
        <v>0</v>
      </c>
      <c r="T2510" s="8" t="str">
        <f>IF(Table1[[#This Row],[pledged]]=0,"no backers",Table1[[#This Row],[pledged]]/Table1[[#This Row],[backers_count]])</f>
        <v>no backers</v>
      </c>
      <c r="U2510" t="str">
        <f>LEFT(Table1[[#This Row],[Category and Sub-Category]],FIND("/",Table1[[#This Row],[Category and Sub-Category]])-1)</f>
        <v>food</v>
      </c>
      <c r="V2510" t="str">
        <f>RIGHT(Table1[[#This Row],[Category and Sub-Category]],LEN(Table1[[#This Row],[Category and Sub-Category]])-FIND("/",Table1[[#This Row],[Category and Sub-Category]]))</f>
        <v>restaurants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 s="12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>((Table1[[#This Row],[deadline]]/60)/60/24)+DATE(1970,1,1)</f>
        <v>42114.767928240741</v>
      </c>
      <c r="K2511">
        <v>1424719549</v>
      </c>
      <c r="L2511" s="11">
        <f>((Table1[[#This Row],[launched_at]]/60)/60/24)+DATE(1970,1,1)</f>
        <v>42058.809594907405</v>
      </c>
      <c r="M2511">
        <f>MONTH(Table1[[#This Row],[Date Created Conversion]])</f>
        <v>2</v>
      </c>
      <c r="N2511">
        <f>YEAR(Table1[[#This Row],[Date Created Conversion]])</f>
        <v>2015</v>
      </c>
      <c r="O2511" t="b">
        <v>0</v>
      </c>
      <c r="P2511">
        <v>28</v>
      </c>
      <c r="Q2511" t="b">
        <v>0</v>
      </c>
      <c r="R2511" t="s">
        <v>8299</v>
      </c>
      <c r="S2511" s="6">
        <f>Table1[[#This Row],[pledged]]/Table1[[#This Row],[goal]]</f>
        <v>1.0526315789473684E-2</v>
      </c>
      <c r="T2511" s="8">
        <f>IF(Table1[[#This Row],[pledged]]=0,"no backers",Table1[[#This Row],[pledged]]/Table1[[#This Row],[backers_count]])</f>
        <v>35.714285714285715</v>
      </c>
      <c r="U2511" t="str">
        <f>LEFT(Table1[[#This Row],[Category and Sub-Category]],FIND("/",Table1[[#This Row],[Category and Sub-Category]])-1)</f>
        <v>food</v>
      </c>
      <c r="V2511" t="str">
        <f>RIGHT(Table1[[#This Row],[Category and Sub-Category]],LEN(Table1[[#This Row],[Category and Sub-Category]])-FIND("/",Table1[[#This Row],[Category and Sub-Category]]))</f>
        <v>restaurants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 s="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>((Table1[[#This Row],[deadline]]/60)/60/24)+DATE(1970,1,1)</f>
        <v>42138.997361111105</v>
      </c>
      <c r="K2512">
        <v>1426463772</v>
      </c>
      <c r="L2512" s="11">
        <f>((Table1[[#This Row],[launched_at]]/60)/60/24)+DATE(1970,1,1)</f>
        <v>42078.997361111105</v>
      </c>
      <c r="M2512">
        <f>MONTH(Table1[[#This Row],[Date Created Conversion]])</f>
        <v>3</v>
      </c>
      <c r="N2512">
        <f>YEAR(Table1[[#This Row],[Date Created Conversion]])</f>
        <v>2015</v>
      </c>
      <c r="O2512" t="b">
        <v>0</v>
      </c>
      <c r="P2512">
        <v>2</v>
      </c>
      <c r="Q2512" t="b">
        <v>0</v>
      </c>
      <c r="R2512" t="s">
        <v>8299</v>
      </c>
      <c r="S2512" s="6">
        <f>Table1[[#This Row],[pledged]]/Table1[[#This Row],[goal]]</f>
        <v>1.5E-3</v>
      </c>
      <c r="T2512" s="8">
        <f>IF(Table1[[#This Row],[pledged]]=0,"no backers",Table1[[#This Row],[pledged]]/Table1[[#This Row],[backers_count]])</f>
        <v>37.5</v>
      </c>
      <c r="U2512" t="str">
        <f>LEFT(Table1[[#This Row],[Category and Sub-Category]],FIND("/",Table1[[#This Row],[Category and Sub-Category]])-1)</f>
        <v>food</v>
      </c>
      <c r="V2512" t="str">
        <f>RIGHT(Table1[[#This Row],[Category and Sub-Category]],LEN(Table1[[#This Row],[Category and Sub-Category]])-FIND("/",Table1[[#This Row],[Category and Sub-Category]]))</f>
        <v>restaurants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 s="12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>((Table1[[#This Row],[deadline]]/60)/60/24)+DATE(1970,1,1)</f>
        <v>42401.446909722217</v>
      </c>
      <c r="K2513">
        <v>1451731413</v>
      </c>
      <c r="L2513" s="11">
        <f>((Table1[[#This Row],[launched_at]]/60)/60/24)+DATE(1970,1,1)</f>
        <v>42371.446909722217</v>
      </c>
      <c r="M2513">
        <f>MONTH(Table1[[#This Row],[Date Created Conversion]])</f>
        <v>1</v>
      </c>
      <c r="N2513">
        <f>YEAR(Table1[[#This Row],[Date Created Conversion]])</f>
        <v>2016</v>
      </c>
      <c r="O2513" t="b">
        <v>0</v>
      </c>
      <c r="P2513">
        <v>0</v>
      </c>
      <c r="Q2513" t="b">
        <v>0</v>
      </c>
      <c r="R2513" t="s">
        <v>8299</v>
      </c>
      <c r="S2513" s="6">
        <f>Table1[[#This Row],[pledged]]/Table1[[#This Row],[goal]]</f>
        <v>0</v>
      </c>
      <c r="T2513" s="8" t="str">
        <f>IF(Table1[[#This Row],[pledged]]=0,"no backers",Table1[[#This Row],[pledged]]/Table1[[#This Row],[backers_count]])</f>
        <v>no backers</v>
      </c>
      <c r="U2513" t="str">
        <f>LEFT(Table1[[#This Row],[Category and Sub-Category]],FIND("/",Table1[[#This Row],[Category and Sub-Category]])-1)</f>
        <v>food</v>
      </c>
      <c r="V2513" t="str">
        <f>RIGHT(Table1[[#This Row],[Category and Sub-Category]],LEN(Table1[[#This Row],[Category and Sub-Category]])-FIND("/",Table1[[#This Row],[Category and Sub-Category]]))</f>
        <v>restaurants</v>
      </c>
    </row>
    <row r="2514" spans="1:22" ht="43.2" x14ac:dyDescent="0.3">
      <c r="A2514">
        <v>2512</v>
      </c>
      <c r="B2514" s="3" t="s">
        <v>2512</v>
      </c>
      <c r="C2514" s="3" t="s">
        <v>6622</v>
      </c>
      <c r="D2514" s="12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>((Table1[[#This Row],[deadline]]/60)/60/24)+DATE(1970,1,1)</f>
        <v>41986.876863425925</v>
      </c>
      <c r="K2514">
        <v>1417208561</v>
      </c>
      <c r="L2514" s="11">
        <f>((Table1[[#This Row],[launched_at]]/60)/60/24)+DATE(1970,1,1)</f>
        <v>41971.876863425925</v>
      </c>
      <c r="M2514">
        <f>MONTH(Table1[[#This Row],[Date Created Conversion]])</f>
        <v>11</v>
      </c>
      <c r="N2514">
        <f>YEAR(Table1[[#This Row],[Date Created Conversion]])</f>
        <v>2014</v>
      </c>
      <c r="O2514" t="b">
        <v>0</v>
      </c>
      <c r="P2514">
        <v>0</v>
      </c>
      <c r="Q2514" t="b">
        <v>0</v>
      </c>
      <c r="R2514" t="s">
        <v>8299</v>
      </c>
      <c r="S2514" s="6">
        <f>Table1[[#This Row],[pledged]]/Table1[[#This Row],[goal]]</f>
        <v>0</v>
      </c>
      <c r="T2514" s="8" t="str">
        <f>IF(Table1[[#This Row],[pledged]]=0,"no backers",Table1[[#This Row],[pledged]]/Table1[[#This Row],[backers_count]])</f>
        <v>no backers</v>
      </c>
      <c r="U2514" t="str">
        <f>LEFT(Table1[[#This Row],[Category and Sub-Category]],FIND("/",Table1[[#This Row],[Category and Sub-Category]])-1)</f>
        <v>food</v>
      </c>
      <c r="V2514" t="str">
        <f>RIGHT(Table1[[#This Row],[Category and Sub-Category]],LEN(Table1[[#This Row],[Category and Sub-Category]])-FIND("/",Table1[[#This Row],[Category and Sub-Category]]))</f>
        <v>restaurants</v>
      </c>
    </row>
    <row r="2515" spans="1:22" ht="57.6" x14ac:dyDescent="0.3">
      <c r="A2515">
        <v>2513</v>
      </c>
      <c r="B2515" s="3" t="s">
        <v>2513</v>
      </c>
      <c r="C2515" s="3" t="s">
        <v>6623</v>
      </c>
      <c r="D2515" s="12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>((Table1[[#This Row],[deadline]]/60)/60/24)+DATE(1970,1,1)</f>
        <v>42792.00681712963</v>
      </c>
      <c r="K2515">
        <v>1482883789</v>
      </c>
      <c r="L2515" s="11">
        <f>((Table1[[#This Row],[launched_at]]/60)/60/24)+DATE(1970,1,1)</f>
        <v>42732.00681712963</v>
      </c>
      <c r="M2515">
        <f>MONTH(Table1[[#This Row],[Date Created Conversion]])</f>
        <v>12</v>
      </c>
      <c r="N2515">
        <f>YEAR(Table1[[#This Row],[Date Created Conversion]])</f>
        <v>2016</v>
      </c>
      <c r="O2515" t="b">
        <v>0</v>
      </c>
      <c r="P2515">
        <v>0</v>
      </c>
      <c r="Q2515" t="b">
        <v>0</v>
      </c>
      <c r="R2515" t="s">
        <v>8299</v>
      </c>
      <c r="S2515" s="6">
        <f>Table1[[#This Row],[pledged]]/Table1[[#This Row],[goal]]</f>
        <v>0</v>
      </c>
      <c r="T2515" s="8" t="str">
        <f>IF(Table1[[#This Row],[pledged]]=0,"no backers",Table1[[#This Row],[pledged]]/Table1[[#This Row],[backers_count]])</f>
        <v>no backers</v>
      </c>
      <c r="U2515" t="str">
        <f>LEFT(Table1[[#This Row],[Category and Sub-Category]],FIND("/",Table1[[#This Row],[Category and Sub-Category]])-1)</f>
        <v>food</v>
      </c>
      <c r="V2515" t="str">
        <f>RIGHT(Table1[[#This Row],[Category and Sub-Category]],LEN(Table1[[#This Row],[Category and Sub-Category]])-FIND("/",Table1[[#This Row],[Category and Sub-Category]]))</f>
        <v>restaurants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 s="12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>((Table1[[#This Row],[deadline]]/60)/60/24)+DATE(1970,1,1)</f>
        <v>41871.389780092592</v>
      </c>
      <c r="K2516">
        <v>1407057677</v>
      </c>
      <c r="L2516" s="11">
        <f>((Table1[[#This Row],[launched_at]]/60)/60/24)+DATE(1970,1,1)</f>
        <v>41854.389780092592</v>
      </c>
      <c r="M2516">
        <f>MONTH(Table1[[#This Row],[Date Created Conversion]])</f>
        <v>8</v>
      </c>
      <c r="N2516">
        <f>YEAR(Table1[[#This Row],[Date Created Conversion]])</f>
        <v>2014</v>
      </c>
      <c r="O2516" t="b">
        <v>0</v>
      </c>
      <c r="P2516">
        <v>4</v>
      </c>
      <c r="Q2516" t="b">
        <v>0</v>
      </c>
      <c r="R2516" t="s">
        <v>8299</v>
      </c>
      <c r="S2516" s="6">
        <f>Table1[[#This Row],[pledged]]/Table1[[#This Row],[goal]]</f>
        <v>1.7500000000000002E-2</v>
      </c>
      <c r="T2516" s="8">
        <f>IF(Table1[[#This Row],[pledged]]=0,"no backers",Table1[[#This Row],[pledged]]/Table1[[#This Row],[backers_count]])</f>
        <v>52.5</v>
      </c>
      <c r="U2516" t="str">
        <f>LEFT(Table1[[#This Row],[Category and Sub-Category]],FIND("/",Table1[[#This Row],[Category and Sub-Category]])-1)</f>
        <v>food</v>
      </c>
      <c r="V2516" t="str">
        <f>RIGHT(Table1[[#This Row],[Category and Sub-Category]],LEN(Table1[[#This Row],[Category and Sub-Category]])-FIND("/",Table1[[#This Row],[Category and Sub-Category]]))</f>
        <v>restaurants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 s="12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>((Table1[[#This Row],[deadline]]/60)/60/24)+DATE(1970,1,1)</f>
        <v>42057.839733796296</v>
      </c>
      <c r="K2517">
        <v>1422043753</v>
      </c>
      <c r="L2517" s="11">
        <f>((Table1[[#This Row],[launched_at]]/60)/60/24)+DATE(1970,1,1)</f>
        <v>42027.839733796296</v>
      </c>
      <c r="M2517">
        <f>MONTH(Table1[[#This Row],[Date Created Conversion]])</f>
        <v>1</v>
      </c>
      <c r="N2517">
        <f>YEAR(Table1[[#This Row],[Date Created Conversion]])</f>
        <v>2015</v>
      </c>
      <c r="O2517" t="b">
        <v>0</v>
      </c>
      <c r="P2517">
        <v>12</v>
      </c>
      <c r="Q2517" t="b">
        <v>0</v>
      </c>
      <c r="R2517" t="s">
        <v>8299</v>
      </c>
      <c r="S2517" s="6">
        <f>Table1[[#This Row],[pledged]]/Table1[[#This Row],[goal]]</f>
        <v>0.186</v>
      </c>
      <c r="T2517" s="8">
        <f>IF(Table1[[#This Row],[pledged]]=0,"no backers",Table1[[#This Row],[pledged]]/Table1[[#This Row],[backers_count]])</f>
        <v>77.5</v>
      </c>
      <c r="U2517" t="str">
        <f>LEFT(Table1[[#This Row],[Category and Sub-Category]],FIND("/",Table1[[#This Row],[Category and Sub-Category]])-1)</f>
        <v>food</v>
      </c>
      <c r="V2517" t="str">
        <f>RIGHT(Table1[[#This Row],[Category and Sub-Category]],LEN(Table1[[#This Row],[Category and Sub-Category]])-FIND("/",Table1[[#This Row],[Category and Sub-Category]]))</f>
        <v>restaurants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 s="12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>((Table1[[#This Row],[deadline]]/60)/60/24)+DATE(1970,1,1)</f>
        <v>41972.6950462963</v>
      </c>
      <c r="K2518">
        <v>1414683652</v>
      </c>
      <c r="L2518" s="11">
        <f>((Table1[[#This Row],[launched_at]]/60)/60/24)+DATE(1970,1,1)</f>
        <v>41942.653379629628</v>
      </c>
      <c r="M2518">
        <f>MONTH(Table1[[#This Row],[Date Created Conversion]])</f>
        <v>10</v>
      </c>
      <c r="N2518">
        <f>YEAR(Table1[[#This Row],[Date Created Conversion]])</f>
        <v>2014</v>
      </c>
      <c r="O2518" t="b">
        <v>0</v>
      </c>
      <c r="P2518">
        <v>0</v>
      </c>
      <c r="Q2518" t="b">
        <v>0</v>
      </c>
      <c r="R2518" t="s">
        <v>8299</v>
      </c>
      <c r="S2518" s="6">
        <f>Table1[[#This Row],[pledged]]/Table1[[#This Row],[goal]]</f>
        <v>0</v>
      </c>
      <c r="T2518" s="8" t="str">
        <f>IF(Table1[[#This Row],[pledged]]=0,"no backers",Table1[[#This Row],[pledged]]/Table1[[#This Row],[backers_count]])</f>
        <v>no backers</v>
      </c>
      <c r="U2518" t="str">
        <f>LEFT(Table1[[#This Row],[Category and Sub-Category]],FIND("/",Table1[[#This Row],[Category and Sub-Category]])-1)</f>
        <v>food</v>
      </c>
      <c r="V2518" t="str">
        <f>RIGHT(Table1[[#This Row],[Category and Sub-Category]],LEN(Table1[[#This Row],[Category and Sub-Category]])-FIND("/",Table1[[#This Row],[Category and Sub-Category]]))</f>
        <v>restaurants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 s="12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>((Table1[[#This Row],[deadline]]/60)/60/24)+DATE(1970,1,1)</f>
        <v>42082.760763888888</v>
      </c>
      <c r="K2519">
        <v>1424200530</v>
      </c>
      <c r="L2519" s="11">
        <f>((Table1[[#This Row],[launched_at]]/60)/60/24)+DATE(1970,1,1)</f>
        <v>42052.802430555559</v>
      </c>
      <c r="M2519">
        <f>MONTH(Table1[[#This Row],[Date Created Conversion]])</f>
        <v>2</v>
      </c>
      <c r="N2519">
        <f>YEAR(Table1[[#This Row],[Date Created Conversion]])</f>
        <v>2015</v>
      </c>
      <c r="O2519" t="b">
        <v>0</v>
      </c>
      <c r="P2519">
        <v>33</v>
      </c>
      <c r="Q2519" t="b">
        <v>0</v>
      </c>
      <c r="R2519" t="s">
        <v>8299</v>
      </c>
      <c r="S2519" s="6">
        <f>Table1[[#This Row],[pledged]]/Table1[[#This Row],[goal]]</f>
        <v>9.8166666666666666E-2</v>
      </c>
      <c r="T2519" s="8">
        <f>IF(Table1[[#This Row],[pledged]]=0,"no backers",Table1[[#This Row],[pledged]]/Table1[[#This Row],[backers_count]])</f>
        <v>53.545454545454547</v>
      </c>
      <c r="U2519" t="str">
        <f>LEFT(Table1[[#This Row],[Category and Sub-Category]],FIND("/",Table1[[#This Row],[Category and Sub-Category]])-1)</f>
        <v>food</v>
      </c>
      <c r="V2519" t="str">
        <f>RIGHT(Table1[[#This Row],[Category and Sub-Category]],LEN(Table1[[#This Row],[Category and Sub-Category]])-FIND("/",Table1[[#This Row],[Category and Sub-Category]]))</f>
        <v>restaurants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 s="12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>((Table1[[#This Row],[deadline]]/60)/60/24)+DATE(1970,1,1)</f>
        <v>41956.722546296296</v>
      </c>
      <c r="K2520">
        <v>1413303628</v>
      </c>
      <c r="L2520" s="11">
        <f>((Table1[[#This Row],[launched_at]]/60)/60/24)+DATE(1970,1,1)</f>
        <v>41926.680879629632</v>
      </c>
      <c r="M2520">
        <f>MONTH(Table1[[#This Row],[Date Created Conversion]])</f>
        <v>10</v>
      </c>
      <c r="N2520">
        <f>YEAR(Table1[[#This Row],[Date Created Conversion]])</f>
        <v>2014</v>
      </c>
      <c r="O2520" t="b">
        <v>0</v>
      </c>
      <c r="P2520">
        <v>0</v>
      </c>
      <c r="Q2520" t="b">
        <v>0</v>
      </c>
      <c r="R2520" t="s">
        <v>8299</v>
      </c>
      <c r="S2520" s="6">
        <f>Table1[[#This Row],[pledged]]/Table1[[#This Row],[goal]]</f>
        <v>0</v>
      </c>
      <c r="T2520" s="8" t="str">
        <f>IF(Table1[[#This Row],[pledged]]=0,"no backers",Table1[[#This Row],[pledged]]/Table1[[#This Row],[backers_count]])</f>
        <v>no backers</v>
      </c>
      <c r="U2520" t="str">
        <f>LEFT(Table1[[#This Row],[Category and Sub-Category]],FIND("/",Table1[[#This Row],[Category and Sub-Category]])-1)</f>
        <v>food</v>
      </c>
      <c r="V2520" t="str">
        <f>RIGHT(Table1[[#This Row],[Category and Sub-Category]],LEN(Table1[[#This Row],[Category and Sub-Category]])-FIND("/",Table1[[#This Row],[Category and Sub-Category]]))</f>
        <v>restaurants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 s="12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>((Table1[[#This Row],[deadline]]/60)/60/24)+DATE(1970,1,1)</f>
        <v>41839.155138888891</v>
      </c>
      <c r="K2521">
        <v>1403149404</v>
      </c>
      <c r="L2521" s="11">
        <f>((Table1[[#This Row],[launched_at]]/60)/60/24)+DATE(1970,1,1)</f>
        <v>41809.155138888891</v>
      </c>
      <c r="M2521">
        <f>MONTH(Table1[[#This Row],[Date Created Conversion]])</f>
        <v>6</v>
      </c>
      <c r="N2521">
        <f>YEAR(Table1[[#This Row],[Date Created Conversion]])</f>
        <v>2014</v>
      </c>
      <c r="O2521" t="b">
        <v>0</v>
      </c>
      <c r="P2521">
        <v>4</v>
      </c>
      <c r="Q2521" t="b">
        <v>0</v>
      </c>
      <c r="R2521" t="s">
        <v>8299</v>
      </c>
      <c r="S2521" s="6">
        <f>Table1[[#This Row],[pledged]]/Table1[[#This Row],[goal]]</f>
        <v>4.3333333333333331E-4</v>
      </c>
      <c r="T2521" s="8">
        <f>IF(Table1[[#This Row],[pledged]]=0,"no backers",Table1[[#This Row],[pledged]]/Table1[[#This Row],[backers_count]])</f>
        <v>16.25</v>
      </c>
      <c r="U2521" t="str">
        <f>LEFT(Table1[[#This Row],[Category and Sub-Category]],FIND("/",Table1[[#This Row],[Category and Sub-Category]])-1)</f>
        <v>food</v>
      </c>
      <c r="V2521" t="str">
        <f>RIGHT(Table1[[#This Row],[Category and Sub-Category]],LEN(Table1[[#This Row],[Category and Sub-Category]])-FIND("/",Table1[[#This Row],[Category and Sub-Category]]))</f>
        <v>restaurants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 s="1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>((Table1[[#This Row],[deadline]]/60)/60/24)+DATE(1970,1,1)</f>
        <v>42658.806249999994</v>
      </c>
      <c r="K2522">
        <v>1472567085</v>
      </c>
      <c r="L2522" s="11">
        <f>((Table1[[#This Row],[launched_at]]/60)/60/24)+DATE(1970,1,1)</f>
        <v>42612.600520833337</v>
      </c>
      <c r="M2522">
        <f>MONTH(Table1[[#This Row],[Date Created Conversion]])</f>
        <v>8</v>
      </c>
      <c r="N2522">
        <f>YEAR(Table1[[#This Row],[Date Created Conversion]])</f>
        <v>2016</v>
      </c>
      <c r="O2522" t="b">
        <v>0</v>
      </c>
      <c r="P2522">
        <v>0</v>
      </c>
      <c r="Q2522" t="b">
        <v>0</v>
      </c>
      <c r="R2522" t="s">
        <v>8299</v>
      </c>
      <c r="S2522" s="6">
        <f>Table1[[#This Row],[pledged]]/Table1[[#This Row],[goal]]</f>
        <v>0</v>
      </c>
      <c r="T2522" s="8" t="str">
        <f>IF(Table1[[#This Row],[pledged]]=0,"no backers",Table1[[#This Row],[pledged]]/Table1[[#This Row],[backers_count]])</f>
        <v>no backers</v>
      </c>
      <c r="U2522" t="str">
        <f>LEFT(Table1[[#This Row],[Category and Sub-Category]],FIND("/",Table1[[#This Row],[Category and Sub-Category]])-1)</f>
        <v>food</v>
      </c>
      <c r="V2522" t="str">
        <f>RIGHT(Table1[[#This Row],[Category and Sub-Category]],LEN(Table1[[#This Row],[Category and Sub-Category]])-FIND("/",Table1[[#This Row],[Category and Sub-Category]]))</f>
        <v>restaurants</v>
      </c>
    </row>
    <row r="2523" spans="1:22" ht="57.6" x14ac:dyDescent="0.3">
      <c r="A2523">
        <v>2521</v>
      </c>
      <c r="B2523" s="3" t="s">
        <v>2521</v>
      </c>
      <c r="C2523" s="3" t="s">
        <v>6631</v>
      </c>
      <c r="D2523" s="12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>((Table1[[#This Row],[deadline]]/60)/60/24)+DATE(1970,1,1)</f>
        <v>42290.967835648145</v>
      </c>
      <c r="K2523">
        <v>1442963621</v>
      </c>
      <c r="L2523" s="11">
        <f>((Table1[[#This Row],[launched_at]]/60)/60/24)+DATE(1970,1,1)</f>
        <v>42269.967835648145</v>
      </c>
      <c r="M2523">
        <f>MONTH(Table1[[#This Row],[Date Created Conversion]])</f>
        <v>9</v>
      </c>
      <c r="N2523">
        <f>YEAR(Table1[[#This Row],[Date Created Conversion]])</f>
        <v>2015</v>
      </c>
      <c r="O2523" t="b">
        <v>0</v>
      </c>
      <c r="P2523">
        <v>132</v>
      </c>
      <c r="Q2523" t="b">
        <v>1</v>
      </c>
      <c r="R2523" t="s">
        <v>8300</v>
      </c>
      <c r="S2523" s="6">
        <f>Table1[[#This Row],[pledged]]/Table1[[#This Row],[goal]]</f>
        <v>1.0948792000000001</v>
      </c>
      <c r="T2523" s="8">
        <f>IF(Table1[[#This Row],[pledged]]=0,"no backers",Table1[[#This Row],[pledged]]/Table1[[#This Row],[backers_count]])</f>
        <v>103.68174242424243</v>
      </c>
      <c r="U2523" t="str">
        <f>LEFT(Table1[[#This Row],[Category and Sub-Category]],FIND("/",Table1[[#This Row],[Category and Sub-Category]])-1)</f>
        <v>music</v>
      </c>
      <c r="V2523" t="str">
        <f>RIGHT(Table1[[#This Row],[Category and Sub-Category]],LEN(Table1[[#This Row],[Category and Sub-Category]])-FIND("/",Table1[[#This Row],[Category and Sub-Category]]))</f>
        <v>classical music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 s="12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>((Table1[[#This Row],[deadline]]/60)/60/24)+DATE(1970,1,1)</f>
        <v>42482.619444444441</v>
      </c>
      <c r="K2524">
        <v>1459431960</v>
      </c>
      <c r="L2524" s="11">
        <f>((Table1[[#This Row],[launched_at]]/60)/60/24)+DATE(1970,1,1)</f>
        <v>42460.573611111111</v>
      </c>
      <c r="M2524">
        <f>MONTH(Table1[[#This Row],[Date Created Conversion]])</f>
        <v>3</v>
      </c>
      <c r="N2524">
        <f>YEAR(Table1[[#This Row],[Date Created Conversion]])</f>
        <v>2016</v>
      </c>
      <c r="O2524" t="b">
        <v>0</v>
      </c>
      <c r="P2524">
        <v>27</v>
      </c>
      <c r="Q2524" t="b">
        <v>1</v>
      </c>
      <c r="R2524" t="s">
        <v>8300</v>
      </c>
      <c r="S2524" s="6">
        <f>Table1[[#This Row],[pledged]]/Table1[[#This Row],[goal]]</f>
        <v>1</v>
      </c>
      <c r="T2524" s="8">
        <f>IF(Table1[[#This Row],[pledged]]=0,"no backers",Table1[[#This Row],[pledged]]/Table1[[#This Row],[backers_count]])</f>
        <v>185.18518518518519</v>
      </c>
      <c r="U2524" t="str">
        <f>LEFT(Table1[[#This Row],[Category and Sub-Category]],FIND("/",Table1[[#This Row],[Category and Sub-Category]])-1)</f>
        <v>music</v>
      </c>
      <c r="V2524" t="str">
        <f>RIGHT(Table1[[#This Row],[Category and Sub-Category]],LEN(Table1[[#This Row],[Category and Sub-Category]])-FIND("/",Table1[[#This Row],[Category and Sub-Category]]))</f>
        <v>classical music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 s="12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>((Table1[[#This Row],[deadline]]/60)/60/24)+DATE(1970,1,1)</f>
        <v>41961.017268518524</v>
      </c>
      <c r="K2525">
        <v>1413674692</v>
      </c>
      <c r="L2525" s="11">
        <f>((Table1[[#This Row],[launched_at]]/60)/60/24)+DATE(1970,1,1)</f>
        <v>41930.975601851853</v>
      </c>
      <c r="M2525">
        <f>MONTH(Table1[[#This Row],[Date Created Conversion]])</f>
        <v>10</v>
      </c>
      <c r="N2525">
        <f>YEAR(Table1[[#This Row],[Date Created Conversion]])</f>
        <v>2014</v>
      </c>
      <c r="O2525" t="b">
        <v>0</v>
      </c>
      <c r="P2525">
        <v>26</v>
      </c>
      <c r="Q2525" t="b">
        <v>1</v>
      </c>
      <c r="R2525" t="s">
        <v>8300</v>
      </c>
      <c r="S2525" s="6">
        <f>Table1[[#This Row],[pledged]]/Table1[[#This Row],[goal]]</f>
        <v>1.5644444444444445</v>
      </c>
      <c r="T2525" s="8">
        <f>IF(Table1[[#This Row],[pledged]]=0,"no backers",Table1[[#This Row],[pledged]]/Table1[[#This Row],[backers_count]])</f>
        <v>54.153846153846153</v>
      </c>
      <c r="U2525" t="str">
        <f>LEFT(Table1[[#This Row],[Category and Sub-Category]],FIND("/",Table1[[#This Row],[Category and Sub-Category]])-1)</f>
        <v>music</v>
      </c>
      <c r="V2525" t="str">
        <f>RIGHT(Table1[[#This Row],[Category and Sub-Category]],LEN(Table1[[#This Row],[Category and Sub-Category]])-FIND("/",Table1[[#This Row],[Category and Sub-Category]]))</f>
        <v>classical music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 s="12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>((Table1[[#This Row],[deadline]]/60)/60/24)+DATE(1970,1,1)</f>
        <v>41994.1875</v>
      </c>
      <c r="K2526">
        <v>1416338557</v>
      </c>
      <c r="L2526" s="11">
        <f>((Table1[[#This Row],[launched_at]]/60)/60/24)+DATE(1970,1,1)</f>
        <v>41961.807372685187</v>
      </c>
      <c r="M2526">
        <f>MONTH(Table1[[#This Row],[Date Created Conversion]])</f>
        <v>11</v>
      </c>
      <c r="N2526">
        <f>YEAR(Table1[[#This Row],[Date Created Conversion]])</f>
        <v>2014</v>
      </c>
      <c r="O2526" t="b">
        <v>0</v>
      </c>
      <c r="P2526">
        <v>43</v>
      </c>
      <c r="Q2526" t="b">
        <v>1</v>
      </c>
      <c r="R2526" t="s">
        <v>8300</v>
      </c>
      <c r="S2526" s="6">
        <f>Table1[[#This Row],[pledged]]/Table1[[#This Row],[goal]]</f>
        <v>1.016</v>
      </c>
      <c r="T2526" s="8">
        <f>IF(Table1[[#This Row],[pledged]]=0,"no backers",Table1[[#This Row],[pledged]]/Table1[[#This Row],[backers_count]])</f>
        <v>177.2093023255814</v>
      </c>
      <c r="U2526" t="str">
        <f>LEFT(Table1[[#This Row],[Category and Sub-Category]],FIND("/",Table1[[#This Row],[Category and Sub-Category]])-1)</f>
        <v>music</v>
      </c>
      <c r="V2526" t="str">
        <f>RIGHT(Table1[[#This Row],[Category and Sub-Category]],LEN(Table1[[#This Row],[Category and Sub-Category]])-FIND("/",Table1[[#This Row],[Category and Sub-Category]]))</f>
        <v>classical music</v>
      </c>
    </row>
    <row r="2527" spans="1:22" ht="43.2" x14ac:dyDescent="0.3">
      <c r="A2527">
        <v>2525</v>
      </c>
      <c r="B2527" s="3" t="s">
        <v>2525</v>
      </c>
      <c r="C2527" s="3" t="s">
        <v>6635</v>
      </c>
      <c r="D2527" s="12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>((Table1[[#This Row],[deadline]]/60)/60/24)+DATE(1970,1,1)</f>
        <v>41088.844571759262</v>
      </c>
      <c r="K2527">
        <v>1338322571</v>
      </c>
      <c r="L2527" s="11">
        <f>((Table1[[#This Row],[launched_at]]/60)/60/24)+DATE(1970,1,1)</f>
        <v>41058.844571759262</v>
      </c>
      <c r="M2527">
        <f>MONTH(Table1[[#This Row],[Date Created Conversion]])</f>
        <v>5</v>
      </c>
      <c r="N2527">
        <f>YEAR(Table1[[#This Row],[Date Created Conversion]])</f>
        <v>2012</v>
      </c>
      <c r="O2527" t="b">
        <v>0</v>
      </c>
      <c r="P2527">
        <v>80</v>
      </c>
      <c r="Q2527" t="b">
        <v>1</v>
      </c>
      <c r="R2527" t="s">
        <v>8300</v>
      </c>
      <c r="S2527" s="6">
        <f>Table1[[#This Row],[pledged]]/Table1[[#This Row],[goal]]</f>
        <v>1.00325</v>
      </c>
      <c r="T2527" s="8">
        <f>IF(Table1[[#This Row],[pledged]]=0,"no backers",Table1[[#This Row],[pledged]]/Table1[[#This Row],[backers_count]])</f>
        <v>100.325</v>
      </c>
      <c r="U2527" t="str">
        <f>LEFT(Table1[[#This Row],[Category and Sub-Category]],FIND("/",Table1[[#This Row],[Category and Sub-Category]])-1)</f>
        <v>music</v>
      </c>
      <c r="V2527" t="str">
        <f>RIGHT(Table1[[#This Row],[Category and Sub-Category]],LEN(Table1[[#This Row],[Category and Sub-Category]])-FIND("/",Table1[[#This Row],[Category and Sub-Category]]))</f>
        <v>classical music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 s="12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>((Table1[[#This Row],[deadline]]/60)/60/24)+DATE(1970,1,1)</f>
        <v>41981.207638888889</v>
      </c>
      <c r="K2528">
        <v>1415585474</v>
      </c>
      <c r="L2528" s="11">
        <f>((Table1[[#This Row],[launched_at]]/60)/60/24)+DATE(1970,1,1)</f>
        <v>41953.091134259259</v>
      </c>
      <c r="M2528">
        <f>MONTH(Table1[[#This Row],[Date Created Conversion]])</f>
        <v>11</v>
      </c>
      <c r="N2528">
        <f>YEAR(Table1[[#This Row],[Date Created Conversion]])</f>
        <v>2014</v>
      </c>
      <c r="O2528" t="b">
        <v>0</v>
      </c>
      <c r="P2528">
        <v>33</v>
      </c>
      <c r="Q2528" t="b">
        <v>1</v>
      </c>
      <c r="R2528" t="s">
        <v>8300</v>
      </c>
      <c r="S2528" s="6">
        <f>Table1[[#This Row],[pledged]]/Table1[[#This Row],[goal]]</f>
        <v>1.1294999999999999</v>
      </c>
      <c r="T2528" s="8">
        <f>IF(Table1[[#This Row],[pledged]]=0,"no backers",Table1[[#This Row],[pledged]]/Table1[[#This Row],[backers_count]])</f>
        <v>136.90909090909091</v>
      </c>
      <c r="U2528" t="str">
        <f>LEFT(Table1[[#This Row],[Category and Sub-Category]],FIND("/",Table1[[#This Row],[Category and Sub-Category]])-1)</f>
        <v>music</v>
      </c>
      <c r="V2528" t="str">
        <f>RIGHT(Table1[[#This Row],[Category and Sub-Category]],LEN(Table1[[#This Row],[Category and Sub-Category]])-FIND("/",Table1[[#This Row],[Category and Sub-Category]]))</f>
        <v>classical music</v>
      </c>
    </row>
    <row r="2529" spans="1:22" ht="43.2" x14ac:dyDescent="0.3">
      <c r="A2529">
        <v>2527</v>
      </c>
      <c r="B2529" s="3" t="s">
        <v>2527</v>
      </c>
      <c r="C2529" s="3" t="s">
        <v>6637</v>
      </c>
      <c r="D2529" s="12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>((Table1[[#This Row],[deadline]]/60)/60/24)+DATE(1970,1,1)</f>
        <v>41565.165972222225</v>
      </c>
      <c r="K2529">
        <v>1380477691</v>
      </c>
      <c r="L2529" s="11">
        <f>((Table1[[#This Row],[launched_at]]/60)/60/24)+DATE(1970,1,1)</f>
        <v>41546.75105324074</v>
      </c>
      <c r="M2529">
        <f>MONTH(Table1[[#This Row],[Date Created Conversion]])</f>
        <v>9</v>
      </c>
      <c r="N2529">
        <f>YEAR(Table1[[#This Row],[Date Created Conversion]])</f>
        <v>2013</v>
      </c>
      <c r="O2529" t="b">
        <v>0</v>
      </c>
      <c r="P2529">
        <v>71</v>
      </c>
      <c r="Q2529" t="b">
        <v>1</v>
      </c>
      <c r="R2529" t="s">
        <v>8300</v>
      </c>
      <c r="S2529" s="6">
        <f>Table1[[#This Row],[pledged]]/Table1[[#This Row],[goal]]</f>
        <v>1.02125</v>
      </c>
      <c r="T2529" s="8">
        <f>IF(Table1[[#This Row],[pledged]]=0,"no backers",Table1[[#This Row],[pledged]]/Table1[[#This Row],[backers_count]])</f>
        <v>57.535211267605632</v>
      </c>
      <c r="U2529" t="str">
        <f>LEFT(Table1[[#This Row],[Category and Sub-Category]],FIND("/",Table1[[#This Row],[Category and Sub-Category]])-1)</f>
        <v>music</v>
      </c>
      <c r="V2529" t="str">
        <f>RIGHT(Table1[[#This Row],[Category and Sub-Category]],LEN(Table1[[#This Row],[Category and Sub-Category]])-FIND("/",Table1[[#This Row],[Category and Sub-Category]]))</f>
        <v>classical music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 s="12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>((Table1[[#This Row],[deadline]]/60)/60/24)+DATE(1970,1,1)</f>
        <v>42236.458333333328</v>
      </c>
      <c r="K2530">
        <v>1438459303</v>
      </c>
      <c r="L2530" s="11">
        <f>((Table1[[#This Row],[launched_at]]/60)/60/24)+DATE(1970,1,1)</f>
        <v>42217.834525462968</v>
      </c>
      <c r="M2530">
        <f>MONTH(Table1[[#This Row],[Date Created Conversion]])</f>
        <v>8</v>
      </c>
      <c r="N2530">
        <f>YEAR(Table1[[#This Row],[Date Created Conversion]])</f>
        <v>2015</v>
      </c>
      <c r="O2530" t="b">
        <v>0</v>
      </c>
      <c r="P2530">
        <v>81</v>
      </c>
      <c r="Q2530" t="b">
        <v>1</v>
      </c>
      <c r="R2530" t="s">
        <v>8300</v>
      </c>
      <c r="S2530" s="6">
        <f>Table1[[#This Row],[pledged]]/Table1[[#This Row],[goal]]</f>
        <v>1.0724974999999999</v>
      </c>
      <c r="T2530" s="8">
        <f>IF(Table1[[#This Row],[pledged]]=0,"no backers",Table1[[#This Row],[pledged]]/Table1[[#This Row],[backers_count]])</f>
        <v>52.962839506172834</v>
      </c>
      <c r="U2530" t="str">
        <f>LEFT(Table1[[#This Row],[Category and Sub-Category]],FIND("/",Table1[[#This Row],[Category and Sub-Category]])-1)</f>
        <v>music</v>
      </c>
      <c r="V2530" t="str">
        <f>RIGHT(Table1[[#This Row],[Category and Sub-Category]],LEN(Table1[[#This Row],[Category and Sub-Category]])-FIND("/",Table1[[#This Row],[Category and Sub-Category]]))</f>
        <v>classical music</v>
      </c>
    </row>
    <row r="2531" spans="1:22" ht="28.8" x14ac:dyDescent="0.3">
      <c r="A2531">
        <v>2529</v>
      </c>
      <c r="B2531" s="3" t="s">
        <v>2529</v>
      </c>
      <c r="C2531" s="3" t="s">
        <v>6639</v>
      </c>
      <c r="D2531" s="12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>((Table1[[#This Row],[deadline]]/60)/60/24)+DATE(1970,1,1)</f>
        <v>40993.0390625</v>
      </c>
      <c r="K2531">
        <v>1328752575</v>
      </c>
      <c r="L2531" s="11">
        <f>((Table1[[#This Row],[launched_at]]/60)/60/24)+DATE(1970,1,1)</f>
        <v>40948.080729166664</v>
      </c>
      <c r="M2531">
        <f>MONTH(Table1[[#This Row],[Date Created Conversion]])</f>
        <v>2</v>
      </c>
      <c r="N2531">
        <f>YEAR(Table1[[#This Row],[Date Created Conversion]])</f>
        <v>2012</v>
      </c>
      <c r="O2531" t="b">
        <v>0</v>
      </c>
      <c r="P2531">
        <v>76</v>
      </c>
      <c r="Q2531" t="b">
        <v>1</v>
      </c>
      <c r="R2531" t="s">
        <v>8300</v>
      </c>
      <c r="S2531" s="6">
        <f>Table1[[#This Row],[pledged]]/Table1[[#This Row],[goal]]</f>
        <v>1.0428333333333333</v>
      </c>
      <c r="T2531" s="8">
        <f>IF(Table1[[#This Row],[pledged]]=0,"no backers",Table1[[#This Row],[pledged]]/Table1[[#This Row],[backers_count]])</f>
        <v>82.328947368421055</v>
      </c>
      <c r="U2531" t="str">
        <f>LEFT(Table1[[#This Row],[Category and Sub-Category]],FIND("/",Table1[[#This Row],[Category and Sub-Category]])-1)</f>
        <v>music</v>
      </c>
      <c r="V2531" t="str">
        <f>RIGHT(Table1[[#This Row],[Category and Sub-Category]],LEN(Table1[[#This Row],[Category and Sub-Category]])-FIND("/",Table1[[#This Row],[Category and Sub-Category]]))</f>
        <v>classical music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 s="1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>((Table1[[#This Row],[deadline]]/60)/60/24)+DATE(1970,1,1)</f>
        <v>42114.201388888891</v>
      </c>
      <c r="K2532">
        <v>1426711505</v>
      </c>
      <c r="L2532" s="11">
        <f>((Table1[[#This Row],[launched_at]]/60)/60/24)+DATE(1970,1,1)</f>
        <v>42081.864641203705</v>
      </c>
      <c r="M2532">
        <f>MONTH(Table1[[#This Row],[Date Created Conversion]])</f>
        <v>3</v>
      </c>
      <c r="N2532">
        <f>YEAR(Table1[[#This Row],[Date Created Conversion]])</f>
        <v>2015</v>
      </c>
      <c r="O2532" t="b">
        <v>0</v>
      </c>
      <c r="P2532">
        <v>48</v>
      </c>
      <c r="Q2532" t="b">
        <v>1</v>
      </c>
      <c r="R2532" t="s">
        <v>8300</v>
      </c>
      <c r="S2532" s="6">
        <f>Table1[[#This Row],[pledged]]/Table1[[#This Row],[goal]]</f>
        <v>1</v>
      </c>
      <c r="T2532" s="8">
        <f>IF(Table1[[#This Row],[pledged]]=0,"no backers",Table1[[#This Row],[pledged]]/Table1[[#This Row],[backers_count]])</f>
        <v>135.41666666666666</v>
      </c>
      <c r="U2532" t="str">
        <f>LEFT(Table1[[#This Row],[Category and Sub-Category]],FIND("/",Table1[[#This Row],[Category and Sub-Category]])-1)</f>
        <v>music</v>
      </c>
      <c r="V2532" t="str">
        <f>RIGHT(Table1[[#This Row],[Category and Sub-Category]],LEN(Table1[[#This Row],[Category and Sub-Category]])-FIND("/",Table1[[#This Row],[Category and Sub-Category]]))</f>
        <v>classical music</v>
      </c>
    </row>
    <row r="2533" spans="1:22" ht="57.6" x14ac:dyDescent="0.3">
      <c r="A2533">
        <v>2531</v>
      </c>
      <c r="B2533" s="3" t="s">
        <v>2531</v>
      </c>
      <c r="C2533" s="3" t="s">
        <v>6641</v>
      </c>
      <c r="D2533" s="12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>((Table1[[#This Row],[deadline]]/60)/60/24)+DATE(1970,1,1)</f>
        <v>42231.165972222225</v>
      </c>
      <c r="K2533">
        <v>1437668354</v>
      </c>
      <c r="L2533" s="11">
        <f>((Table1[[#This Row],[launched_at]]/60)/60/24)+DATE(1970,1,1)</f>
        <v>42208.680023148147</v>
      </c>
      <c r="M2533">
        <f>MONTH(Table1[[#This Row],[Date Created Conversion]])</f>
        <v>7</v>
      </c>
      <c r="N2533">
        <f>YEAR(Table1[[#This Row],[Date Created Conversion]])</f>
        <v>2015</v>
      </c>
      <c r="O2533" t="b">
        <v>0</v>
      </c>
      <c r="P2533">
        <v>61</v>
      </c>
      <c r="Q2533" t="b">
        <v>1</v>
      </c>
      <c r="R2533" t="s">
        <v>8300</v>
      </c>
      <c r="S2533" s="6">
        <f>Table1[[#This Row],[pledged]]/Table1[[#This Row],[goal]]</f>
        <v>1.004</v>
      </c>
      <c r="T2533" s="8">
        <f>IF(Table1[[#This Row],[pledged]]=0,"no backers",Table1[[#This Row],[pledged]]/Table1[[#This Row],[backers_count]])</f>
        <v>74.06557377049181</v>
      </c>
      <c r="U2533" t="str">
        <f>LEFT(Table1[[#This Row],[Category and Sub-Category]],FIND("/",Table1[[#This Row],[Category and Sub-Category]])-1)</f>
        <v>music</v>
      </c>
      <c r="V2533" t="str">
        <f>RIGHT(Table1[[#This Row],[Category and Sub-Category]],LEN(Table1[[#This Row],[Category and Sub-Category]])-FIND("/",Table1[[#This Row],[Category and Sub-Category]]))</f>
        <v>classical music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 s="12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>((Table1[[#This Row],[deadline]]/60)/60/24)+DATE(1970,1,1)</f>
        <v>41137.849143518521</v>
      </c>
      <c r="K2534">
        <v>1342556566</v>
      </c>
      <c r="L2534" s="11">
        <f>((Table1[[#This Row],[launched_at]]/60)/60/24)+DATE(1970,1,1)</f>
        <v>41107.849143518521</v>
      </c>
      <c r="M2534">
        <f>MONTH(Table1[[#This Row],[Date Created Conversion]])</f>
        <v>7</v>
      </c>
      <c r="N2534">
        <f>YEAR(Table1[[#This Row],[Date Created Conversion]])</f>
        <v>2012</v>
      </c>
      <c r="O2534" t="b">
        <v>0</v>
      </c>
      <c r="P2534">
        <v>60</v>
      </c>
      <c r="Q2534" t="b">
        <v>1</v>
      </c>
      <c r="R2534" t="s">
        <v>8300</v>
      </c>
      <c r="S2534" s="6">
        <f>Table1[[#This Row],[pledged]]/Table1[[#This Row],[goal]]</f>
        <v>1.26125</v>
      </c>
      <c r="T2534" s="8">
        <f>IF(Table1[[#This Row],[pledged]]=0,"no backers",Table1[[#This Row],[pledged]]/Table1[[#This Row],[backers_count]])</f>
        <v>84.083333333333329</v>
      </c>
      <c r="U2534" t="str">
        <f>LEFT(Table1[[#This Row],[Category and Sub-Category]],FIND("/",Table1[[#This Row],[Category and Sub-Category]])-1)</f>
        <v>music</v>
      </c>
      <c r="V2534" t="str">
        <f>RIGHT(Table1[[#This Row],[Category and Sub-Category]],LEN(Table1[[#This Row],[Category and Sub-Category]])-FIND("/",Table1[[#This Row],[Category and Sub-Category]]))</f>
        <v>classical music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 s="12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>((Table1[[#This Row],[deadline]]/60)/60/24)+DATE(1970,1,1)</f>
        <v>41334.750787037039</v>
      </c>
      <c r="K2535">
        <v>1359568911</v>
      </c>
      <c r="L2535" s="11">
        <f>((Table1[[#This Row],[launched_at]]/60)/60/24)+DATE(1970,1,1)</f>
        <v>41304.751284722224</v>
      </c>
      <c r="M2535">
        <f>MONTH(Table1[[#This Row],[Date Created Conversion]])</f>
        <v>1</v>
      </c>
      <c r="N2535">
        <f>YEAR(Table1[[#This Row],[Date Created Conversion]])</f>
        <v>2013</v>
      </c>
      <c r="O2535" t="b">
        <v>0</v>
      </c>
      <c r="P2535">
        <v>136</v>
      </c>
      <c r="Q2535" t="b">
        <v>1</v>
      </c>
      <c r="R2535" t="s">
        <v>8300</v>
      </c>
      <c r="S2535" s="6">
        <f>Table1[[#This Row],[pledged]]/Table1[[#This Row],[goal]]</f>
        <v>1.1066666666666667</v>
      </c>
      <c r="T2535" s="8">
        <f>IF(Table1[[#This Row],[pledged]]=0,"no backers",Table1[[#This Row],[pledged]]/Table1[[#This Row],[backers_count]])</f>
        <v>61.029411764705884</v>
      </c>
      <c r="U2535" t="str">
        <f>LEFT(Table1[[#This Row],[Category and Sub-Category]],FIND("/",Table1[[#This Row],[Category and Sub-Category]])-1)</f>
        <v>music</v>
      </c>
      <c r="V2535" t="str">
        <f>RIGHT(Table1[[#This Row],[Category and Sub-Category]],LEN(Table1[[#This Row],[Category and Sub-Category]])-FIND("/",Table1[[#This Row],[Category and Sub-Category]]))</f>
        <v>classical music</v>
      </c>
    </row>
    <row r="2536" spans="1:22" ht="57.6" x14ac:dyDescent="0.3">
      <c r="A2536">
        <v>2534</v>
      </c>
      <c r="B2536" s="3" t="s">
        <v>2534</v>
      </c>
      <c r="C2536" s="3" t="s">
        <v>6644</v>
      </c>
      <c r="D2536" s="12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>((Table1[[#This Row],[deadline]]/60)/60/24)+DATE(1970,1,1)</f>
        <v>40179.25</v>
      </c>
      <c r="K2536">
        <v>1257871712</v>
      </c>
      <c r="L2536" s="11">
        <f>((Table1[[#This Row],[launched_at]]/60)/60/24)+DATE(1970,1,1)</f>
        <v>40127.700370370374</v>
      </c>
      <c r="M2536">
        <f>MONTH(Table1[[#This Row],[Date Created Conversion]])</f>
        <v>11</v>
      </c>
      <c r="N2536">
        <f>YEAR(Table1[[#This Row],[Date Created Conversion]])</f>
        <v>2009</v>
      </c>
      <c r="O2536" t="b">
        <v>0</v>
      </c>
      <c r="P2536">
        <v>14</v>
      </c>
      <c r="Q2536" t="b">
        <v>1</v>
      </c>
      <c r="R2536" t="s">
        <v>8300</v>
      </c>
      <c r="S2536" s="6">
        <f>Table1[[#This Row],[pledged]]/Table1[[#This Row],[goal]]</f>
        <v>1.05</v>
      </c>
      <c r="T2536" s="8">
        <f>IF(Table1[[#This Row],[pledged]]=0,"no backers",Table1[[#This Row],[pledged]]/Table1[[#This Row],[backers_count]])</f>
        <v>150</v>
      </c>
      <c r="U2536" t="str">
        <f>LEFT(Table1[[#This Row],[Category and Sub-Category]],FIND("/",Table1[[#This Row],[Category and Sub-Category]])-1)</f>
        <v>music</v>
      </c>
      <c r="V2536" t="str">
        <f>RIGHT(Table1[[#This Row],[Category and Sub-Category]],LEN(Table1[[#This Row],[Category and Sub-Category]])-FIND("/",Table1[[#This Row],[Category and Sub-Category]]))</f>
        <v>classical music</v>
      </c>
    </row>
    <row r="2537" spans="1:22" x14ac:dyDescent="0.3">
      <c r="A2537">
        <v>2535</v>
      </c>
      <c r="B2537" s="3" t="s">
        <v>2535</v>
      </c>
      <c r="C2537" s="3" t="s">
        <v>6645</v>
      </c>
      <c r="D2537" s="12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>((Table1[[#This Row],[deadline]]/60)/60/24)+DATE(1970,1,1)</f>
        <v>41974.832696759258</v>
      </c>
      <c r="K2537">
        <v>1414781945</v>
      </c>
      <c r="L2537" s="11">
        <f>((Table1[[#This Row],[launched_at]]/60)/60/24)+DATE(1970,1,1)</f>
        <v>41943.791030092594</v>
      </c>
      <c r="M2537">
        <f>MONTH(Table1[[#This Row],[Date Created Conversion]])</f>
        <v>10</v>
      </c>
      <c r="N2537">
        <f>YEAR(Table1[[#This Row],[Date Created Conversion]])</f>
        <v>2014</v>
      </c>
      <c r="O2537" t="b">
        <v>0</v>
      </c>
      <c r="P2537">
        <v>78</v>
      </c>
      <c r="Q2537" t="b">
        <v>1</v>
      </c>
      <c r="R2537" t="s">
        <v>8300</v>
      </c>
      <c r="S2537" s="6">
        <f>Table1[[#This Row],[pledged]]/Table1[[#This Row],[goal]]</f>
        <v>1.03775</v>
      </c>
      <c r="T2537" s="8">
        <f>IF(Table1[[#This Row],[pledged]]=0,"no backers",Table1[[#This Row],[pledged]]/Table1[[#This Row],[backers_count]])</f>
        <v>266.08974358974359</v>
      </c>
      <c r="U2537" t="str">
        <f>LEFT(Table1[[#This Row],[Category and Sub-Category]],FIND("/",Table1[[#This Row],[Category and Sub-Category]])-1)</f>
        <v>music</v>
      </c>
      <c r="V2537" t="str">
        <f>RIGHT(Table1[[#This Row],[Category and Sub-Category]],LEN(Table1[[#This Row],[Category and Sub-Category]])-FIND("/",Table1[[#This Row],[Category and Sub-Category]]))</f>
        <v>classical music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 s="12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>((Table1[[#This Row],[deadline]]/60)/60/24)+DATE(1970,1,1)</f>
        <v>41485.106087962966</v>
      </c>
      <c r="K2538">
        <v>1373337166</v>
      </c>
      <c r="L2538" s="11">
        <f>((Table1[[#This Row],[launched_at]]/60)/60/24)+DATE(1970,1,1)</f>
        <v>41464.106087962966</v>
      </c>
      <c r="M2538">
        <f>MONTH(Table1[[#This Row],[Date Created Conversion]])</f>
        <v>7</v>
      </c>
      <c r="N2538">
        <f>YEAR(Table1[[#This Row],[Date Created Conversion]])</f>
        <v>2013</v>
      </c>
      <c r="O2538" t="b">
        <v>0</v>
      </c>
      <c r="P2538">
        <v>4</v>
      </c>
      <c r="Q2538" t="b">
        <v>1</v>
      </c>
      <c r="R2538" t="s">
        <v>8300</v>
      </c>
      <c r="S2538" s="6">
        <f>Table1[[#This Row],[pledged]]/Table1[[#This Row],[goal]]</f>
        <v>1.1599999999999999</v>
      </c>
      <c r="T2538" s="8">
        <f>IF(Table1[[#This Row],[pledged]]=0,"no backers",Table1[[#This Row],[pledged]]/Table1[[#This Row],[backers_count]])</f>
        <v>7.25</v>
      </c>
      <c r="U2538" t="str">
        <f>LEFT(Table1[[#This Row],[Category and Sub-Category]],FIND("/",Table1[[#This Row],[Category and Sub-Category]])-1)</f>
        <v>music</v>
      </c>
      <c r="V2538" t="str">
        <f>RIGHT(Table1[[#This Row],[Category and Sub-Category]],LEN(Table1[[#This Row],[Category and Sub-Category]])-FIND("/",Table1[[#This Row],[Category and Sub-Category]]))</f>
        <v>classical music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 s="12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>((Table1[[#This Row],[deadline]]/60)/60/24)+DATE(1970,1,1)</f>
        <v>40756.648784722223</v>
      </c>
      <c r="K2539">
        <v>1307028855</v>
      </c>
      <c r="L2539" s="11">
        <f>((Table1[[#This Row],[launched_at]]/60)/60/24)+DATE(1970,1,1)</f>
        <v>40696.648784722223</v>
      </c>
      <c r="M2539">
        <f>MONTH(Table1[[#This Row],[Date Created Conversion]])</f>
        <v>6</v>
      </c>
      <c r="N2539">
        <f>YEAR(Table1[[#This Row],[Date Created Conversion]])</f>
        <v>2011</v>
      </c>
      <c r="O2539" t="b">
        <v>0</v>
      </c>
      <c r="P2539">
        <v>11</v>
      </c>
      <c r="Q2539" t="b">
        <v>1</v>
      </c>
      <c r="R2539" t="s">
        <v>8300</v>
      </c>
      <c r="S2539" s="6">
        <f>Table1[[#This Row],[pledged]]/Table1[[#This Row],[goal]]</f>
        <v>1.1000000000000001</v>
      </c>
      <c r="T2539" s="8">
        <f>IF(Table1[[#This Row],[pledged]]=0,"no backers",Table1[[#This Row],[pledged]]/Table1[[#This Row],[backers_count]])</f>
        <v>100</v>
      </c>
      <c r="U2539" t="str">
        <f>LEFT(Table1[[#This Row],[Category and Sub-Category]],FIND("/",Table1[[#This Row],[Category and Sub-Category]])-1)</f>
        <v>music</v>
      </c>
      <c r="V2539" t="str">
        <f>RIGHT(Table1[[#This Row],[Category and Sub-Category]],LEN(Table1[[#This Row],[Category and Sub-Category]])-FIND("/",Table1[[#This Row],[Category and Sub-Category]]))</f>
        <v>classical music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 s="12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>((Table1[[#This Row],[deadline]]/60)/60/24)+DATE(1970,1,1)</f>
        <v>41329.207638888889</v>
      </c>
      <c r="K2540">
        <v>1359029661</v>
      </c>
      <c r="L2540" s="11">
        <f>((Table1[[#This Row],[launched_at]]/60)/60/24)+DATE(1970,1,1)</f>
        <v>41298.509965277779</v>
      </c>
      <c r="M2540">
        <f>MONTH(Table1[[#This Row],[Date Created Conversion]])</f>
        <v>1</v>
      </c>
      <c r="N2540">
        <f>YEAR(Table1[[#This Row],[Date Created Conversion]])</f>
        <v>2013</v>
      </c>
      <c r="O2540" t="b">
        <v>0</v>
      </c>
      <c r="P2540">
        <v>185</v>
      </c>
      <c r="Q2540" t="b">
        <v>1</v>
      </c>
      <c r="R2540" t="s">
        <v>8300</v>
      </c>
      <c r="S2540" s="6">
        <f>Table1[[#This Row],[pledged]]/Table1[[#This Row],[goal]]</f>
        <v>1.130176111111111</v>
      </c>
      <c r="T2540" s="8">
        <f>IF(Table1[[#This Row],[pledged]]=0,"no backers",Table1[[#This Row],[pledged]]/Table1[[#This Row],[backers_count]])</f>
        <v>109.96308108108107</v>
      </c>
      <c r="U2540" t="str">
        <f>LEFT(Table1[[#This Row],[Category and Sub-Category]],FIND("/",Table1[[#This Row],[Category and Sub-Category]])-1)</f>
        <v>music</v>
      </c>
      <c r="V2540" t="str">
        <f>RIGHT(Table1[[#This Row],[Category and Sub-Category]],LEN(Table1[[#This Row],[Category and Sub-Category]])-FIND("/",Table1[[#This Row],[Category and Sub-Category]]))</f>
        <v>classical music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 s="12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>((Table1[[#This Row],[deadline]]/60)/60/24)+DATE(1970,1,1)</f>
        <v>42037.902222222227</v>
      </c>
      <c r="K2541">
        <v>1417729152</v>
      </c>
      <c r="L2541" s="11">
        <f>((Table1[[#This Row],[launched_at]]/60)/60/24)+DATE(1970,1,1)</f>
        <v>41977.902222222227</v>
      </c>
      <c r="M2541">
        <f>MONTH(Table1[[#This Row],[Date Created Conversion]])</f>
        <v>12</v>
      </c>
      <c r="N2541">
        <f>YEAR(Table1[[#This Row],[Date Created Conversion]])</f>
        <v>2014</v>
      </c>
      <c r="O2541" t="b">
        <v>0</v>
      </c>
      <c r="P2541">
        <v>59</v>
      </c>
      <c r="Q2541" t="b">
        <v>1</v>
      </c>
      <c r="R2541" t="s">
        <v>8300</v>
      </c>
      <c r="S2541" s="6">
        <f>Table1[[#This Row],[pledged]]/Table1[[#This Row],[goal]]</f>
        <v>1.0024999999999999</v>
      </c>
      <c r="T2541" s="8">
        <f>IF(Table1[[#This Row],[pledged]]=0,"no backers",Table1[[#This Row],[pledged]]/Table1[[#This Row],[backers_count]])</f>
        <v>169.91525423728814</v>
      </c>
      <c r="U2541" t="str">
        <f>LEFT(Table1[[#This Row],[Category and Sub-Category]],FIND("/",Table1[[#This Row],[Category and Sub-Category]])-1)</f>
        <v>music</v>
      </c>
      <c r="V2541" t="str">
        <f>RIGHT(Table1[[#This Row],[Category and Sub-Category]],LEN(Table1[[#This Row],[Category and Sub-Category]])-FIND("/",Table1[[#This Row],[Category and Sub-Category]]))</f>
        <v>classical music</v>
      </c>
    </row>
    <row r="2542" spans="1:22" ht="57.6" x14ac:dyDescent="0.3">
      <c r="A2542">
        <v>2540</v>
      </c>
      <c r="B2542" s="3" t="s">
        <v>2540</v>
      </c>
      <c r="C2542" s="3" t="s">
        <v>6650</v>
      </c>
      <c r="D2542" s="1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>((Table1[[#This Row],[deadline]]/60)/60/24)+DATE(1970,1,1)</f>
        <v>40845.675011574072</v>
      </c>
      <c r="K2542">
        <v>1314720721</v>
      </c>
      <c r="L2542" s="11">
        <f>((Table1[[#This Row],[launched_at]]/60)/60/24)+DATE(1970,1,1)</f>
        <v>40785.675011574072</v>
      </c>
      <c r="M2542">
        <f>MONTH(Table1[[#This Row],[Date Created Conversion]])</f>
        <v>8</v>
      </c>
      <c r="N2542">
        <f>YEAR(Table1[[#This Row],[Date Created Conversion]])</f>
        <v>2011</v>
      </c>
      <c r="O2542" t="b">
        <v>0</v>
      </c>
      <c r="P2542">
        <v>27</v>
      </c>
      <c r="Q2542" t="b">
        <v>1</v>
      </c>
      <c r="R2542" t="s">
        <v>8300</v>
      </c>
      <c r="S2542" s="6">
        <f>Table1[[#This Row],[pledged]]/Table1[[#This Row],[goal]]</f>
        <v>1.034</v>
      </c>
      <c r="T2542" s="8">
        <f>IF(Table1[[#This Row],[pledged]]=0,"no backers",Table1[[#This Row],[pledged]]/Table1[[#This Row],[backers_count]])</f>
        <v>95.740740740740748</v>
      </c>
      <c r="U2542" t="str">
        <f>LEFT(Table1[[#This Row],[Category and Sub-Category]],FIND("/",Table1[[#This Row],[Category and Sub-Category]])-1)</f>
        <v>music</v>
      </c>
      <c r="V2542" t="str">
        <f>RIGHT(Table1[[#This Row],[Category and Sub-Category]],LEN(Table1[[#This Row],[Category and Sub-Category]])-FIND("/",Table1[[#This Row],[Category and Sub-Category]]))</f>
        <v>classical music</v>
      </c>
    </row>
    <row r="2543" spans="1:22" ht="57.6" x14ac:dyDescent="0.3">
      <c r="A2543">
        <v>2541</v>
      </c>
      <c r="B2543" s="3" t="s">
        <v>2541</v>
      </c>
      <c r="C2543" s="3" t="s">
        <v>6651</v>
      </c>
      <c r="D2543" s="12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>((Table1[[#This Row],[deadline]]/60)/60/24)+DATE(1970,1,1)</f>
        <v>41543.449282407404</v>
      </c>
      <c r="K2543">
        <v>1375008418</v>
      </c>
      <c r="L2543" s="11">
        <f>((Table1[[#This Row],[launched_at]]/60)/60/24)+DATE(1970,1,1)</f>
        <v>41483.449282407404</v>
      </c>
      <c r="M2543">
        <f>MONTH(Table1[[#This Row],[Date Created Conversion]])</f>
        <v>7</v>
      </c>
      <c r="N2543">
        <f>YEAR(Table1[[#This Row],[Date Created Conversion]])</f>
        <v>2013</v>
      </c>
      <c r="O2543" t="b">
        <v>0</v>
      </c>
      <c r="P2543">
        <v>63</v>
      </c>
      <c r="Q2543" t="b">
        <v>1</v>
      </c>
      <c r="R2543" t="s">
        <v>8300</v>
      </c>
      <c r="S2543" s="6">
        <f>Table1[[#This Row],[pledged]]/Table1[[#This Row],[goal]]</f>
        <v>1.0702857142857143</v>
      </c>
      <c r="T2543" s="8">
        <f>IF(Table1[[#This Row],[pledged]]=0,"no backers",Table1[[#This Row],[pledged]]/Table1[[#This Row],[backers_count]])</f>
        <v>59.460317460317462</v>
      </c>
      <c r="U2543" t="str">
        <f>LEFT(Table1[[#This Row],[Category and Sub-Category]],FIND("/",Table1[[#This Row],[Category and Sub-Category]])-1)</f>
        <v>music</v>
      </c>
      <c r="V2543" t="str">
        <f>RIGHT(Table1[[#This Row],[Category and Sub-Category]],LEN(Table1[[#This Row],[Category and Sub-Category]])-FIND("/",Table1[[#This Row],[Category and Sub-Category]]))</f>
        <v>classical music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 s="12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>((Table1[[#This Row],[deadline]]/60)/60/24)+DATE(1970,1,1)</f>
        <v>41548.165972222225</v>
      </c>
      <c r="K2544">
        <v>1377252857</v>
      </c>
      <c r="L2544" s="11">
        <f>((Table1[[#This Row],[launched_at]]/60)/60/24)+DATE(1970,1,1)</f>
        <v>41509.426585648151</v>
      </c>
      <c r="M2544">
        <f>MONTH(Table1[[#This Row],[Date Created Conversion]])</f>
        <v>8</v>
      </c>
      <c r="N2544">
        <f>YEAR(Table1[[#This Row],[Date Created Conversion]])</f>
        <v>2013</v>
      </c>
      <c r="O2544" t="b">
        <v>0</v>
      </c>
      <c r="P2544">
        <v>13</v>
      </c>
      <c r="Q2544" t="b">
        <v>1</v>
      </c>
      <c r="R2544" t="s">
        <v>8300</v>
      </c>
      <c r="S2544" s="6">
        <f>Table1[[#This Row],[pledged]]/Table1[[#This Row],[goal]]</f>
        <v>1.0357142857142858</v>
      </c>
      <c r="T2544" s="8">
        <f>IF(Table1[[#This Row],[pledged]]=0,"no backers",Table1[[#This Row],[pledged]]/Table1[[#This Row],[backers_count]])</f>
        <v>55.769230769230766</v>
      </c>
      <c r="U2544" t="str">
        <f>LEFT(Table1[[#This Row],[Category and Sub-Category]],FIND("/",Table1[[#This Row],[Category and Sub-Category]])-1)</f>
        <v>music</v>
      </c>
      <c r="V2544" t="str">
        <f>RIGHT(Table1[[#This Row],[Category and Sub-Category]],LEN(Table1[[#This Row],[Category and Sub-Category]])-FIND("/",Table1[[#This Row],[Category and Sub-Category]]))</f>
        <v>classical music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 s="12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>((Table1[[#This Row],[deadline]]/60)/60/24)+DATE(1970,1,1)</f>
        <v>40545.125</v>
      </c>
      <c r="K2545">
        <v>1291257298</v>
      </c>
      <c r="L2545" s="11">
        <f>((Table1[[#This Row],[launched_at]]/60)/60/24)+DATE(1970,1,1)</f>
        <v>40514.107615740737</v>
      </c>
      <c r="M2545">
        <f>MONTH(Table1[[#This Row],[Date Created Conversion]])</f>
        <v>12</v>
      </c>
      <c r="N2545">
        <f>YEAR(Table1[[#This Row],[Date Created Conversion]])</f>
        <v>2010</v>
      </c>
      <c r="O2545" t="b">
        <v>0</v>
      </c>
      <c r="P2545">
        <v>13</v>
      </c>
      <c r="Q2545" t="b">
        <v>1</v>
      </c>
      <c r="R2545" t="s">
        <v>8300</v>
      </c>
      <c r="S2545" s="6">
        <f>Table1[[#This Row],[pledged]]/Table1[[#This Row],[goal]]</f>
        <v>1.5640000000000001</v>
      </c>
      <c r="T2545" s="8">
        <f>IF(Table1[[#This Row],[pledged]]=0,"no backers",Table1[[#This Row],[pledged]]/Table1[[#This Row],[backers_count]])</f>
        <v>30.076923076923077</v>
      </c>
      <c r="U2545" t="str">
        <f>LEFT(Table1[[#This Row],[Category and Sub-Category]],FIND("/",Table1[[#This Row],[Category and Sub-Category]])-1)</f>
        <v>music</v>
      </c>
      <c r="V2545" t="str">
        <f>RIGHT(Table1[[#This Row],[Category and Sub-Category]],LEN(Table1[[#This Row],[Category and Sub-Category]])-FIND("/",Table1[[#This Row],[Category and Sub-Category]]))</f>
        <v>classical music</v>
      </c>
    </row>
    <row r="2546" spans="1:22" ht="43.2" x14ac:dyDescent="0.3">
      <c r="A2546">
        <v>2544</v>
      </c>
      <c r="B2546" s="3" t="s">
        <v>2544</v>
      </c>
      <c r="C2546" s="3" t="s">
        <v>6654</v>
      </c>
      <c r="D2546" s="12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>((Table1[[#This Row],[deadline]]/60)/60/24)+DATE(1970,1,1)</f>
        <v>41098.520474537036</v>
      </c>
      <c r="K2546">
        <v>1339158569</v>
      </c>
      <c r="L2546" s="11">
        <f>((Table1[[#This Row],[launched_at]]/60)/60/24)+DATE(1970,1,1)</f>
        <v>41068.520474537036</v>
      </c>
      <c r="M2546">
        <f>MONTH(Table1[[#This Row],[Date Created Conversion]])</f>
        <v>6</v>
      </c>
      <c r="N2546">
        <f>YEAR(Table1[[#This Row],[Date Created Conversion]])</f>
        <v>2012</v>
      </c>
      <c r="O2546" t="b">
        <v>0</v>
      </c>
      <c r="P2546">
        <v>57</v>
      </c>
      <c r="Q2546" t="b">
        <v>1</v>
      </c>
      <c r="R2546" t="s">
        <v>8300</v>
      </c>
      <c r="S2546" s="6">
        <f>Table1[[#This Row],[pledged]]/Table1[[#This Row],[goal]]</f>
        <v>1.0082</v>
      </c>
      <c r="T2546" s="8">
        <f>IF(Table1[[#This Row],[pledged]]=0,"no backers",Table1[[#This Row],[pledged]]/Table1[[#This Row],[backers_count]])</f>
        <v>88.438596491228068</v>
      </c>
      <c r="U2546" t="str">
        <f>LEFT(Table1[[#This Row],[Category and Sub-Category]],FIND("/",Table1[[#This Row],[Category and Sub-Category]])-1)</f>
        <v>music</v>
      </c>
      <c r="V2546" t="str">
        <f>RIGHT(Table1[[#This Row],[Category and Sub-Category]],LEN(Table1[[#This Row],[Category and Sub-Category]])-FIND("/",Table1[[#This Row],[Category and Sub-Category]]))</f>
        <v>classical music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 s="12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>((Table1[[#This Row],[deadline]]/60)/60/24)+DATE(1970,1,1)</f>
        <v>42062.020833333328</v>
      </c>
      <c r="K2547">
        <v>1421983138</v>
      </c>
      <c r="L2547" s="11">
        <f>((Table1[[#This Row],[launched_at]]/60)/60/24)+DATE(1970,1,1)</f>
        <v>42027.13817129629</v>
      </c>
      <c r="M2547">
        <f>MONTH(Table1[[#This Row],[Date Created Conversion]])</f>
        <v>1</v>
      </c>
      <c r="N2547">
        <f>YEAR(Table1[[#This Row],[Date Created Conversion]])</f>
        <v>2015</v>
      </c>
      <c r="O2547" t="b">
        <v>0</v>
      </c>
      <c r="P2547">
        <v>61</v>
      </c>
      <c r="Q2547" t="b">
        <v>1</v>
      </c>
      <c r="R2547" t="s">
        <v>8300</v>
      </c>
      <c r="S2547" s="6">
        <f>Table1[[#This Row],[pledged]]/Table1[[#This Row],[goal]]</f>
        <v>1.9530000000000001</v>
      </c>
      <c r="T2547" s="8">
        <f>IF(Table1[[#This Row],[pledged]]=0,"no backers",Table1[[#This Row],[pledged]]/Table1[[#This Row],[backers_count]])</f>
        <v>64.032786885245898</v>
      </c>
      <c r="U2547" t="str">
        <f>LEFT(Table1[[#This Row],[Category and Sub-Category]],FIND("/",Table1[[#This Row],[Category and Sub-Category]])-1)</f>
        <v>music</v>
      </c>
      <c r="V2547" t="str">
        <f>RIGHT(Table1[[#This Row],[Category and Sub-Category]],LEN(Table1[[#This Row],[Category and Sub-Category]])-FIND("/",Table1[[#This Row],[Category and Sub-Category]]))</f>
        <v>classical music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 s="12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>((Table1[[#This Row],[deadline]]/60)/60/24)+DATE(1970,1,1)</f>
        <v>41552.208333333336</v>
      </c>
      <c r="K2548">
        <v>1378586179</v>
      </c>
      <c r="L2548" s="11">
        <f>((Table1[[#This Row],[launched_at]]/60)/60/24)+DATE(1970,1,1)</f>
        <v>41524.858553240738</v>
      </c>
      <c r="M2548">
        <f>MONTH(Table1[[#This Row],[Date Created Conversion]])</f>
        <v>9</v>
      </c>
      <c r="N2548">
        <f>YEAR(Table1[[#This Row],[Date Created Conversion]])</f>
        <v>2013</v>
      </c>
      <c r="O2548" t="b">
        <v>0</v>
      </c>
      <c r="P2548">
        <v>65</v>
      </c>
      <c r="Q2548" t="b">
        <v>1</v>
      </c>
      <c r="R2548" t="s">
        <v>8300</v>
      </c>
      <c r="S2548" s="6">
        <f>Table1[[#This Row],[pledged]]/Table1[[#This Row],[goal]]</f>
        <v>1.1171428571428572</v>
      </c>
      <c r="T2548" s="8">
        <f>IF(Table1[[#This Row],[pledged]]=0,"no backers",Table1[[#This Row],[pledged]]/Table1[[#This Row],[backers_count]])</f>
        <v>60.153846153846153</v>
      </c>
      <c r="U2548" t="str">
        <f>LEFT(Table1[[#This Row],[Category and Sub-Category]],FIND("/",Table1[[#This Row],[Category and Sub-Category]])-1)</f>
        <v>music</v>
      </c>
      <c r="V2548" t="str">
        <f>RIGHT(Table1[[#This Row],[Category and Sub-Category]],LEN(Table1[[#This Row],[Category and Sub-Category]])-FIND("/",Table1[[#This Row],[Category and Sub-Category]]))</f>
        <v>classical music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 s="12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>((Table1[[#This Row],[deadline]]/60)/60/24)+DATE(1970,1,1)</f>
        <v>41003.731516203705</v>
      </c>
      <c r="K2549">
        <v>1330972403</v>
      </c>
      <c r="L2549" s="11">
        <f>((Table1[[#This Row],[launched_at]]/60)/60/24)+DATE(1970,1,1)</f>
        <v>40973.773182870369</v>
      </c>
      <c r="M2549">
        <f>MONTH(Table1[[#This Row],[Date Created Conversion]])</f>
        <v>3</v>
      </c>
      <c r="N2549">
        <f>YEAR(Table1[[#This Row],[Date Created Conversion]])</f>
        <v>2012</v>
      </c>
      <c r="O2549" t="b">
        <v>0</v>
      </c>
      <c r="P2549">
        <v>134</v>
      </c>
      <c r="Q2549" t="b">
        <v>1</v>
      </c>
      <c r="R2549" t="s">
        <v>8300</v>
      </c>
      <c r="S2549" s="6">
        <f>Table1[[#This Row],[pledged]]/Table1[[#This Row],[goal]]</f>
        <v>1.1985454545454546</v>
      </c>
      <c r="T2549" s="8">
        <f>IF(Table1[[#This Row],[pledged]]=0,"no backers",Table1[[#This Row],[pledged]]/Table1[[#This Row],[backers_count]])</f>
        <v>49.194029850746269</v>
      </c>
      <c r="U2549" t="str">
        <f>LEFT(Table1[[#This Row],[Category and Sub-Category]],FIND("/",Table1[[#This Row],[Category and Sub-Category]])-1)</f>
        <v>music</v>
      </c>
      <c r="V2549" t="str">
        <f>RIGHT(Table1[[#This Row],[Category and Sub-Category]],LEN(Table1[[#This Row],[Category and Sub-Category]])-FIND("/",Table1[[#This Row],[Category and Sub-Category]]))</f>
        <v>classical music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 s="12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>((Table1[[#This Row],[deadline]]/60)/60/24)+DATE(1970,1,1)</f>
        <v>42643.185416666667</v>
      </c>
      <c r="K2550">
        <v>1473087637</v>
      </c>
      <c r="L2550" s="11">
        <f>((Table1[[#This Row],[launched_at]]/60)/60/24)+DATE(1970,1,1)</f>
        <v>42618.625428240746</v>
      </c>
      <c r="M2550">
        <f>MONTH(Table1[[#This Row],[Date Created Conversion]])</f>
        <v>9</v>
      </c>
      <c r="N2550">
        <f>YEAR(Table1[[#This Row],[Date Created Conversion]])</f>
        <v>2016</v>
      </c>
      <c r="O2550" t="b">
        <v>0</v>
      </c>
      <c r="P2550">
        <v>37</v>
      </c>
      <c r="Q2550" t="b">
        <v>1</v>
      </c>
      <c r="R2550" t="s">
        <v>8300</v>
      </c>
      <c r="S2550" s="6">
        <f>Table1[[#This Row],[pledged]]/Table1[[#This Row],[goal]]</f>
        <v>1.0185</v>
      </c>
      <c r="T2550" s="8">
        <f>IF(Table1[[#This Row],[pledged]]=0,"no backers",Table1[[#This Row],[pledged]]/Table1[[#This Row],[backers_count]])</f>
        <v>165.16216216216216</v>
      </c>
      <c r="U2550" t="str">
        <f>LEFT(Table1[[#This Row],[Category and Sub-Category]],FIND("/",Table1[[#This Row],[Category and Sub-Category]])-1)</f>
        <v>music</v>
      </c>
      <c r="V2550" t="str">
        <f>RIGHT(Table1[[#This Row],[Category and Sub-Category]],LEN(Table1[[#This Row],[Category and Sub-Category]])-FIND("/",Table1[[#This Row],[Category and Sub-Category]]))</f>
        <v>classical music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 s="12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>((Table1[[#This Row],[deadline]]/60)/60/24)+DATE(1970,1,1)</f>
        <v>41425.708333333336</v>
      </c>
      <c r="K2551">
        <v>1366999870</v>
      </c>
      <c r="L2551" s="11">
        <f>((Table1[[#This Row],[launched_at]]/60)/60/24)+DATE(1970,1,1)</f>
        <v>41390.757754629631</v>
      </c>
      <c r="M2551">
        <f>MONTH(Table1[[#This Row],[Date Created Conversion]])</f>
        <v>4</v>
      </c>
      <c r="N2551">
        <f>YEAR(Table1[[#This Row],[Date Created Conversion]])</f>
        <v>2013</v>
      </c>
      <c r="O2551" t="b">
        <v>0</v>
      </c>
      <c r="P2551">
        <v>37</v>
      </c>
      <c r="Q2551" t="b">
        <v>1</v>
      </c>
      <c r="R2551" t="s">
        <v>8300</v>
      </c>
      <c r="S2551" s="6">
        <f>Table1[[#This Row],[pledged]]/Table1[[#This Row],[goal]]</f>
        <v>1.0280254777070064</v>
      </c>
      <c r="T2551" s="8">
        <f>IF(Table1[[#This Row],[pledged]]=0,"no backers",Table1[[#This Row],[pledged]]/Table1[[#This Row],[backers_count]])</f>
        <v>43.621621621621621</v>
      </c>
      <c r="U2551" t="str">
        <f>LEFT(Table1[[#This Row],[Category and Sub-Category]],FIND("/",Table1[[#This Row],[Category and Sub-Category]])-1)</f>
        <v>music</v>
      </c>
      <c r="V2551" t="str">
        <f>RIGHT(Table1[[#This Row],[Category and Sub-Category]],LEN(Table1[[#This Row],[Category and Sub-Category]])-FIND("/",Table1[[#This Row],[Category and Sub-Category]]))</f>
        <v>classical music</v>
      </c>
    </row>
    <row r="2552" spans="1:22" ht="57.6" x14ac:dyDescent="0.3">
      <c r="A2552">
        <v>2550</v>
      </c>
      <c r="B2552" s="3" t="s">
        <v>2550</v>
      </c>
      <c r="C2552" s="3" t="s">
        <v>6660</v>
      </c>
      <c r="D2552" s="1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>((Table1[[#This Row],[deadline]]/60)/60/24)+DATE(1970,1,1)</f>
        <v>42285.165972222225</v>
      </c>
      <c r="K2552">
        <v>1439392406</v>
      </c>
      <c r="L2552" s="11">
        <f>((Table1[[#This Row],[launched_at]]/60)/60/24)+DATE(1970,1,1)</f>
        <v>42228.634328703702</v>
      </c>
      <c r="M2552">
        <f>MONTH(Table1[[#This Row],[Date Created Conversion]])</f>
        <v>8</v>
      </c>
      <c r="N2552">
        <f>YEAR(Table1[[#This Row],[Date Created Conversion]])</f>
        <v>2015</v>
      </c>
      <c r="O2552" t="b">
        <v>0</v>
      </c>
      <c r="P2552">
        <v>150</v>
      </c>
      <c r="Q2552" t="b">
        <v>1</v>
      </c>
      <c r="R2552" t="s">
        <v>8300</v>
      </c>
      <c r="S2552" s="6">
        <f>Table1[[#This Row],[pledged]]/Table1[[#This Row],[goal]]</f>
        <v>1.0084615384615385</v>
      </c>
      <c r="T2552" s="8">
        <f>IF(Table1[[#This Row],[pledged]]=0,"no backers",Table1[[#This Row],[pledged]]/Table1[[#This Row],[backers_count]])</f>
        <v>43.7</v>
      </c>
      <c r="U2552" t="str">
        <f>LEFT(Table1[[#This Row],[Category and Sub-Category]],FIND("/",Table1[[#This Row],[Category and Sub-Category]])-1)</f>
        <v>music</v>
      </c>
      <c r="V2552" t="str">
        <f>RIGHT(Table1[[#This Row],[Category and Sub-Category]],LEN(Table1[[#This Row],[Category and Sub-Category]])-FIND("/",Table1[[#This Row],[Category and Sub-Category]]))</f>
        <v>classical music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 s="12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>((Table1[[#This Row],[deadline]]/60)/60/24)+DATE(1970,1,1)</f>
        <v>40989.866666666669</v>
      </c>
      <c r="K2553">
        <v>1329890585</v>
      </c>
      <c r="L2553" s="11">
        <f>((Table1[[#This Row],[launched_at]]/60)/60/24)+DATE(1970,1,1)</f>
        <v>40961.252141203702</v>
      </c>
      <c r="M2553">
        <f>MONTH(Table1[[#This Row],[Date Created Conversion]])</f>
        <v>2</v>
      </c>
      <c r="N2553">
        <f>YEAR(Table1[[#This Row],[Date Created Conversion]])</f>
        <v>2012</v>
      </c>
      <c r="O2553" t="b">
        <v>0</v>
      </c>
      <c r="P2553">
        <v>56</v>
      </c>
      <c r="Q2553" t="b">
        <v>1</v>
      </c>
      <c r="R2553" t="s">
        <v>8300</v>
      </c>
      <c r="S2553" s="6">
        <f>Table1[[#This Row],[pledged]]/Table1[[#This Row],[goal]]</f>
        <v>1.0273469387755103</v>
      </c>
      <c r="T2553" s="8">
        <f>IF(Table1[[#This Row],[pledged]]=0,"no backers",Table1[[#This Row],[pledged]]/Table1[[#This Row],[backers_count]])</f>
        <v>67.419642857142861</v>
      </c>
      <c r="U2553" t="str">
        <f>LEFT(Table1[[#This Row],[Category and Sub-Category]],FIND("/",Table1[[#This Row],[Category and Sub-Category]])-1)</f>
        <v>music</v>
      </c>
      <c r="V2553" t="str">
        <f>RIGHT(Table1[[#This Row],[Category and Sub-Category]],LEN(Table1[[#This Row],[Category and Sub-Category]])-FIND("/",Table1[[#This Row],[Category and Sub-Category]]))</f>
        <v>classical music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 s="12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>((Table1[[#This Row],[deadline]]/60)/60/24)+DATE(1970,1,1)</f>
        <v>42799.809965277775</v>
      </c>
      <c r="K2554">
        <v>1486149981</v>
      </c>
      <c r="L2554" s="11">
        <f>((Table1[[#This Row],[launched_at]]/60)/60/24)+DATE(1970,1,1)</f>
        <v>42769.809965277775</v>
      </c>
      <c r="M2554">
        <f>MONTH(Table1[[#This Row],[Date Created Conversion]])</f>
        <v>2</v>
      </c>
      <c r="N2554">
        <f>YEAR(Table1[[#This Row],[Date Created Conversion]])</f>
        <v>2017</v>
      </c>
      <c r="O2554" t="b">
        <v>0</v>
      </c>
      <c r="P2554">
        <v>18</v>
      </c>
      <c r="Q2554" t="b">
        <v>1</v>
      </c>
      <c r="R2554" t="s">
        <v>8300</v>
      </c>
      <c r="S2554" s="6">
        <f>Table1[[#This Row],[pledged]]/Table1[[#This Row],[goal]]</f>
        <v>1.0649999999999999</v>
      </c>
      <c r="T2554" s="8">
        <f>IF(Table1[[#This Row],[pledged]]=0,"no backers",Table1[[#This Row],[pledged]]/Table1[[#This Row],[backers_count]])</f>
        <v>177.5</v>
      </c>
      <c r="U2554" t="str">
        <f>LEFT(Table1[[#This Row],[Category and Sub-Category]],FIND("/",Table1[[#This Row],[Category and Sub-Category]])-1)</f>
        <v>music</v>
      </c>
      <c r="V2554" t="str">
        <f>RIGHT(Table1[[#This Row],[Category and Sub-Category]],LEN(Table1[[#This Row],[Category and Sub-Category]])-FIND("/",Table1[[#This Row],[Category and Sub-Category]]))</f>
        <v>classical music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 s="12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>((Table1[[#This Row],[deadline]]/60)/60/24)+DATE(1970,1,1)</f>
        <v>41173.199155092596</v>
      </c>
      <c r="K2555">
        <v>1343018807</v>
      </c>
      <c r="L2555" s="11">
        <f>((Table1[[#This Row],[launched_at]]/60)/60/24)+DATE(1970,1,1)</f>
        <v>41113.199155092596</v>
      </c>
      <c r="M2555">
        <f>MONTH(Table1[[#This Row],[Date Created Conversion]])</f>
        <v>7</v>
      </c>
      <c r="N2555">
        <f>YEAR(Table1[[#This Row],[Date Created Conversion]])</f>
        <v>2012</v>
      </c>
      <c r="O2555" t="b">
        <v>0</v>
      </c>
      <c r="P2555">
        <v>60</v>
      </c>
      <c r="Q2555" t="b">
        <v>1</v>
      </c>
      <c r="R2555" t="s">
        <v>8300</v>
      </c>
      <c r="S2555" s="6">
        <f>Table1[[#This Row],[pledged]]/Table1[[#This Row],[goal]]</f>
        <v>1.5553333333333332</v>
      </c>
      <c r="T2555" s="8">
        <f>IF(Table1[[#This Row],[pledged]]=0,"no backers",Table1[[#This Row],[pledged]]/Table1[[#This Row],[backers_count]])</f>
        <v>38.883333333333333</v>
      </c>
      <c r="U2555" t="str">
        <f>LEFT(Table1[[#This Row],[Category and Sub-Category]],FIND("/",Table1[[#This Row],[Category and Sub-Category]])-1)</f>
        <v>music</v>
      </c>
      <c r="V2555" t="str">
        <f>RIGHT(Table1[[#This Row],[Category and Sub-Category]],LEN(Table1[[#This Row],[Category and Sub-Category]])-FIND("/",Table1[[#This Row],[Category and Sub-Category]]))</f>
        <v>classical music</v>
      </c>
    </row>
    <row r="2556" spans="1:22" ht="57.6" x14ac:dyDescent="0.3">
      <c r="A2556">
        <v>2554</v>
      </c>
      <c r="B2556" s="3" t="s">
        <v>2554</v>
      </c>
      <c r="C2556" s="3" t="s">
        <v>6664</v>
      </c>
      <c r="D2556" s="12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>((Table1[[#This Row],[deadline]]/60)/60/24)+DATE(1970,1,1)</f>
        <v>42156.165972222225</v>
      </c>
      <c r="K2556">
        <v>1430445163</v>
      </c>
      <c r="L2556" s="11">
        <f>((Table1[[#This Row],[launched_at]]/60)/60/24)+DATE(1970,1,1)</f>
        <v>42125.078275462962</v>
      </c>
      <c r="M2556">
        <f>MONTH(Table1[[#This Row],[Date Created Conversion]])</f>
        <v>5</v>
      </c>
      <c r="N2556">
        <f>YEAR(Table1[[#This Row],[Date Created Conversion]])</f>
        <v>2015</v>
      </c>
      <c r="O2556" t="b">
        <v>0</v>
      </c>
      <c r="P2556">
        <v>67</v>
      </c>
      <c r="Q2556" t="b">
        <v>1</v>
      </c>
      <c r="R2556" t="s">
        <v>8300</v>
      </c>
      <c r="S2556" s="6">
        <f>Table1[[#This Row],[pledged]]/Table1[[#This Row],[goal]]</f>
        <v>1.228</v>
      </c>
      <c r="T2556" s="8">
        <f>IF(Table1[[#This Row],[pledged]]=0,"no backers",Table1[[#This Row],[pledged]]/Table1[[#This Row],[backers_count]])</f>
        <v>54.985074626865675</v>
      </c>
      <c r="U2556" t="str">
        <f>LEFT(Table1[[#This Row],[Category and Sub-Category]],FIND("/",Table1[[#This Row],[Category and Sub-Category]])-1)</f>
        <v>music</v>
      </c>
      <c r="V2556" t="str">
        <f>RIGHT(Table1[[#This Row],[Category and Sub-Category]],LEN(Table1[[#This Row],[Category and Sub-Category]])-FIND("/",Table1[[#This Row],[Category and Sub-Category]]))</f>
        <v>classical music</v>
      </c>
    </row>
    <row r="2557" spans="1:22" ht="57.6" x14ac:dyDescent="0.3">
      <c r="A2557">
        <v>2555</v>
      </c>
      <c r="B2557" s="3" t="s">
        <v>2555</v>
      </c>
      <c r="C2557" s="3" t="s">
        <v>6665</v>
      </c>
      <c r="D2557" s="12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>((Table1[[#This Row],[deadline]]/60)/60/24)+DATE(1970,1,1)</f>
        <v>41057.655011574076</v>
      </c>
      <c r="K2557">
        <v>1335541393</v>
      </c>
      <c r="L2557" s="11">
        <f>((Table1[[#This Row],[launched_at]]/60)/60/24)+DATE(1970,1,1)</f>
        <v>41026.655011574076</v>
      </c>
      <c r="M2557">
        <f>MONTH(Table1[[#This Row],[Date Created Conversion]])</f>
        <v>4</v>
      </c>
      <c r="N2557">
        <f>YEAR(Table1[[#This Row],[Date Created Conversion]])</f>
        <v>2012</v>
      </c>
      <c r="O2557" t="b">
        <v>0</v>
      </c>
      <c r="P2557">
        <v>35</v>
      </c>
      <c r="Q2557" t="b">
        <v>1</v>
      </c>
      <c r="R2557" t="s">
        <v>8300</v>
      </c>
      <c r="S2557" s="6">
        <f>Table1[[#This Row],[pledged]]/Table1[[#This Row],[goal]]</f>
        <v>1.0734999999999999</v>
      </c>
      <c r="T2557" s="8">
        <f>IF(Table1[[#This Row],[pledged]]=0,"no backers",Table1[[#This Row],[pledged]]/Table1[[#This Row],[backers_count]])</f>
        <v>61.342857142857142</v>
      </c>
      <c r="U2557" t="str">
        <f>LEFT(Table1[[#This Row],[Category and Sub-Category]],FIND("/",Table1[[#This Row],[Category and Sub-Category]])-1)</f>
        <v>music</v>
      </c>
      <c r="V2557" t="str">
        <f>RIGHT(Table1[[#This Row],[Category and Sub-Category]],LEN(Table1[[#This Row],[Category and Sub-Category]])-FIND("/",Table1[[#This Row],[Category and Sub-Category]]))</f>
        <v>classical music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 s="12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>((Table1[[#This Row],[deadline]]/60)/60/24)+DATE(1970,1,1)</f>
        <v>41267.991400462961</v>
      </c>
      <c r="K2558">
        <v>1352504857</v>
      </c>
      <c r="L2558" s="11">
        <f>((Table1[[#This Row],[launched_at]]/60)/60/24)+DATE(1970,1,1)</f>
        <v>41222.991400462961</v>
      </c>
      <c r="M2558">
        <f>MONTH(Table1[[#This Row],[Date Created Conversion]])</f>
        <v>11</v>
      </c>
      <c r="N2558">
        <f>YEAR(Table1[[#This Row],[Date Created Conversion]])</f>
        <v>2012</v>
      </c>
      <c r="O2558" t="b">
        <v>0</v>
      </c>
      <c r="P2558">
        <v>34</v>
      </c>
      <c r="Q2558" t="b">
        <v>1</v>
      </c>
      <c r="R2558" t="s">
        <v>8300</v>
      </c>
      <c r="S2558" s="6">
        <f>Table1[[#This Row],[pledged]]/Table1[[#This Row],[goal]]</f>
        <v>1.0550335570469798</v>
      </c>
      <c r="T2558" s="8">
        <f>IF(Table1[[#This Row],[pledged]]=0,"no backers",Table1[[#This Row],[pledged]]/Table1[[#This Row],[backers_count]])</f>
        <v>23.117647058823529</v>
      </c>
      <c r="U2558" t="str">
        <f>LEFT(Table1[[#This Row],[Category and Sub-Category]],FIND("/",Table1[[#This Row],[Category and Sub-Category]])-1)</f>
        <v>music</v>
      </c>
      <c r="V2558" t="str">
        <f>RIGHT(Table1[[#This Row],[Category and Sub-Category]],LEN(Table1[[#This Row],[Category and Sub-Category]])-FIND("/",Table1[[#This Row],[Category and Sub-Category]]))</f>
        <v>classical music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 s="12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>((Table1[[#This Row],[deadline]]/60)/60/24)+DATE(1970,1,1)</f>
        <v>41774.745208333334</v>
      </c>
      <c r="K2559">
        <v>1397584386</v>
      </c>
      <c r="L2559" s="11">
        <f>((Table1[[#This Row],[launched_at]]/60)/60/24)+DATE(1970,1,1)</f>
        <v>41744.745208333334</v>
      </c>
      <c r="M2559">
        <f>MONTH(Table1[[#This Row],[Date Created Conversion]])</f>
        <v>4</v>
      </c>
      <c r="N2559">
        <f>YEAR(Table1[[#This Row],[Date Created Conversion]])</f>
        <v>2014</v>
      </c>
      <c r="O2559" t="b">
        <v>0</v>
      </c>
      <c r="P2559">
        <v>36</v>
      </c>
      <c r="Q2559" t="b">
        <v>1</v>
      </c>
      <c r="R2559" t="s">
        <v>8300</v>
      </c>
      <c r="S2559" s="6">
        <f>Table1[[#This Row],[pledged]]/Table1[[#This Row],[goal]]</f>
        <v>1.1844444444444444</v>
      </c>
      <c r="T2559" s="8">
        <f>IF(Table1[[#This Row],[pledged]]=0,"no backers",Table1[[#This Row],[pledged]]/Table1[[#This Row],[backers_count]])</f>
        <v>29.611111111111111</v>
      </c>
      <c r="U2559" t="str">
        <f>LEFT(Table1[[#This Row],[Category and Sub-Category]],FIND("/",Table1[[#This Row],[Category and Sub-Category]])-1)</f>
        <v>music</v>
      </c>
      <c r="V2559" t="str">
        <f>RIGHT(Table1[[#This Row],[Category and Sub-Category]],LEN(Table1[[#This Row],[Category and Sub-Category]])-FIND("/",Table1[[#This Row],[Category and Sub-Category]]))</f>
        <v>classical music</v>
      </c>
    </row>
    <row r="2560" spans="1:22" ht="43.2" x14ac:dyDescent="0.3">
      <c r="A2560">
        <v>2558</v>
      </c>
      <c r="B2560" s="3" t="s">
        <v>2558</v>
      </c>
      <c r="C2560" s="3" t="s">
        <v>6668</v>
      </c>
      <c r="D2560" s="12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>((Table1[[#This Row],[deadline]]/60)/60/24)+DATE(1970,1,1)</f>
        <v>42125.582638888889</v>
      </c>
      <c r="K2560">
        <v>1427747906</v>
      </c>
      <c r="L2560" s="11">
        <f>((Table1[[#This Row],[launched_at]]/60)/60/24)+DATE(1970,1,1)</f>
        <v>42093.860023148154</v>
      </c>
      <c r="M2560">
        <f>MONTH(Table1[[#This Row],[Date Created Conversion]])</f>
        <v>3</v>
      </c>
      <c r="N2560">
        <f>YEAR(Table1[[#This Row],[Date Created Conversion]])</f>
        <v>2015</v>
      </c>
      <c r="O2560" t="b">
        <v>0</v>
      </c>
      <c r="P2560">
        <v>18</v>
      </c>
      <c r="Q2560" t="b">
        <v>1</v>
      </c>
      <c r="R2560" t="s">
        <v>8300</v>
      </c>
      <c r="S2560" s="6">
        <f>Table1[[#This Row],[pledged]]/Table1[[#This Row],[goal]]</f>
        <v>1.0888</v>
      </c>
      <c r="T2560" s="8">
        <f>IF(Table1[[#This Row],[pledged]]=0,"no backers",Table1[[#This Row],[pledged]]/Table1[[#This Row],[backers_count]])</f>
        <v>75.611111111111114</v>
      </c>
      <c r="U2560" t="str">
        <f>LEFT(Table1[[#This Row],[Category and Sub-Category]],FIND("/",Table1[[#This Row],[Category and Sub-Category]])-1)</f>
        <v>music</v>
      </c>
      <c r="V2560" t="str">
        <f>RIGHT(Table1[[#This Row],[Category and Sub-Category]],LEN(Table1[[#This Row],[Category and Sub-Category]])-FIND("/",Table1[[#This Row],[Category and Sub-Category]]))</f>
        <v>classical music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 s="12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>((Table1[[#This Row],[deadline]]/60)/60/24)+DATE(1970,1,1)</f>
        <v>40862.817361111112</v>
      </c>
      <c r="K2561">
        <v>1318539484</v>
      </c>
      <c r="L2561" s="11">
        <f>((Table1[[#This Row],[launched_at]]/60)/60/24)+DATE(1970,1,1)</f>
        <v>40829.873657407406</v>
      </c>
      <c r="M2561">
        <f>MONTH(Table1[[#This Row],[Date Created Conversion]])</f>
        <v>10</v>
      </c>
      <c r="N2561">
        <f>YEAR(Table1[[#This Row],[Date Created Conversion]])</f>
        <v>2011</v>
      </c>
      <c r="O2561" t="b">
        <v>0</v>
      </c>
      <c r="P2561">
        <v>25</v>
      </c>
      <c r="Q2561" t="b">
        <v>1</v>
      </c>
      <c r="R2561" t="s">
        <v>8300</v>
      </c>
      <c r="S2561" s="6">
        <f>Table1[[#This Row],[pledged]]/Table1[[#This Row],[goal]]</f>
        <v>1.1125</v>
      </c>
      <c r="T2561" s="8">
        <f>IF(Table1[[#This Row],[pledged]]=0,"no backers",Table1[[#This Row],[pledged]]/Table1[[#This Row],[backers_count]])</f>
        <v>35.6</v>
      </c>
      <c r="U2561" t="str">
        <f>LEFT(Table1[[#This Row],[Category and Sub-Category]],FIND("/",Table1[[#This Row],[Category and Sub-Category]])-1)</f>
        <v>music</v>
      </c>
      <c r="V2561" t="str">
        <f>RIGHT(Table1[[#This Row],[Category and Sub-Category]],LEN(Table1[[#This Row],[Category and Sub-Category]])-FIND("/",Table1[[#This Row],[Category and Sub-Category]]))</f>
        <v>classical music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 s="1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>((Table1[[#This Row],[deadline]]/60)/60/24)+DATE(1970,1,1)</f>
        <v>42069.951087962967</v>
      </c>
      <c r="K2562">
        <v>1423090174</v>
      </c>
      <c r="L2562" s="11">
        <f>((Table1[[#This Row],[launched_at]]/60)/60/24)+DATE(1970,1,1)</f>
        <v>42039.951087962967</v>
      </c>
      <c r="M2562">
        <f>MONTH(Table1[[#This Row],[Date Created Conversion]])</f>
        <v>2</v>
      </c>
      <c r="N2562">
        <f>YEAR(Table1[[#This Row],[Date Created Conversion]])</f>
        <v>2015</v>
      </c>
      <c r="O2562" t="b">
        <v>0</v>
      </c>
      <c r="P2562">
        <v>21</v>
      </c>
      <c r="Q2562" t="b">
        <v>1</v>
      </c>
      <c r="R2562" t="s">
        <v>8300</v>
      </c>
      <c r="S2562" s="6">
        <f>Table1[[#This Row],[pledged]]/Table1[[#This Row],[goal]]</f>
        <v>1.0009999999999999</v>
      </c>
      <c r="T2562" s="8">
        <f>IF(Table1[[#This Row],[pledged]]=0,"no backers",Table1[[#This Row],[pledged]]/Table1[[#This Row],[backers_count]])</f>
        <v>143</v>
      </c>
      <c r="U2562" t="str">
        <f>LEFT(Table1[[#This Row],[Category and Sub-Category]],FIND("/",Table1[[#This Row],[Category and Sub-Category]])-1)</f>
        <v>music</v>
      </c>
      <c r="V2562" t="str">
        <f>RIGHT(Table1[[#This Row],[Category and Sub-Category]],LEN(Table1[[#This Row],[Category and Sub-Category]])-FIND("/",Table1[[#This Row],[Category and Sub-Category]]))</f>
        <v>classical music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 s="12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>((Table1[[#This Row],[deadline]]/60)/60/24)+DATE(1970,1,1)</f>
        <v>42290.528807870374</v>
      </c>
      <c r="K2563">
        <v>1442148089</v>
      </c>
      <c r="L2563" s="11">
        <f>((Table1[[#This Row],[launched_at]]/60)/60/24)+DATE(1970,1,1)</f>
        <v>42260.528807870374</v>
      </c>
      <c r="M2563">
        <f>MONTH(Table1[[#This Row],[Date Created Conversion]])</f>
        <v>9</v>
      </c>
      <c r="N2563">
        <f>YEAR(Table1[[#This Row],[Date Created Conversion]])</f>
        <v>2015</v>
      </c>
      <c r="O2563" t="b">
        <v>0</v>
      </c>
      <c r="P2563">
        <v>0</v>
      </c>
      <c r="Q2563" t="b">
        <v>0</v>
      </c>
      <c r="R2563" t="s">
        <v>8284</v>
      </c>
      <c r="S2563" s="6">
        <f>Table1[[#This Row],[pledged]]/Table1[[#This Row],[goal]]</f>
        <v>0</v>
      </c>
      <c r="T2563" s="8" t="str">
        <f>IF(Table1[[#This Row],[pledged]]=0,"no backers",Table1[[#This Row],[pledged]]/Table1[[#This Row],[backers_count]])</f>
        <v>no backers</v>
      </c>
      <c r="U2563" t="str">
        <f>LEFT(Table1[[#This Row],[Category and Sub-Category]],FIND("/",Table1[[#This Row],[Category and Sub-Category]])-1)</f>
        <v>food</v>
      </c>
      <c r="V2563" t="str">
        <f>RIGHT(Table1[[#This Row],[Category and Sub-Category]],LEN(Table1[[#This Row],[Category and Sub-Category]])-FIND("/",Table1[[#This Row],[Category and Sub-Category]]))</f>
        <v>food trucks</v>
      </c>
    </row>
    <row r="2564" spans="1:22" ht="57.6" x14ac:dyDescent="0.3">
      <c r="A2564">
        <v>2562</v>
      </c>
      <c r="B2564" s="3" t="s">
        <v>2562</v>
      </c>
      <c r="C2564" s="3" t="s">
        <v>6672</v>
      </c>
      <c r="D2564" s="12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>((Table1[[#This Row],[deadline]]/60)/60/24)+DATE(1970,1,1)</f>
        <v>42654.524756944447</v>
      </c>
      <c r="K2564">
        <v>1471005339</v>
      </c>
      <c r="L2564" s="11">
        <f>((Table1[[#This Row],[launched_at]]/60)/60/24)+DATE(1970,1,1)</f>
        <v>42594.524756944447</v>
      </c>
      <c r="M2564">
        <f>MONTH(Table1[[#This Row],[Date Created Conversion]])</f>
        <v>8</v>
      </c>
      <c r="N2564">
        <f>YEAR(Table1[[#This Row],[Date Created Conversion]])</f>
        <v>2016</v>
      </c>
      <c r="O2564" t="b">
        <v>0</v>
      </c>
      <c r="P2564">
        <v>3</v>
      </c>
      <c r="Q2564" t="b">
        <v>0</v>
      </c>
      <c r="R2564" t="s">
        <v>8284</v>
      </c>
      <c r="S2564" s="6">
        <f>Table1[[#This Row],[pledged]]/Table1[[#This Row],[goal]]</f>
        <v>7.4999999999999997E-3</v>
      </c>
      <c r="T2564" s="8">
        <f>IF(Table1[[#This Row],[pledged]]=0,"no backers",Table1[[#This Row],[pledged]]/Table1[[#This Row],[backers_count]])</f>
        <v>25</v>
      </c>
      <c r="U2564" t="str">
        <f>LEFT(Table1[[#This Row],[Category and Sub-Category]],FIND("/",Table1[[#This Row],[Category and Sub-Category]])-1)</f>
        <v>food</v>
      </c>
      <c r="V2564" t="str">
        <f>RIGHT(Table1[[#This Row],[Category and Sub-Category]],LEN(Table1[[#This Row],[Category and Sub-Category]])-FIND("/",Table1[[#This Row],[Category and Sub-Category]]))</f>
        <v>food trucks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 s="12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>((Table1[[#This Row],[deadline]]/60)/60/24)+DATE(1970,1,1)</f>
        <v>42215.139479166668</v>
      </c>
      <c r="K2565">
        <v>1433042451</v>
      </c>
      <c r="L2565" s="11">
        <f>((Table1[[#This Row],[launched_at]]/60)/60/24)+DATE(1970,1,1)</f>
        <v>42155.139479166668</v>
      </c>
      <c r="M2565">
        <f>MONTH(Table1[[#This Row],[Date Created Conversion]])</f>
        <v>5</v>
      </c>
      <c r="N2565">
        <f>YEAR(Table1[[#This Row],[Date Created Conversion]])</f>
        <v>2015</v>
      </c>
      <c r="O2565" t="b">
        <v>0</v>
      </c>
      <c r="P2565">
        <v>0</v>
      </c>
      <c r="Q2565" t="b">
        <v>0</v>
      </c>
      <c r="R2565" t="s">
        <v>8284</v>
      </c>
      <c r="S2565" s="6">
        <f>Table1[[#This Row],[pledged]]/Table1[[#This Row],[goal]]</f>
        <v>0</v>
      </c>
      <c r="T2565" s="8" t="str">
        <f>IF(Table1[[#This Row],[pledged]]=0,"no backers",Table1[[#This Row],[pledged]]/Table1[[#This Row],[backers_count]])</f>
        <v>no backers</v>
      </c>
      <c r="U2565" t="str">
        <f>LEFT(Table1[[#This Row],[Category and Sub-Category]],FIND("/",Table1[[#This Row],[Category and Sub-Category]])-1)</f>
        <v>food</v>
      </c>
      <c r="V2565" t="str">
        <f>RIGHT(Table1[[#This Row],[Category and Sub-Category]],LEN(Table1[[#This Row],[Category and Sub-Category]])-FIND("/",Table1[[#This Row],[Category and Sub-Category]]))</f>
        <v>food trucks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 s="12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>((Table1[[#This Row],[deadline]]/60)/60/24)+DATE(1970,1,1)</f>
        <v>41852.040497685186</v>
      </c>
      <c r="K2566">
        <v>1404262699</v>
      </c>
      <c r="L2566" s="11">
        <f>((Table1[[#This Row],[launched_at]]/60)/60/24)+DATE(1970,1,1)</f>
        <v>41822.040497685186</v>
      </c>
      <c r="M2566">
        <f>MONTH(Table1[[#This Row],[Date Created Conversion]])</f>
        <v>7</v>
      </c>
      <c r="N2566">
        <f>YEAR(Table1[[#This Row],[Date Created Conversion]])</f>
        <v>2014</v>
      </c>
      <c r="O2566" t="b">
        <v>0</v>
      </c>
      <c r="P2566">
        <v>0</v>
      </c>
      <c r="Q2566" t="b">
        <v>0</v>
      </c>
      <c r="R2566" t="s">
        <v>8284</v>
      </c>
      <c r="S2566" s="6">
        <f>Table1[[#This Row],[pledged]]/Table1[[#This Row],[goal]]</f>
        <v>0</v>
      </c>
      <c r="T2566" s="8" t="str">
        <f>IF(Table1[[#This Row],[pledged]]=0,"no backers",Table1[[#This Row],[pledged]]/Table1[[#This Row],[backers_count]])</f>
        <v>no backers</v>
      </c>
      <c r="U2566" t="str">
        <f>LEFT(Table1[[#This Row],[Category and Sub-Category]],FIND("/",Table1[[#This Row],[Category and Sub-Category]])-1)</f>
        <v>food</v>
      </c>
      <c r="V2566" t="str">
        <f>RIGHT(Table1[[#This Row],[Category and Sub-Category]],LEN(Table1[[#This Row],[Category and Sub-Category]])-FIND("/",Table1[[#This Row],[Category and Sub-Category]]))</f>
        <v>food trucks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 s="12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>((Table1[[#This Row],[deadline]]/60)/60/24)+DATE(1970,1,1)</f>
        <v>42499.868055555555</v>
      </c>
      <c r="K2567">
        <v>1457710589</v>
      </c>
      <c r="L2567" s="11">
        <f>((Table1[[#This Row],[launched_at]]/60)/60/24)+DATE(1970,1,1)</f>
        <v>42440.650335648148</v>
      </c>
      <c r="M2567">
        <f>MONTH(Table1[[#This Row],[Date Created Conversion]])</f>
        <v>3</v>
      </c>
      <c r="N2567">
        <f>YEAR(Table1[[#This Row],[Date Created Conversion]])</f>
        <v>2016</v>
      </c>
      <c r="O2567" t="b">
        <v>0</v>
      </c>
      <c r="P2567">
        <v>1</v>
      </c>
      <c r="Q2567" t="b">
        <v>0</v>
      </c>
      <c r="R2567" t="s">
        <v>8284</v>
      </c>
      <c r="S2567" s="6">
        <f>Table1[[#This Row],[pledged]]/Table1[[#This Row],[goal]]</f>
        <v>0.01</v>
      </c>
      <c r="T2567" s="8">
        <f>IF(Table1[[#This Row],[pledged]]=0,"no backers",Table1[[#This Row],[pledged]]/Table1[[#This Row],[backers_count]])</f>
        <v>100</v>
      </c>
      <c r="U2567" t="str">
        <f>LEFT(Table1[[#This Row],[Category and Sub-Category]],FIND("/",Table1[[#This Row],[Category and Sub-Category]])-1)</f>
        <v>food</v>
      </c>
      <c r="V2567" t="str">
        <f>RIGHT(Table1[[#This Row],[Category and Sub-Category]],LEN(Table1[[#This Row],[Category and Sub-Category]])-FIND("/",Table1[[#This Row],[Category and Sub-Category]]))</f>
        <v>food trucks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 s="12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>((Table1[[#This Row],[deadline]]/60)/60/24)+DATE(1970,1,1)</f>
        <v>41872.980879629627</v>
      </c>
      <c r="K2568">
        <v>1406071948</v>
      </c>
      <c r="L2568" s="11">
        <f>((Table1[[#This Row],[launched_at]]/60)/60/24)+DATE(1970,1,1)</f>
        <v>41842.980879629627</v>
      </c>
      <c r="M2568">
        <f>MONTH(Table1[[#This Row],[Date Created Conversion]])</f>
        <v>7</v>
      </c>
      <c r="N2568">
        <f>YEAR(Table1[[#This Row],[Date Created Conversion]])</f>
        <v>2014</v>
      </c>
      <c r="O2568" t="b">
        <v>0</v>
      </c>
      <c r="P2568">
        <v>0</v>
      </c>
      <c r="Q2568" t="b">
        <v>0</v>
      </c>
      <c r="R2568" t="s">
        <v>8284</v>
      </c>
      <c r="S2568" s="6">
        <f>Table1[[#This Row],[pledged]]/Table1[[#This Row],[goal]]</f>
        <v>0</v>
      </c>
      <c r="T2568" s="8" t="str">
        <f>IF(Table1[[#This Row],[pledged]]=0,"no backers",Table1[[#This Row],[pledged]]/Table1[[#This Row],[backers_count]])</f>
        <v>no backers</v>
      </c>
      <c r="U2568" t="str">
        <f>LEFT(Table1[[#This Row],[Category and Sub-Category]],FIND("/",Table1[[#This Row],[Category and Sub-Category]])-1)</f>
        <v>food</v>
      </c>
      <c r="V2568" t="str">
        <f>RIGHT(Table1[[#This Row],[Category and Sub-Category]],LEN(Table1[[#This Row],[Category and Sub-Category]])-FIND("/",Table1[[#This Row],[Category and Sub-Category]]))</f>
        <v>food trucks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 s="12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>((Table1[[#This Row],[deadline]]/60)/60/24)+DATE(1970,1,1)</f>
        <v>42117.878912037035</v>
      </c>
      <c r="K2569">
        <v>1427231138</v>
      </c>
      <c r="L2569" s="11">
        <f>((Table1[[#This Row],[launched_at]]/60)/60/24)+DATE(1970,1,1)</f>
        <v>42087.878912037035</v>
      </c>
      <c r="M2569">
        <f>MONTH(Table1[[#This Row],[Date Created Conversion]])</f>
        <v>3</v>
      </c>
      <c r="N2569">
        <f>YEAR(Table1[[#This Row],[Date Created Conversion]])</f>
        <v>2015</v>
      </c>
      <c r="O2569" t="b">
        <v>0</v>
      </c>
      <c r="P2569">
        <v>2</v>
      </c>
      <c r="Q2569" t="b">
        <v>0</v>
      </c>
      <c r="R2569" t="s">
        <v>8284</v>
      </c>
      <c r="S2569" s="6">
        <f>Table1[[#This Row],[pledged]]/Table1[[#This Row],[goal]]</f>
        <v>2.6666666666666666E-3</v>
      </c>
      <c r="T2569" s="8">
        <f>IF(Table1[[#This Row],[pledged]]=0,"no backers",Table1[[#This Row],[pledged]]/Table1[[#This Row],[backers_count]])</f>
        <v>60</v>
      </c>
      <c r="U2569" t="str">
        <f>LEFT(Table1[[#This Row],[Category and Sub-Category]],FIND("/",Table1[[#This Row],[Category and Sub-Category]])-1)</f>
        <v>food</v>
      </c>
      <c r="V2569" t="str">
        <f>RIGHT(Table1[[#This Row],[Category and Sub-Category]],LEN(Table1[[#This Row],[Category and Sub-Category]])-FIND("/",Table1[[#This Row],[Category and Sub-Category]]))</f>
        <v>food trucks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 s="12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>((Table1[[#This Row],[deadline]]/60)/60/24)+DATE(1970,1,1)</f>
        <v>42614.666597222225</v>
      </c>
      <c r="K2570">
        <v>1470153594</v>
      </c>
      <c r="L2570" s="11">
        <f>((Table1[[#This Row],[launched_at]]/60)/60/24)+DATE(1970,1,1)</f>
        <v>42584.666597222225</v>
      </c>
      <c r="M2570">
        <f>MONTH(Table1[[#This Row],[Date Created Conversion]])</f>
        <v>8</v>
      </c>
      <c r="N2570">
        <f>YEAR(Table1[[#This Row],[Date Created Conversion]])</f>
        <v>2016</v>
      </c>
      <c r="O2570" t="b">
        <v>0</v>
      </c>
      <c r="P2570">
        <v>1</v>
      </c>
      <c r="Q2570" t="b">
        <v>0</v>
      </c>
      <c r="R2570" t="s">
        <v>8284</v>
      </c>
      <c r="S2570" s="6">
        <f>Table1[[#This Row],[pledged]]/Table1[[#This Row],[goal]]</f>
        <v>5.0000000000000001E-3</v>
      </c>
      <c r="T2570" s="8">
        <f>IF(Table1[[#This Row],[pledged]]=0,"no backers",Table1[[#This Row],[pledged]]/Table1[[#This Row],[backers_count]])</f>
        <v>50</v>
      </c>
      <c r="U2570" t="str">
        <f>LEFT(Table1[[#This Row],[Category and Sub-Category]],FIND("/",Table1[[#This Row],[Category and Sub-Category]])-1)</f>
        <v>food</v>
      </c>
      <c r="V2570" t="str">
        <f>RIGHT(Table1[[#This Row],[Category and Sub-Category]],LEN(Table1[[#This Row],[Category and Sub-Category]])-FIND("/",Table1[[#This Row],[Category and Sub-Category]]))</f>
        <v>food trucks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 s="12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>((Table1[[#This Row],[deadline]]/60)/60/24)+DATE(1970,1,1)</f>
        <v>42264.105462962965</v>
      </c>
      <c r="K2571">
        <v>1439865112</v>
      </c>
      <c r="L2571" s="11">
        <f>((Table1[[#This Row],[launched_at]]/60)/60/24)+DATE(1970,1,1)</f>
        <v>42234.105462962965</v>
      </c>
      <c r="M2571">
        <f>MONTH(Table1[[#This Row],[Date Created Conversion]])</f>
        <v>8</v>
      </c>
      <c r="N2571">
        <f>YEAR(Table1[[#This Row],[Date Created Conversion]])</f>
        <v>2015</v>
      </c>
      <c r="O2571" t="b">
        <v>0</v>
      </c>
      <c r="P2571">
        <v>2</v>
      </c>
      <c r="Q2571" t="b">
        <v>0</v>
      </c>
      <c r="R2571" t="s">
        <v>8284</v>
      </c>
      <c r="S2571" s="6">
        <f>Table1[[#This Row],[pledged]]/Table1[[#This Row],[goal]]</f>
        <v>2.2307692307692306E-2</v>
      </c>
      <c r="T2571" s="8">
        <f>IF(Table1[[#This Row],[pledged]]=0,"no backers",Table1[[#This Row],[pledged]]/Table1[[#This Row],[backers_count]])</f>
        <v>72.5</v>
      </c>
      <c r="U2571" t="str">
        <f>LEFT(Table1[[#This Row],[Category and Sub-Category]],FIND("/",Table1[[#This Row],[Category and Sub-Category]])-1)</f>
        <v>food</v>
      </c>
      <c r="V2571" t="str">
        <f>RIGHT(Table1[[#This Row],[Category and Sub-Category]],LEN(Table1[[#This Row],[Category and Sub-Category]])-FIND("/",Table1[[#This Row],[Category and Sub-Category]]))</f>
        <v>food trucks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 s="1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>((Table1[[#This Row],[deadline]]/60)/60/24)+DATE(1970,1,1)</f>
        <v>42774.903182870374</v>
      </c>
      <c r="K2572">
        <v>1483998035</v>
      </c>
      <c r="L2572" s="11">
        <f>((Table1[[#This Row],[launched_at]]/60)/60/24)+DATE(1970,1,1)</f>
        <v>42744.903182870374</v>
      </c>
      <c r="M2572">
        <f>MONTH(Table1[[#This Row],[Date Created Conversion]])</f>
        <v>1</v>
      </c>
      <c r="N2572">
        <f>YEAR(Table1[[#This Row],[Date Created Conversion]])</f>
        <v>2017</v>
      </c>
      <c r="O2572" t="b">
        <v>0</v>
      </c>
      <c r="P2572">
        <v>2</v>
      </c>
      <c r="Q2572" t="b">
        <v>0</v>
      </c>
      <c r="R2572" t="s">
        <v>8284</v>
      </c>
      <c r="S2572" s="6">
        <f>Table1[[#This Row],[pledged]]/Table1[[#This Row],[goal]]</f>
        <v>8.4285714285714294E-3</v>
      </c>
      <c r="T2572" s="8">
        <f>IF(Table1[[#This Row],[pledged]]=0,"no backers",Table1[[#This Row],[pledged]]/Table1[[#This Row],[backers_count]])</f>
        <v>29.5</v>
      </c>
      <c r="U2572" t="str">
        <f>LEFT(Table1[[#This Row],[Category and Sub-Category]],FIND("/",Table1[[#This Row],[Category and Sub-Category]])-1)</f>
        <v>food</v>
      </c>
      <c r="V2572" t="str">
        <f>RIGHT(Table1[[#This Row],[Category and Sub-Category]],LEN(Table1[[#This Row],[Category and Sub-Category]])-FIND("/",Table1[[#This Row],[Category and Sub-Category]]))</f>
        <v>food trucks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 s="12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>((Table1[[#This Row],[deadline]]/60)/60/24)+DATE(1970,1,1)</f>
        <v>42509.341678240744</v>
      </c>
      <c r="K2573">
        <v>1458461521</v>
      </c>
      <c r="L2573" s="11">
        <f>((Table1[[#This Row],[launched_at]]/60)/60/24)+DATE(1970,1,1)</f>
        <v>42449.341678240744</v>
      </c>
      <c r="M2573">
        <f>MONTH(Table1[[#This Row],[Date Created Conversion]])</f>
        <v>3</v>
      </c>
      <c r="N2573">
        <f>YEAR(Table1[[#This Row],[Date Created Conversion]])</f>
        <v>2016</v>
      </c>
      <c r="O2573" t="b">
        <v>0</v>
      </c>
      <c r="P2573">
        <v>4</v>
      </c>
      <c r="Q2573" t="b">
        <v>0</v>
      </c>
      <c r="R2573" t="s">
        <v>8284</v>
      </c>
      <c r="S2573" s="6">
        <f>Table1[[#This Row],[pledged]]/Table1[[#This Row],[goal]]</f>
        <v>2.5000000000000001E-3</v>
      </c>
      <c r="T2573" s="8">
        <f>IF(Table1[[#This Row],[pledged]]=0,"no backers",Table1[[#This Row],[pledged]]/Table1[[#This Row],[backers_count]])</f>
        <v>62.5</v>
      </c>
      <c r="U2573" t="str">
        <f>LEFT(Table1[[#This Row],[Category and Sub-Category]],FIND("/",Table1[[#This Row],[Category and Sub-Category]])-1)</f>
        <v>food</v>
      </c>
      <c r="V2573" t="str">
        <f>RIGHT(Table1[[#This Row],[Category and Sub-Category]],LEN(Table1[[#This Row],[Category and Sub-Category]])-FIND("/",Table1[[#This Row],[Category and Sub-Category]]))</f>
        <v>food trucks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 s="12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>((Table1[[#This Row],[deadline]]/60)/60/24)+DATE(1970,1,1)</f>
        <v>42107.119409722218</v>
      </c>
      <c r="K2574">
        <v>1426301517</v>
      </c>
      <c r="L2574" s="11">
        <f>((Table1[[#This Row],[launched_at]]/60)/60/24)+DATE(1970,1,1)</f>
        <v>42077.119409722218</v>
      </c>
      <c r="M2574">
        <f>MONTH(Table1[[#This Row],[Date Created Conversion]])</f>
        <v>3</v>
      </c>
      <c r="N2574">
        <f>YEAR(Table1[[#This Row],[Date Created Conversion]])</f>
        <v>2015</v>
      </c>
      <c r="O2574" t="b">
        <v>0</v>
      </c>
      <c r="P2574">
        <v>0</v>
      </c>
      <c r="Q2574" t="b">
        <v>0</v>
      </c>
      <c r="R2574" t="s">
        <v>8284</v>
      </c>
      <c r="S2574" s="6">
        <f>Table1[[#This Row],[pledged]]/Table1[[#This Row],[goal]]</f>
        <v>0</v>
      </c>
      <c r="T2574" s="8" t="str">
        <f>IF(Table1[[#This Row],[pledged]]=0,"no backers",Table1[[#This Row],[pledged]]/Table1[[#This Row],[backers_count]])</f>
        <v>no backers</v>
      </c>
      <c r="U2574" t="str">
        <f>LEFT(Table1[[#This Row],[Category and Sub-Category]],FIND("/",Table1[[#This Row],[Category and Sub-Category]])-1)</f>
        <v>food</v>
      </c>
      <c r="V2574" t="str">
        <f>RIGHT(Table1[[#This Row],[Category and Sub-Category]],LEN(Table1[[#This Row],[Category and Sub-Category]])-FIND("/",Table1[[#This Row],[Category and Sub-Category]]))</f>
        <v>food trucks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 s="12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>((Table1[[#This Row],[deadline]]/60)/60/24)+DATE(1970,1,1)</f>
        <v>41874.592002314814</v>
      </c>
      <c r="K2575">
        <v>1404915149</v>
      </c>
      <c r="L2575" s="11">
        <f>((Table1[[#This Row],[launched_at]]/60)/60/24)+DATE(1970,1,1)</f>
        <v>41829.592002314814</v>
      </c>
      <c r="M2575">
        <f>MONTH(Table1[[#This Row],[Date Created Conversion]])</f>
        <v>7</v>
      </c>
      <c r="N2575">
        <f>YEAR(Table1[[#This Row],[Date Created Conversion]])</f>
        <v>2014</v>
      </c>
      <c r="O2575" t="b">
        <v>0</v>
      </c>
      <c r="P2575">
        <v>0</v>
      </c>
      <c r="Q2575" t="b">
        <v>0</v>
      </c>
      <c r="R2575" t="s">
        <v>8284</v>
      </c>
      <c r="S2575" s="6">
        <f>Table1[[#This Row],[pledged]]/Table1[[#This Row],[goal]]</f>
        <v>0</v>
      </c>
      <c r="T2575" s="8" t="str">
        <f>IF(Table1[[#This Row],[pledged]]=0,"no backers",Table1[[#This Row],[pledged]]/Table1[[#This Row],[backers_count]])</f>
        <v>no backers</v>
      </c>
      <c r="U2575" t="str">
        <f>LEFT(Table1[[#This Row],[Category and Sub-Category]],FIND("/",Table1[[#This Row],[Category and Sub-Category]])-1)</f>
        <v>food</v>
      </c>
      <c r="V2575" t="str">
        <f>RIGHT(Table1[[#This Row],[Category and Sub-Category]],LEN(Table1[[#This Row],[Category and Sub-Category]])-FIND("/",Table1[[#This Row],[Category and Sub-Category]]))</f>
        <v>food trucks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 s="12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>((Table1[[#This Row],[deadline]]/60)/60/24)+DATE(1970,1,1)</f>
        <v>42508.825752314813</v>
      </c>
      <c r="K2576">
        <v>1461786545</v>
      </c>
      <c r="L2576" s="11">
        <f>((Table1[[#This Row],[launched_at]]/60)/60/24)+DATE(1970,1,1)</f>
        <v>42487.825752314813</v>
      </c>
      <c r="M2576">
        <f>MONTH(Table1[[#This Row],[Date Created Conversion]])</f>
        <v>4</v>
      </c>
      <c r="N2576">
        <f>YEAR(Table1[[#This Row],[Date Created Conversion]])</f>
        <v>2016</v>
      </c>
      <c r="O2576" t="b">
        <v>0</v>
      </c>
      <c r="P2576">
        <v>0</v>
      </c>
      <c r="Q2576" t="b">
        <v>0</v>
      </c>
      <c r="R2576" t="s">
        <v>8284</v>
      </c>
      <c r="S2576" s="6">
        <f>Table1[[#This Row],[pledged]]/Table1[[#This Row],[goal]]</f>
        <v>0</v>
      </c>
      <c r="T2576" s="8" t="str">
        <f>IF(Table1[[#This Row],[pledged]]=0,"no backers",Table1[[#This Row],[pledged]]/Table1[[#This Row],[backers_count]])</f>
        <v>no backers</v>
      </c>
      <c r="U2576" t="str">
        <f>LEFT(Table1[[#This Row],[Category and Sub-Category]],FIND("/",Table1[[#This Row],[Category and Sub-Category]])-1)</f>
        <v>food</v>
      </c>
      <c r="V2576" t="str">
        <f>RIGHT(Table1[[#This Row],[Category and Sub-Category]],LEN(Table1[[#This Row],[Category and Sub-Category]])-FIND("/",Table1[[#This Row],[Category and Sub-Category]]))</f>
        <v>food trucks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 s="12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>((Table1[[#This Row],[deadline]]/60)/60/24)+DATE(1970,1,1)</f>
        <v>42016.108726851846</v>
      </c>
      <c r="K2577">
        <v>1418438194</v>
      </c>
      <c r="L2577" s="11">
        <f>((Table1[[#This Row],[launched_at]]/60)/60/24)+DATE(1970,1,1)</f>
        <v>41986.108726851846</v>
      </c>
      <c r="M2577">
        <f>MONTH(Table1[[#This Row],[Date Created Conversion]])</f>
        <v>12</v>
      </c>
      <c r="N2577">
        <f>YEAR(Table1[[#This Row],[Date Created Conversion]])</f>
        <v>2014</v>
      </c>
      <c r="O2577" t="b">
        <v>0</v>
      </c>
      <c r="P2577">
        <v>0</v>
      </c>
      <c r="Q2577" t="b">
        <v>0</v>
      </c>
      <c r="R2577" t="s">
        <v>8284</v>
      </c>
      <c r="S2577" s="6">
        <f>Table1[[#This Row],[pledged]]/Table1[[#This Row],[goal]]</f>
        <v>0</v>
      </c>
      <c r="T2577" s="8" t="str">
        <f>IF(Table1[[#This Row],[pledged]]=0,"no backers",Table1[[#This Row],[pledged]]/Table1[[#This Row],[backers_count]])</f>
        <v>no backers</v>
      </c>
      <c r="U2577" t="str">
        <f>LEFT(Table1[[#This Row],[Category and Sub-Category]],FIND("/",Table1[[#This Row],[Category and Sub-Category]])-1)</f>
        <v>food</v>
      </c>
      <c r="V2577" t="str">
        <f>RIGHT(Table1[[#This Row],[Category and Sub-Category]],LEN(Table1[[#This Row],[Category and Sub-Category]])-FIND("/",Table1[[#This Row],[Category and Sub-Category]]))</f>
        <v>food trucks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 s="12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>((Table1[[#This Row],[deadline]]/60)/60/24)+DATE(1970,1,1)</f>
        <v>42104.968136574069</v>
      </c>
      <c r="K2578">
        <v>1424823247</v>
      </c>
      <c r="L2578" s="11">
        <f>((Table1[[#This Row],[launched_at]]/60)/60/24)+DATE(1970,1,1)</f>
        <v>42060.00980324074</v>
      </c>
      <c r="M2578">
        <f>MONTH(Table1[[#This Row],[Date Created Conversion]])</f>
        <v>2</v>
      </c>
      <c r="N2578">
        <f>YEAR(Table1[[#This Row],[Date Created Conversion]])</f>
        <v>2015</v>
      </c>
      <c r="O2578" t="b">
        <v>0</v>
      </c>
      <c r="P2578">
        <v>0</v>
      </c>
      <c r="Q2578" t="b">
        <v>0</v>
      </c>
      <c r="R2578" t="s">
        <v>8284</v>
      </c>
      <c r="S2578" s="6">
        <f>Table1[[#This Row],[pledged]]/Table1[[#This Row],[goal]]</f>
        <v>0</v>
      </c>
      <c r="T2578" s="8" t="str">
        <f>IF(Table1[[#This Row],[pledged]]=0,"no backers",Table1[[#This Row],[pledged]]/Table1[[#This Row],[backers_count]])</f>
        <v>no backers</v>
      </c>
      <c r="U2578" t="str">
        <f>LEFT(Table1[[#This Row],[Category and Sub-Category]],FIND("/",Table1[[#This Row],[Category and Sub-Category]])-1)</f>
        <v>food</v>
      </c>
      <c r="V2578" t="str">
        <f>RIGHT(Table1[[#This Row],[Category and Sub-Category]],LEN(Table1[[#This Row],[Category and Sub-Category]])-FIND("/",Table1[[#This Row],[Category and Sub-Category]]))</f>
        <v>food trucks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 s="12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>((Table1[[#This Row],[deadline]]/60)/60/24)+DATE(1970,1,1)</f>
        <v>41855.820567129631</v>
      </c>
      <c r="K2579">
        <v>1405021297</v>
      </c>
      <c r="L2579" s="11">
        <f>((Table1[[#This Row],[launched_at]]/60)/60/24)+DATE(1970,1,1)</f>
        <v>41830.820567129631</v>
      </c>
      <c r="M2579">
        <f>MONTH(Table1[[#This Row],[Date Created Conversion]])</f>
        <v>7</v>
      </c>
      <c r="N2579">
        <f>YEAR(Table1[[#This Row],[Date Created Conversion]])</f>
        <v>2014</v>
      </c>
      <c r="O2579" t="b">
        <v>0</v>
      </c>
      <c r="P2579">
        <v>0</v>
      </c>
      <c r="Q2579" t="b">
        <v>0</v>
      </c>
      <c r="R2579" t="s">
        <v>8284</v>
      </c>
      <c r="S2579" s="6">
        <f>Table1[[#This Row],[pledged]]/Table1[[#This Row],[goal]]</f>
        <v>0</v>
      </c>
      <c r="T2579" s="8" t="str">
        <f>IF(Table1[[#This Row],[pledged]]=0,"no backers",Table1[[#This Row],[pledged]]/Table1[[#This Row],[backers_count]])</f>
        <v>no backers</v>
      </c>
      <c r="U2579" t="str">
        <f>LEFT(Table1[[#This Row],[Category and Sub-Category]],FIND("/",Table1[[#This Row],[Category and Sub-Category]])-1)</f>
        <v>food</v>
      </c>
      <c r="V2579" t="str">
        <f>RIGHT(Table1[[#This Row],[Category and Sub-Category]],LEN(Table1[[#This Row],[Category and Sub-Category]])-FIND("/",Table1[[#This Row],[Category and Sub-Category]]))</f>
        <v>food trucks</v>
      </c>
    </row>
    <row r="2580" spans="1:22" ht="57.6" x14ac:dyDescent="0.3">
      <c r="A2580">
        <v>2578</v>
      </c>
      <c r="B2580" s="3" t="s">
        <v>2578</v>
      </c>
      <c r="C2580" s="3" t="s">
        <v>6688</v>
      </c>
      <c r="D2580" s="12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>((Table1[[#This Row],[deadline]]/60)/60/24)+DATE(1970,1,1)</f>
        <v>42286.708333333328</v>
      </c>
      <c r="K2580">
        <v>1440203579</v>
      </c>
      <c r="L2580" s="11">
        <f>((Table1[[#This Row],[launched_at]]/60)/60/24)+DATE(1970,1,1)</f>
        <v>42238.022905092599</v>
      </c>
      <c r="M2580">
        <f>MONTH(Table1[[#This Row],[Date Created Conversion]])</f>
        <v>8</v>
      </c>
      <c r="N2580">
        <f>YEAR(Table1[[#This Row],[Date Created Conversion]])</f>
        <v>2015</v>
      </c>
      <c r="O2580" t="b">
        <v>0</v>
      </c>
      <c r="P2580">
        <v>0</v>
      </c>
      <c r="Q2580" t="b">
        <v>0</v>
      </c>
      <c r="R2580" t="s">
        <v>8284</v>
      </c>
      <c r="S2580" s="6">
        <f>Table1[[#This Row],[pledged]]/Table1[[#This Row],[goal]]</f>
        <v>0</v>
      </c>
      <c r="T2580" s="8" t="str">
        <f>IF(Table1[[#This Row],[pledged]]=0,"no backers",Table1[[#This Row],[pledged]]/Table1[[#This Row],[backers_count]])</f>
        <v>no backers</v>
      </c>
      <c r="U2580" t="str">
        <f>LEFT(Table1[[#This Row],[Category and Sub-Category]],FIND("/",Table1[[#This Row],[Category and Sub-Category]])-1)</f>
        <v>food</v>
      </c>
      <c r="V2580" t="str">
        <f>RIGHT(Table1[[#This Row],[Category and Sub-Category]],LEN(Table1[[#This Row],[Category and Sub-Category]])-FIND("/",Table1[[#This Row],[Category and Sub-Category]]))</f>
        <v>food trucks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 s="12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>((Table1[[#This Row],[deadline]]/60)/60/24)+DATE(1970,1,1)</f>
        <v>41897.829895833333</v>
      </c>
      <c r="K2581">
        <v>1405626903</v>
      </c>
      <c r="L2581" s="11">
        <f>((Table1[[#This Row],[launched_at]]/60)/60/24)+DATE(1970,1,1)</f>
        <v>41837.829895833333</v>
      </c>
      <c r="M2581">
        <f>MONTH(Table1[[#This Row],[Date Created Conversion]])</f>
        <v>7</v>
      </c>
      <c r="N2581">
        <f>YEAR(Table1[[#This Row],[Date Created Conversion]])</f>
        <v>2014</v>
      </c>
      <c r="O2581" t="b">
        <v>0</v>
      </c>
      <c r="P2581">
        <v>12</v>
      </c>
      <c r="Q2581" t="b">
        <v>0</v>
      </c>
      <c r="R2581" t="s">
        <v>8284</v>
      </c>
      <c r="S2581" s="6">
        <f>Table1[[#This Row],[pledged]]/Table1[[#This Row],[goal]]</f>
        <v>1.3849999999999999E-3</v>
      </c>
      <c r="T2581" s="8">
        <f>IF(Table1[[#This Row],[pledged]]=0,"no backers",Table1[[#This Row],[pledged]]/Table1[[#This Row],[backers_count]])</f>
        <v>23.083333333333332</v>
      </c>
      <c r="U2581" t="str">
        <f>LEFT(Table1[[#This Row],[Category and Sub-Category]],FIND("/",Table1[[#This Row],[Category and Sub-Category]])-1)</f>
        <v>food</v>
      </c>
      <c r="V2581" t="str">
        <f>RIGHT(Table1[[#This Row],[Category and Sub-Category]],LEN(Table1[[#This Row],[Category and Sub-Category]])-FIND("/",Table1[[#This Row],[Category and Sub-Category]]))</f>
        <v>food trucks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 s="1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>((Table1[[#This Row],[deadline]]/60)/60/24)+DATE(1970,1,1)</f>
        <v>42140.125</v>
      </c>
      <c r="K2582">
        <v>1429170603</v>
      </c>
      <c r="L2582" s="11">
        <f>((Table1[[#This Row],[launched_at]]/60)/60/24)+DATE(1970,1,1)</f>
        <v>42110.326423611114</v>
      </c>
      <c r="M2582">
        <f>MONTH(Table1[[#This Row],[Date Created Conversion]])</f>
        <v>4</v>
      </c>
      <c r="N2582">
        <f>YEAR(Table1[[#This Row],[Date Created Conversion]])</f>
        <v>2015</v>
      </c>
      <c r="O2582" t="b">
        <v>0</v>
      </c>
      <c r="P2582">
        <v>2</v>
      </c>
      <c r="Q2582" t="b">
        <v>0</v>
      </c>
      <c r="R2582" t="s">
        <v>8284</v>
      </c>
      <c r="S2582" s="6">
        <f>Table1[[#This Row],[pledged]]/Table1[[#This Row],[goal]]</f>
        <v>6.0000000000000001E-3</v>
      </c>
      <c r="T2582" s="8">
        <f>IF(Table1[[#This Row],[pledged]]=0,"no backers",Table1[[#This Row],[pledged]]/Table1[[#This Row],[backers_count]])</f>
        <v>25.5</v>
      </c>
      <c r="U2582" t="str">
        <f>LEFT(Table1[[#This Row],[Category and Sub-Category]],FIND("/",Table1[[#This Row],[Category and Sub-Category]])-1)</f>
        <v>food</v>
      </c>
      <c r="V2582" t="str">
        <f>RIGHT(Table1[[#This Row],[Category and Sub-Category]],LEN(Table1[[#This Row],[Category and Sub-Category]])-FIND("/",Table1[[#This Row],[Category and Sub-Category]]))</f>
        <v>food trucks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 s="12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>((Table1[[#This Row],[deadline]]/60)/60/24)+DATE(1970,1,1)</f>
        <v>42324.670115740737</v>
      </c>
      <c r="K2583">
        <v>1445094298</v>
      </c>
      <c r="L2583" s="11">
        <f>((Table1[[#This Row],[launched_at]]/60)/60/24)+DATE(1970,1,1)</f>
        <v>42294.628449074073</v>
      </c>
      <c r="M2583">
        <f>MONTH(Table1[[#This Row],[Date Created Conversion]])</f>
        <v>10</v>
      </c>
      <c r="N2583">
        <f>YEAR(Table1[[#This Row],[Date Created Conversion]])</f>
        <v>2015</v>
      </c>
      <c r="O2583" t="b">
        <v>0</v>
      </c>
      <c r="P2583">
        <v>11</v>
      </c>
      <c r="Q2583" t="b">
        <v>0</v>
      </c>
      <c r="R2583" t="s">
        <v>8284</v>
      </c>
      <c r="S2583" s="6">
        <f>Table1[[#This Row],[pledged]]/Table1[[#This Row],[goal]]</f>
        <v>0.106</v>
      </c>
      <c r="T2583" s="8">
        <f>IF(Table1[[#This Row],[pledged]]=0,"no backers",Table1[[#This Row],[pledged]]/Table1[[#This Row],[backers_count]])</f>
        <v>48.18181818181818</v>
      </c>
      <c r="U2583" t="str">
        <f>LEFT(Table1[[#This Row],[Category and Sub-Category]],FIND("/",Table1[[#This Row],[Category and Sub-Category]])-1)</f>
        <v>food</v>
      </c>
      <c r="V2583" t="str">
        <f>RIGHT(Table1[[#This Row],[Category and Sub-Category]],LEN(Table1[[#This Row],[Category and Sub-Category]])-FIND("/",Table1[[#This Row],[Category and Sub-Category]]))</f>
        <v>food trucks</v>
      </c>
    </row>
    <row r="2584" spans="1:22" ht="28.8" x14ac:dyDescent="0.3">
      <c r="A2584">
        <v>2582</v>
      </c>
      <c r="B2584" s="3" t="s">
        <v>2582</v>
      </c>
      <c r="C2584" s="3" t="s">
        <v>6692</v>
      </c>
      <c r="D2584" s="12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>((Table1[[#This Row],[deadline]]/60)/60/24)+DATE(1970,1,1)</f>
        <v>42672.988819444443</v>
      </c>
      <c r="K2584">
        <v>1475192634</v>
      </c>
      <c r="L2584" s="11">
        <f>((Table1[[#This Row],[launched_at]]/60)/60/24)+DATE(1970,1,1)</f>
        <v>42642.988819444443</v>
      </c>
      <c r="M2584">
        <f>MONTH(Table1[[#This Row],[Date Created Conversion]])</f>
        <v>9</v>
      </c>
      <c r="N2584">
        <f>YEAR(Table1[[#This Row],[Date Created Conversion]])</f>
        <v>2016</v>
      </c>
      <c r="O2584" t="b">
        <v>0</v>
      </c>
      <c r="P2584">
        <v>1</v>
      </c>
      <c r="Q2584" t="b">
        <v>0</v>
      </c>
      <c r="R2584" t="s">
        <v>8284</v>
      </c>
      <c r="S2584" s="6">
        <f>Table1[[#This Row],[pledged]]/Table1[[#This Row],[goal]]</f>
        <v>1.1111111111111112E-5</v>
      </c>
      <c r="T2584" s="8">
        <f>IF(Table1[[#This Row],[pledged]]=0,"no backers",Table1[[#This Row],[pledged]]/Table1[[#This Row],[backers_count]])</f>
        <v>1</v>
      </c>
      <c r="U2584" t="str">
        <f>LEFT(Table1[[#This Row],[Category and Sub-Category]],FIND("/",Table1[[#This Row],[Category and Sub-Category]])-1)</f>
        <v>food</v>
      </c>
      <c r="V2584" t="str">
        <f>RIGHT(Table1[[#This Row],[Category and Sub-Category]],LEN(Table1[[#This Row],[Category and Sub-Category]])-FIND("/",Table1[[#This Row],[Category and Sub-Category]]))</f>
        <v>food trucks</v>
      </c>
    </row>
    <row r="2585" spans="1:22" ht="43.2" x14ac:dyDescent="0.3">
      <c r="A2585">
        <v>2583</v>
      </c>
      <c r="B2585" s="3" t="s">
        <v>2583</v>
      </c>
      <c r="C2585" s="3" t="s">
        <v>6693</v>
      </c>
      <c r="D2585" s="12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>((Table1[[#This Row],[deadline]]/60)/60/24)+DATE(1970,1,1)</f>
        <v>42079.727777777778</v>
      </c>
      <c r="K2585">
        <v>1421346480</v>
      </c>
      <c r="L2585" s="11">
        <f>((Table1[[#This Row],[launched_at]]/60)/60/24)+DATE(1970,1,1)</f>
        <v>42019.76944444445</v>
      </c>
      <c r="M2585">
        <f>MONTH(Table1[[#This Row],[Date Created Conversion]])</f>
        <v>1</v>
      </c>
      <c r="N2585">
        <f>YEAR(Table1[[#This Row],[Date Created Conversion]])</f>
        <v>2015</v>
      </c>
      <c r="O2585" t="b">
        <v>0</v>
      </c>
      <c r="P2585">
        <v>5</v>
      </c>
      <c r="Q2585" t="b">
        <v>0</v>
      </c>
      <c r="R2585" t="s">
        <v>8284</v>
      </c>
      <c r="S2585" s="6">
        <f>Table1[[#This Row],[pledged]]/Table1[[#This Row],[goal]]</f>
        <v>5.0000000000000001E-3</v>
      </c>
      <c r="T2585" s="8">
        <f>IF(Table1[[#This Row],[pledged]]=0,"no backers",Table1[[#This Row],[pledged]]/Table1[[#This Row],[backers_count]])</f>
        <v>1</v>
      </c>
      <c r="U2585" t="str">
        <f>LEFT(Table1[[#This Row],[Category and Sub-Category]],FIND("/",Table1[[#This Row],[Category and Sub-Category]])-1)</f>
        <v>food</v>
      </c>
      <c r="V2585" t="str">
        <f>RIGHT(Table1[[#This Row],[Category and Sub-Category]],LEN(Table1[[#This Row],[Category and Sub-Category]])-FIND("/",Table1[[#This Row],[Category and Sub-Category]]))</f>
        <v>food trucks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 s="12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>((Table1[[#This Row],[deadline]]/60)/60/24)+DATE(1970,1,1)</f>
        <v>42170.173252314817</v>
      </c>
      <c r="K2586">
        <v>1431749369</v>
      </c>
      <c r="L2586" s="11">
        <f>((Table1[[#This Row],[launched_at]]/60)/60/24)+DATE(1970,1,1)</f>
        <v>42140.173252314817</v>
      </c>
      <c r="M2586">
        <f>MONTH(Table1[[#This Row],[Date Created Conversion]])</f>
        <v>5</v>
      </c>
      <c r="N2586">
        <f>YEAR(Table1[[#This Row],[Date Created Conversion]])</f>
        <v>2015</v>
      </c>
      <c r="O2586" t="b">
        <v>0</v>
      </c>
      <c r="P2586">
        <v>0</v>
      </c>
      <c r="Q2586" t="b">
        <v>0</v>
      </c>
      <c r="R2586" t="s">
        <v>8284</v>
      </c>
      <c r="S2586" s="6">
        <f>Table1[[#This Row],[pledged]]/Table1[[#This Row],[goal]]</f>
        <v>0</v>
      </c>
      <c r="T2586" s="8" t="str">
        <f>IF(Table1[[#This Row],[pledged]]=0,"no backers",Table1[[#This Row],[pledged]]/Table1[[#This Row],[backers_count]])</f>
        <v>no backers</v>
      </c>
      <c r="U2586" t="str">
        <f>LEFT(Table1[[#This Row],[Category and Sub-Category]],FIND("/",Table1[[#This Row],[Category and Sub-Category]])-1)</f>
        <v>food</v>
      </c>
      <c r="V2586" t="str">
        <f>RIGHT(Table1[[#This Row],[Category and Sub-Category]],LEN(Table1[[#This Row],[Category and Sub-Category]])-FIND("/",Table1[[#This Row],[Category and Sub-Category]]))</f>
        <v>food trucks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 s="12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>((Table1[[#This Row],[deadline]]/60)/60/24)+DATE(1970,1,1)</f>
        <v>41825.963333333333</v>
      </c>
      <c r="K2587">
        <v>1402009632</v>
      </c>
      <c r="L2587" s="11">
        <f>((Table1[[#This Row],[launched_at]]/60)/60/24)+DATE(1970,1,1)</f>
        <v>41795.963333333333</v>
      </c>
      <c r="M2587">
        <f>MONTH(Table1[[#This Row],[Date Created Conversion]])</f>
        <v>6</v>
      </c>
      <c r="N2587">
        <f>YEAR(Table1[[#This Row],[Date Created Conversion]])</f>
        <v>2014</v>
      </c>
      <c r="O2587" t="b">
        <v>0</v>
      </c>
      <c r="P2587">
        <v>1</v>
      </c>
      <c r="Q2587" t="b">
        <v>0</v>
      </c>
      <c r="R2587" t="s">
        <v>8284</v>
      </c>
      <c r="S2587" s="6">
        <f>Table1[[#This Row],[pledged]]/Table1[[#This Row],[goal]]</f>
        <v>1.6666666666666668E-3</v>
      </c>
      <c r="T2587" s="8">
        <f>IF(Table1[[#This Row],[pledged]]=0,"no backers",Table1[[#This Row],[pledged]]/Table1[[#This Row],[backers_count]])</f>
        <v>50</v>
      </c>
      <c r="U2587" t="str">
        <f>LEFT(Table1[[#This Row],[Category and Sub-Category]],FIND("/",Table1[[#This Row],[Category and Sub-Category]])-1)</f>
        <v>food</v>
      </c>
      <c r="V2587" t="str">
        <f>RIGHT(Table1[[#This Row],[Category and Sub-Category]],LEN(Table1[[#This Row],[Category and Sub-Category]])-FIND("/",Table1[[#This Row],[Category and Sub-Category]]))</f>
        <v>food trucks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 s="12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>((Table1[[#This Row],[deadline]]/60)/60/24)+DATE(1970,1,1)</f>
        <v>42363.330277777779</v>
      </c>
      <c r="K2588">
        <v>1448438136</v>
      </c>
      <c r="L2588" s="11">
        <f>((Table1[[#This Row],[launched_at]]/60)/60/24)+DATE(1970,1,1)</f>
        <v>42333.330277777779</v>
      </c>
      <c r="M2588">
        <f>MONTH(Table1[[#This Row],[Date Created Conversion]])</f>
        <v>11</v>
      </c>
      <c r="N2588">
        <f>YEAR(Table1[[#This Row],[Date Created Conversion]])</f>
        <v>2015</v>
      </c>
      <c r="O2588" t="b">
        <v>0</v>
      </c>
      <c r="P2588">
        <v>1</v>
      </c>
      <c r="Q2588" t="b">
        <v>0</v>
      </c>
      <c r="R2588" t="s">
        <v>8284</v>
      </c>
      <c r="S2588" s="6">
        <f>Table1[[#This Row],[pledged]]/Table1[[#This Row],[goal]]</f>
        <v>1.6666666666666668E-3</v>
      </c>
      <c r="T2588" s="8">
        <f>IF(Table1[[#This Row],[pledged]]=0,"no backers",Table1[[#This Row],[pledged]]/Table1[[#This Row],[backers_count]])</f>
        <v>5</v>
      </c>
      <c r="U2588" t="str">
        <f>LEFT(Table1[[#This Row],[Category and Sub-Category]],FIND("/",Table1[[#This Row],[Category and Sub-Category]])-1)</f>
        <v>food</v>
      </c>
      <c r="V2588" t="str">
        <f>RIGHT(Table1[[#This Row],[Category and Sub-Category]],LEN(Table1[[#This Row],[Category and Sub-Category]])-FIND("/",Table1[[#This Row],[Category and Sub-Category]]))</f>
        <v>food trucks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 s="12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>((Table1[[#This Row],[deadline]]/60)/60/24)+DATE(1970,1,1)</f>
        <v>42368.675381944442</v>
      </c>
      <c r="K2589">
        <v>1448899953</v>
      </c>
      <c r="L2589" s="11">
        <f>((Table1[[#This Row],[launched_at]]/60)/60/24)+DATE(1970,1,1)</f>
        <v>42338.675381944442</v>
      </c>
      <c r="M2589">
        <f>MONTH(Table1[[#This Row],[Date Created Conversion]])</f>
        <v>11</v>
      </c>
      <c r="N2589">
        <f>YEAR(Table1[[#This Row],[Date Created Conversion]])</f>
        <v>2015</v>
      </c>
      <c r="O2589" t="b">
        <v>0</v>
      </c>
      <c r="P2589">
        <v>6</v>
      </c>
      <c r="Q2589" t="b">
        <v>0</v>
      </c>
      <c r="R2589" t="s">
        <v>8284</v>
      </c>
      <c r="S2589" s="6">
        <f>Table1[[#This Row],[pledged]]/Table1[[#This Row],[goal]]</f>
        <v>2.4340000000000001E-2</v>
      </c>
      <c r="T2589" s="8">
        <f>IF(Table1[[#This Row],[pledged]]=0,"no backers",Table1[[#This Row],[pledged]]/Table1[[#This Row],[backers_count]])</f>
        <v>202.83333333333334</v>
      </c>
      <c r="U2589" t="str">
        <f>LEFT(Table1[[#This Row],[Category and Sub-Category]],FIND("/",Table1[[#This Row],[Category and Sub-Category]])-1)</f>
        <v>food</v>
      </c>
      <c r="V2589" t="str">
        <f>RIGHT(Table1[[#This Row],[Category and Sub-Category]],LEN(Table1[[#This Row],[Category and Sub-Category]])-FIND("/",Table1[[#This Row],[Category and Sub-Category]]))</f>
        <v>food trucks</v>
      </c>
    </row>
    <row r="2590" spans="1:22" ht="57.6" x14ac:dyDescent="0.3">
      <c r="A2590">
        <v>2588</v>
      </c>
      <c r="B2590" s="3" t="s">
        <v>2588</v>
      </c>
      <c r="C2590" s="3" t="s">
        <v>6698</v>
      </c>
      <c r="D2590" s="12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>((Table1[[#This Row],[deadline]]/60)/60/24)+DATE(1970,1,1)</f>
        <v>42094.551388888889</v>
      </c>
      <c r="K2590">
        <v>1423325626</v>
      </c>
      <c r="L2590" s="11">
        <f>((Table1[[#This Row],[launched_at]]/60)/60/24)+DATE(1970,1,1)</f>
        <v>42042.676226851851</v>
      </c>
      <c r="M2590">
        <f>MONTH(Table1[[#This Row],[Date Created Conversion]])</f>
        <v>2</v>
      </c>
      <c r="N2590">
        <f>YEAR(Table1[[#This Row],[Date Created Conversion]])</f>
        <v>2015</v>
      </c>
      <c r="O2590" t="b">
        <v>0</v>
      </c>
      <c r="P2590">
        <v>8</v>
      </c>
      <c r="Q2590" t="b">
        <v>0</v>
      </c>
      <c r="R2590" t="s">
        <v>8284</v>
      </c>
      <c r="S2590" s="6">
        <f>Table1[[#This Row],[pledged]]/Table1[[#This Row],[goal]]</f>
        <v>3.8833333333333331E-2</v>
      </c>
      <c r="T2590" s="8">
        <f>IF(Table1[[#This Row],[pledged]]=0,"no backers",Table1[[#This Row],[pledged]]/Table1[[#This Row],[backers_count]])</f>
        <v>29.125</v>
      </c>
      <c r="U2590" t="str">
        <f>LEFT(Table1[[#This Row],[Category and Sub-Category]],FIND("/",Table1[[#This Row],[Category and Sub-Category]])-1)</f>
        <v>food</v>
      </c>
      <c r="V2590" t="str">
        <f>RIGHT(Table1[[#This Row],[Category and Sub-Category]],LEN(Table1[[#This Row],[Category and Sub-Category]])-FIND("/",Table1[[#This Row],[Category and Sub-Category]]))</f>
        <v>food trucks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 s="12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>((Table1[[#This Row],[deadline]]/60)/60/24)+DATE(1970,1,1)</f>
        <v>42452.494525462964</v>
      </c>
      <c r="K2591">
        <v>1456145527</v>
      </c>
      <c r="L2591" s="11">
        <f>((Table1[[#This Row],[launched_at]]/60)/60/24)+DATE(1970,1,1)</f>
        <v>42422.536192129628</v>
      </c>
      <c r="M2591">
        <f>MONTH(Table1[[#This Row],[Date Created Conversion]])</f>
        <v>2</v>
      </c>
      <c r="N2591">
        <f>YEAR(Table1[[#This Row],[Date Created Conversion]])</f>
        <v>2016</v>
      </c>
      <c r="O2591" t="b">
        <v>0</v>
      </c>
      <c r="P2591">
        <v>1</v>
      </c>
      <c r="Q2591" t="b">
        <v>0</v>
      </c>
      <c r="R2591" t="s">
        <v>8284</v>
      </c>
      <c r="S2591" s="6">
        <f>Table1[[#This Row],[pledged]]/Table1[[#This Row],[goal]]</f>
        <v>1E-4</v>
      </c>
      <c r="T2591" s="8">
        <f>IF(Table1[[#This Row],[pledged]]=0,"no backers",Table1[[#This Row],[pledged]]/Table1[[#This Row],[backers_count]])</f>
        <v>5</v>
      </c>
      <c r="U2591" t="str">
        <f>LEFT(Table1[[#This Row],[Category and Sub-Category]],FIND("/",Table1[[#This Row],[Category and Sub-Category]])-1)</f>
        <v>food</v>
      </c>
      <c r="V2591" t="str">
        <f>RIGHT(Table1[[#This Row],[Category and Sub-Category]],LEN(Table1[[#This Row],[Category and Sub-Category]])-FIND("/",Table1[[#This Row],[Category and Sub-Category]]))</f>
        <v>food trucks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 s="1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>((Table1[[#This Row],[deadline]]/60)/60/24)+DATE(1970,1,1)</f>
        <v>42395.589085648149</v>
      </c>
      <c r="K2592">
        <v>1453212497</v>
      </c>
      <c r="L2592" s="11">
        <f>((Table1[[#This Row],[launched_at]]/60)/60/24)+DATE(1970,1,1)</f>
        <v>42388.589085648149</v>
      </c>
      <c r="M2592">
        <f>MONTH(Table1[[#This Row],[Date Created Conversion]])</f>
        <v>1</v>
      </c>
      <c r="N2592">
        <f>YEAR(Table1[[#This Row],[Date Created Conversion]])</f>
        <v>2016</v>
      </c>
      <c r="O2592" t="b">
        <v>0</v>
      </c>
      <c r="P2592">
        <v>0</v>
      </c>
      <c r="Q2592" t="b">
        <v>0</v>
      </c>
      <c r="R2592" t="s">
        <v>8284</v>
      </c>
      <c r="S2592" s="6">
        <f>Table1[[#This Row],[pledged]]/Table1[[#This Row],[goal]]</f>
        <v>0</v>
      </c>
      <c r="T2592" s="8" t="str">
        <f>IF(Table1[[#This Row],[pledged]]=0,"no backers",Table1[[#This Row],[pledged]]/Table1[[#This Row],[backers_count]])</f>
        <v>no backers</v>
      </c>
      <c r="U2592" t="str">
        <f>LEFT(Table1[[#This Row],[Category and Sub-Category]],FIND("/",Table1[[#This Row],[Category and Sub-Category]])-1)</f>
        <v>food</v>
      </c>
      <c r="V2592" t="str">
        <f>RIGHT(Table1[[#This Row],[Category and Sub-Category]],LEN(Table1[[#This Row],[Category and Sub-Category]])-FIND("/",Table1[[#This Row],[Category and Sub-Category]]))</f>
        <v>food trucks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 s="12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>((Table1[[#This Row],[deadline]]/60)/60/24)+DATE(1970,1,1)</f>
        <v>42442.864861111113</v>
      </c>
      <c r="K2593">
        <v>1452721524</v>
      </c>
      <c r="L2593" s="11">
        <f>((Table1[[#This Row],[launched_at]]/60)/60/24)+DATE(1970,1,1)</f>
        <v>42382.906527777777</v>
      </c>
      <c r="M2593">
        <f>MONTH(Table1[[#This Row],[Date Created Conversion]])</f>
        <v>1</v>
      </c>
      <c r="N2593">
        <f>YEAR(Table1[[#This Row],[Date Created Conversion]])</f>
        <v>2016</v>
      </c>
      <c r="O2593" t="b">
        <v>0</v>
      </c>
      <c r="P2593">
        <v>2</v>
      </c>
      <c r="Q2593" t="b">
        <v>0</v>
      </c>
      <c r="R2593" t="s">
        <v>8284</v>
      </c>
      <c r="S2593" s="6">
        <f>Table1[[#This Row],[pledged]]/Table1[[#This Row],[goal]]</f>
        <v>1.7333333333333333E-2</v>
      </c>
      <c r="T2593" s="8">
        <f>IF(Table1[[#This Row],[pledged]]=0,"no backers",Table1[[#This Row],[pledged]]/Table1[[#This Row],[backers_count]])</f>
        <v>13</v>
      </c>
      <c r="U2593" t="str">
        <f>LEFT(Table1[[#This Row],[Category and Sub-Category]],FIND("/",Table1[[#This Row],[Category and Sub-Category]])-1)</f>
        <v>food</v>
      </c>
      <c r="V2593" t="str">
        <f>RIGHT(Table1[[#This Row],[Category and Sub-Category]],LEN(Table1[[#This Row],[Category and Sub-Category]])-FIND("/",Table1[[#This Row],[Category and Sub-Category]]))</f>
        <v>food trucks</v>
      </c>
    </row>
    <row r="2594" spans="1:22" ht="57.6" x14ac:dyDescent="0.3">
      <c r="A2594">
        <v>2592</v>
      </c>
      <c r="B2594" s="3" t="s">
        <v>2592</v>
      </c>
      <c r="C2594" s="3" t="s">
        <v>6702</v>
      </c>
      <c r="D2594" s="12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>((Table1[[#This Row],[deadline]]/60)/60/24)+DATE(1970,1,1)</f>
        <v>41917.801168981481</v>
      </c>
      <c r="K2594">
        <v>1409944421</v>
      </c>
      <c r="L2594" s="11">
        <f>((Table1[[#This Row],[launched_at]]/60)/60/24)+DATE(1970,1,1)</f>
        <v>41887.801168981481</v>
      </c>
      <c r="M2594">
        <f>MONTH(Table1[[#This Row],[Date Created Conversion]])</f>
        <v>9</v>
      </c>
      <c r="N2594">
        <f>YEAR(Table1[[#This Row],[Date Created Conversion]])</f>
        <v>2014</v>
      </c>
      <c r="O2594" t="b">
        <v>0</v>
      </c>
      <c r="P2594">
        <v>1</v>
      </c>
      <c r="Q2594" t="b">
        <v>0</v>
      </c>
      <c r="R2594" t="s">
        <v>8284</v>
      </c>
      <c r="S2594" s="6">
        <f>Table1[[#This Row],[pledged]]/Table1[[#This Row],[goal]]</f>
        <v>1.6666666666666668E-3</v>
      </c>
      <c r="T2594" s="8">
        <f>IF(Table1[[#This Row],[pledged]]=0,"no backers",Table1[[#This Row],[pledged]]/Table1[[#This Row],[backers_count]])</f>
        <v>50</v>
      </c>
      <c r="U2594" t="str">
        <f>LEFT(Table1[[#This Row],[Category and Sub-Category]],FIND("/",Table1[[#This Row],[Category and Sub-Category]])-1)</f>
        <v>food</v>
      </c>
      <c r="V2594" t="str">
        <f>RIGHT(Table1[[#This Row],[Category and Sub-Category]],LEN(Table1[[#This Row],[Category and Sub-Category]])-FIND("/",Table1[[#This Row],[Category and Sub-Category]]))</f>
        <v>food trucks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 s="12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>((Table1[[#This Row],[deadline]]/60)/60/24)+DATE(1970,1,1)</f>
        <v>42119.84520833334</v>
      </c>
      <c r="K2595">
        <v>1427401026</v>
      </c>
      <c r="L2595" s="11">
        <f>((Table1[[#This Row],[launched_at]]/60)/60/24)+DATE(1970,1,1)</f>
        <v>42089.84520833334</v>
      </c>
      <c r="M2595">
        <f>MONTH(Table1[[#This Row],[Date Created Conversion]])</f>
        <v>3</v>
      </c>
      <c r="N2595">
        <f>YEAR(Table1[[#This Row],[Date Created Conversion]])</f>
        <v>2015</v>
      </c>
      <c r="O2595" t="b">
        <v>0</v>
      </c>
      <c r="P2595">
        <v>0</v>
      </c>
      <c r="Q2595" t="b">
        <v>0</v>
      </c>
      <c r="R2595" t="s">
        <v>8284</v>
      </c>
      <c r="S2595" s="6">
        <f>Table1[[#This Row],[pledged]]/Table1[[#This Row],[goal]]</f>
        <v>0</v>
      </c>
      <c r="T2595" s="8" t="str">
        <f>IF(Table1[[#This Row],[pledged]]=0,"no backers",Table1[[#This Row],[pledged]]/Table1[[#This Row],[backers_count]])</f>
        <v>no backers</v>
      </c>
      <c r="U2595" t="str">
        <f>LEFT(Table1[[#This Row],[Category and Sub-Category]],FIND("/",Table1[[#This Row],[Category and Sub-Category]])-1)</f>
        <v>food</v>
      </c>
      <c r="V2595" t="str">
        <f>RIGHT(Table1[[#This Row],[Category and Sub-Category]],LEN(Table1[[#This Row],[Category and Sub-Category]])-FIND("/",Table1[[#This Row],[Category and Sub-Category]]))</f>
        <v>food trucks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 s="12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>((Table1[[#This Row],[deadline]]/60)/60/24)+DATE(1970,1,1)</f>
        <v>41858.967916666668</v>
      </c>
      <c r="K2596">
        <v>1404861228</v>
      </c>
      <c r="L2596" s="11">
        <f>((Table1[[#This Row],[launched_at]]/60)/60/24)+DATE(1970,1,1)</f>
        <v>41828.967916666668</v>
      </c>
      <c r="M2596">
        <f>MONTH(Table1[[#This Row],[Date Created Conversion]])</f>
        <v>7</v>
      </c>
      <c r="N2596">
        <f>YEAR(Table1[[#This Row],[Date Created Conversion]])</f>
        <v>2014</v>
      </c>
      <c r="O2596" t="b">
        <v>0</v>
      </c>
      <c r="P2596">
        <v>1</v>
      </c>
      <c r="Q2596" t="b">
        <v>0</v>
      </c>
      <c r="R2596" t="s">
        <v>8284</v>
      </c>
      <c r="S2596" s="6">
        <f>Table1[[#This Row],[pledged]]/Table1[[#This Row],[goal]]</f>
        <v>1.2500000000000001E-5</v>
      </c>
      <c r="T2596" s="8">
        <f>IF(Table1[[#This Row],[pledged]]=0,"no backers",Table1[[#This Row],[pledged]]/Table1[[#This Row],[backers_count]])</f>
        <v>1</v>
      </c>
      <c r="U2596" t="str">
        <f>LEFT(Table1[[#This Row],[Category and Sub-Category]],FIND("/",Table1[[#This Row],[Category and Sub-Category]])-1)</f>
        <v>food</v>
      </c>
      <c r="V2596" t="str">
        <f>RIGHT(Table1[[#This Row],[Category and Sub-Category]],LEN(Table1[[#This Row],[Category and Sub-Category]])-FIND("/",Table1[[#This Row],[Category and Sub-Category]]))</f>
        <v>food trucks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 s="12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>((Table1[[#This Row],[deadline]]/60)/60/24)+DATE(1970,1,1)</f>
        <v>42790.244212962964</v>
      </c>
      <c r="K2597">
        <v>1485323500</v>
      </c>
      <c r="L2597" s="11">
        <f>((Table1[[#This Row],[launched_at]]/60)/60/24)+DATE(1970,1,1)</f>
        <v>42760.244212962964</v>
      </c>
      <c r="M2597">
        <f>MONTH(Table1[[#This Row],[Date Created Conversion]])</f>
        <v>1</v>
      </c>
      <c r="N2597">
        <f>YEAR(Table1[[#This Row],[Date Created Conversion]])</f>
        <v>2017</v>
      </c>
      <c r="O2597" t="b">
        <v>0</v>
      </c>
      <c r="P2597">
        <v>19</v>
      </c>
      <c r="Q2597" t="b">
        <v>0</v>
      </c>
      <c r="R2597" t="s">
        <v>8284</v>
      </c>
      <c r="S2597" s="6">
        <f>Table1[[#This Row],[pledged]]/Table1[[#This Row],[goal]]</f>
        <v>0.12166666666666667</v>
      </c>
      <c r="T2597" s="8">
        <f>IF(Table1[[#This Row],[pledged]]=0,"no backers",Table1[[#This Row],[pledged]]/Table1[[#This Row],[backers_count]])</f>
        <v>96.05263157894737</v>
      </c>
      <c r="U2597" t="str">
        <f>LEFT(Table1[[#This Row],[Category and Sub-Category]],FIND("/",Table1[[#This Row],[Category and Sub-Category]])-1)</f>
        <v>food</v>
      </c>
      <c r="V2597" t="str">
        <f>RIGHT(Table1[[#This Row],[Category and Sub-Category]],LEN(Table1[[#This Row],[Category and Sub-Category]])-FIND("/",Table1[[#This Row],[Category and Sub-Category]]))</f>
        <v>food trucks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 s="12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>((Table1[[#This Row],[deadline]]/60)/60/24)+DATE(1970,1,1)</f>
        <v>41858.664456018516</v>
      </c>
      <c r="K2598">
        <v>1404835009</v>
      </c>
      <c r="L2598" s="11">
        <f>((Table1[[#This Row],[launched_at]]/60)/60/24)+DATE(1970,1,1)</f>
        <v>41828.664456018516</v>
      </c>
      <c r="M2598">
        <f>MONTH(Table1[[#This Row],[Date Created Conversion]])</f>
        <v>7</v>
      </c>
      <c r="N2598">
        <f>YEAR(Table1[[#This Row],[Date Created Conversion]])</f>
        <v>2014</v>
      </c>
      <c r="O2598" t="b">
        <v>0</v>
      </c>
      <c r="P2598">
        <v>27</v>
      </c>
      <c r="Q2598" t="b">
        <v>0</v>
      </c>
      <c r="R2598" t="s">
        <v>8284</v>
      </c>
      <c r="S2598" s="6">
        <f>Table1[[#This Row],[pledged]]/Table1[[#This Row],[goal]]</f>
        <v>0.23588571428571428</v>
      </c>
      <c r="T2598" s="8">
        <f>IF(Table1[[#This Row],[pledged]]=0,"no backers",Table1[[#This Row],[pledged]]/Table1[[#This Row],[backers_count]])</f>
        <v>305.77777777777777</v>
      </c>
      <c r="U2598" t="str">
        <f>LEFT(Table1[[#This Row],[Category and Sub-Category]],FIND("/",Table1[[#This Row],[Category and Sub-Category]])-1)</f>
        <v>food</v>
      </c>
      <c r="V2598" t="str">
        <f>RIGHT(Table1[[#This Row],[Category and Sub-Category]],LEN(Table1[[#This Row],[Category and Sub-Category]])-FIND("/",Table1[[#This Row],[Category and Sub-Category]]))</f>
        <v>food trucks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 s="12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>((Table1[[#This Row],[deadline]]/60)/60/24)+DATE(1970,1,1)</f>
        <v>42540.341631944444</v>
      </c>
      <c r="K2599">
        <v>1463731917</v>
      </c>
      <c r="L2599" s="11">
        <f>((Table1[[#This Row],[launched_at]]/60)/60/24)+DATE(1970,1,1)</f>
        <v>42510.341631944444</v>
      </c>
      <c r="M2599">
        <f>MONTH(Table1[[#This Row],[Date Created Conversion]])</f>
        <v>5</v>
      </c>
      <c r="N2599">
        <f>YEAR(Table1[[#This Row],[Date Created Conversion]])</f>
        <v>2016</v>
      </c>
      <c r="O2599" t="b">
        <v>0</v>
      </c>
      <c r="P2599">
        <v>7</v>
      </c>
      <c r="Q2599" t="b">
        <v>0</v>
      </c>
      <c r="R2599" t="s">
        <v>8284</v>
      </c>
      <c r="S2599" s="6">
        <f>Table1[[#This Row],[pledged]]/Table1[[#This Row],[goal]]</f>
        <v>5.6666666666666664E-2</v>
      </c>
      <c r="T2599" s="8">
        <f>IF(Table1[[#This Row],[pledged]]=0,"no backers",Table1[[#This Row],[pledged]]/Table1[[#This Row],[backers_count]])</f>
        <v>12.142857142857142</v>
      </c>
      <c r="U2599" t="str">
        <f>LEFT(Table1[[#This Row],[Category and Sub-Category]],FIND("/",Table1[[#This Row],[Category and Sub-Category]])-1)</f>
        <v>food</v>
      </c>
      <c r="V2599" t="str">
        <f>RIGHT(Table1[[#This Row],[Category and Sub-Category]],LEN(Table1[[#This Row],[Category and Sub-Category]])-FIND("/",Table1[[#This Row],[Category and Sub-Category]]))</f>
        <v>food trucks</v>
      </c>
    </row>
    <row r="2600" spans="1:22" ht="43.2" x14ac:dyDescent="0.3">
      <c r="A2600">
        <v>2598</v>
      </c>
      <c r="B2600" s="3" t="s">
        <v>2598</v>
      </c>
      <c r="C2600" s="3" t="s">
        <v>6708</v>
      </c>
      <c r="D2600" s="12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>((Table1[[#This Row],[deadline]]/60)/60/24)+DATE(1970,1,1)</f>
        <v>42270.840289351851</v>
      </c>
      <c r="K2600">
        <v>1440447001</v>
      </c>
      <c r="L2600" s="11">
        <f>((Table1[[#This Row],[launched_at]]/60)/60/24)+DATE(1970,1,1)</f>
        <v>42240.840289351851</v>
      </c>
      <c r="M2600">
        <f>MONTH(Table1[[#This Row],[Date Created Conversion]])</f>
        <v>8</v>
      </c>
      <c r="N2600">
        <f>YEAR(Table1[[#This Row],[Date Created Conversion]])</f>
        <v>2015</v>
      </c>
      <c r="O2600" t="b">
        <v>0</v>
      </c>
      <c r="P2600">
        <v>14</v>
      </c>
      <c r="Q2600" t="b">
        <v>0</v>
      </c>
      <c r="R2600" t="s">
        <v>8284</v>
      </c>
      <c r="S2600" s="6">
        <f>Table1[[#This Row],[pledged]]/Table1[[#This Row],[goal]]</f>
        <v>0.39</v>
      </c>
      <c r="T2600" s="8">
        <f>IF(Table1[[#This Row],[pledged]]=0,"no backers",Table1[[#This Row],[pledged]]/Table1[[#This Row],[backers_count]])</f>
        <v>83.571428571428569</v>
      </c>
      <c r="U2600" t="str">
        <f>LEFT(Table1[[#This Row],[Category and Sub-Category]],FIND("/",Table1[[#This Row],[Category and Sub-Category]])-1)</f>
        <v>food</v>
      </c>
      <c r="V2600" t="str">
        <f>RIGHT(Table1[[#This Row],[Category and Sub-Category]],LEN(Table1[[#This Row],[Category and Sub-Category]])-FIND("/",Table1[[#This Row],[Category and Sub-Category]]))</f>
        <v>food trucks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 s="12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>((Table1[[#This Row],[deadline]]/60)/60/24)+DATE(1970,1,1)</f>
        <v>41854.754016203704</v>
      </c>
      <c r="K2601">
        <v>1403201147</v>
      </c>
      <c r="L2601" s="11">
        <f>((Table1[[#This Row],[launched_at]]/60)/60/24)+DATE(1970,1,1)</f>
        <v>41809.754016203704</v>
      </c>
      <c r="M2601">
        <f>MONTH(Table1[[#This Row],[Date Created Conversion]])</f>
        <v>6</v>
      </c>
      <c r="N2601">
        <f>YEAR(Table1[[#This Row],[Date Created Conversion]])</f>
        <v>2014</v>
      </c>
      <c r="O2601" t="b">
        <v>0</v>
      </c>
      <c r="P2601">
        <v>5</v>
      </c>
      <c r="Q2601" t="b">
        <v>0</v>
      </c>
      <c r="R2601" t="s">
        <v>8284</v>
      </c>
      <c r="S2601" s="6">
        <f>Table1[[#This Row],[pledged]]/Table1[[#This Row],[goal]]</f>
        <v>9.9546510341776348E-3</v>
      </c>
      <c r="T2601" s="8">
        <f>IF(Table1[[#This Row],[pledged]]=0,"no backers",Table1[[#This Row],[pledged]]/Table1[[#This Row],[backers_count]])</f>
        <v>18</v>
      </c>
      <c r="U2601" t="str">
        <f>LEFT(Table1[[#This Row],[Category and Sub-Category]],FIND("/",Table1[[#This Row],[Category and Sub-Category]])-1)</f>
        <v>food</v>
      </c>
      <c r="V2601" t="str">
        <f>RIGHT(Table1[[#This Row],[Category and Sub-Category]],LEN(Table1[[#This Row],[Category and Sub-Category]])-FIND("/",Table1[[#This Row],[Category and Sub-Category]]))</f>
        <v>food trucks</v>
      </c>
    </row>
    <row r="2602" spans="1:22" ht="43.2" x14ac:dyDescent="0.3">
      <c r="A2602">
        <v>2600</v>
      </c>
      <c r="B2602" s="3" t="s">
        <v>2600</v>
      </c>
      <c r="C2602" s="3" t="s">
        <v>6710</v>
      </c>
      <c r="D2602" s="1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>((Table1[[#This Row],[deadline]]/60)/60/24)+DATE(1970,1,1)</f>
        <v>42454.858796296292</v>
      </c>
      <c r="K2602">
        <v>1453757800</v>
      </c>
      <c r="L2602" s="11">
        <f>((Table1[[#This Row],[launched_at]]/60)/60/24)+DATE(1970,1,1)</f>
        <v>42394.900462962964</v>
      </c>
      <c r="M2602">
        <f>MONTH(Table1[[#This Row],[Date Created Conversion]])</f>
        <v>1</v>
      </c>
      <c r="N2602">
        <f>YEAR(Table1[[#This Row],[Date Created Conversion]])</f>
        <v>2016</v>
      </c>
      <c r="O2602" t="b">
        <v>0</v>
      </c>
      <c r="P2602">
        <v>30</v>
      </c>
      <c r="Q2602" t="b">
        <v>0</v>
      </c>
      <c r="R2602" t="s">
        <v>8284</v>
      </c>
      <c r="S2602" s="6">
        <f>Table1[[#This Row],[pledged]]/Table1[[#This Row],[goal]]</f>
        <v>6.9320000000000007E-2</v>
      </c>
      <c r="T2602" s="8">
        <f>IF(Table1[[#This Row],[pledged]]=0,"no backers",Table1[[#This Row],[pledged]]/Table1[[#This Row],[backers_count]])</f>
        <v>115.53333333333333</v>
      </c>
      <c r="U2602" t="str">
        <f>LEFT(Table1[[#This Row],[Category and Sub-Category]],FIND("/",Table1[[#This Row],[Category and Sub-Category]])-1)</f>
        <v>food</v>
      </c>
      <c r="V2602" t="str">
        <f>RIGHT(Table1[[#This Row],[Category and Sub-Category]],LEN(Table1[[#This Row],[Category and Sub-Category]])-FIND("/",Table1[[#This Row],[Category and Sub-Category]]))</f>
        <v>food trucks</v>
      </c>
    </row>
    <row r="2603" spans="1:22" ht="57.6" x14ac:dyDescent="0.3">
      <c r="A2603">
        <v>2601</v>
      </c>
      <c r="B2603" s="3" t="s">
        <v>2601</v>
      </c>
      <c r="C2603" s="3" t="s">
        <v>6711</v>
      </c>
      <c r="D2603" s="12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>((Table1[[#This Row],[deadline]]/60)/60/24)+DATE(1970,1,1)</f>
        <v>41165.165972222225</v>
      </c>
      <c r="K2603">
        <v>1346276349</v>
      </c>
      <c r="L2603" s="11">
        <f>((Table1[[#This Row],[launched_at]]/60)/60/24)+DATE(1970,1,1)</f>
        <v>41150.902187499996</v>
      </c>
      <c r="M2603">
        <f>MONTH(Table1[[#This Row],[Date Created Conversion]])</f>
        <v>8</v>
      </c>
      <c r="N2603">
        <f>YEAR(Table1[[#This Row],[Date Created Conversion]])</f>
        <v>2012</v>
      </c>
      <c r="O2603" t="b">
        <v>1</v>
      </c>
      <c r="P2603">
        <v>151</v>
      </c>
      <c r="Q2603" t="b">
        <v>1</v>
      </c>
      <c r="R2603" t="s">
        <v>8301</v>
      </c>
      <c r="S2603" s="6">
        <f>Table1[[#This Row],[pledged]]/Table1[[#This Row],[goal]]</f>
        <v>6.6139999999999999</v>
      </c>
      <c r="T2603" s="8">
        <f>IF(Table1[[#This Row],[pledged]]=0,"no backers",Table1[[#This Row],[pledged]]/Table1[[#This Row],[backers_count]])</f>
        <v>21.900662251655628</v>
      </c>
      <c r="U2603" t="str">
        <f>LEFT(Table1[[#This Row],[Category and Sub-Category]],FIND("/",Table1[[#This Row],[Category and Sub-Category]])-1)</f>
        <v>technology</v>
      </c>
      <c r="V2603" t="str">
        <f>RIGHT(Table1[[#This Row],[Category and Sub-Category]],LEN(Table1[[#This Row],[Category and Sub-Category]])-FIND("/",Table1[[#This Row],[Category and Sub-Category]]))</f>
        <v>space exploration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 s="12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>((Table1[[#This Row],[deadline]]/60)/60/24)+DATE(1970,1,1)</f>
        <v>41955.888888888891</v>
      </c>
      <c r="K2604">
        <v>1412358968</v>
      </c>
      <c r="L2604" s="11">
        <f>((Table1[[#This Row],[launched_at]]/60)/60/24)+DATE(1970,1,1)</f>
        <v>41915.747314814813</v>
      </c>
      <c r="M2604">
        <f>MONTH(Table1[[#This Row],[Date Created Conversion]])</f>
        <v>10</v>
      </c>
      <c r="N2604">
        <f>YEAR(Table1[[#This Row],[Date Created Conversion]])</f>
        <v>2014</v>
      </c>
      <c r="O2604" t="b">
        <v>1</v>
      </c>
      <c r="P2604">
        <v>489</v>
      </c>
      <c r="Q2604" t="b">
        <v>1</v>
      </c>
      <c r="R2604" t="s">
        <v>8301</v>
      </c>
      <c r="S2604" s="6">
        <f>Table1[[#This Row],[pledged]]/Table1[[#This Row],[goal]]</f>
        <v>3.2609166666666667</v>
      </c>
      <c r="T2604" s="8">
        <f>IF(Table1[[#This Row],[pledged]]=0,"no backers",Table1[[#This Row],[pledged]]/Table1[[#This Row],[backers_count]])</f>
        <v>80.022494887525568</v>
      </c>
      <c r="U2604" t="str">
        <f>LEFT(Table1[[#This Row],[Category and Sub-Category]],FIND("/",Table1[[#This Row],[Category and Sub-Category]])-1)</f>
        <v>technology</v>
      </c>
      <c r="V2604" t="str">
        <f>RIGHT(Table1[[#This Row],[Category and Sub-Category]],LEN(Table1[[#This Row],[Category and Sub-Category]])-FIND("/",Table1[[#This Row],[Category and Sub-Category]]))</f>
        <v>space exploration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 s="12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>((Table1[[#This Row],[deadline]]/60)/60/24)+DATE(1970,1,1)</f>
        <v>41631.912662037037</v>
      </c>
      <c r="K2605">
        <v>1386626054</v>
      </c>
      <c r="L2605" s="11">
        <f>((Table1[[#This Row],[launched_at]]/60)/60/24)+DATE(1970,1,1)</f>
        <v>41617.912662037037</v>
      </c>
      <c r="M2605">
        <f>MONTH(Table1[[#This Row],[Date Created Conversion]])</f>
        <v>12</v>
      </c>
      <c r="N2605">
        <f>YEAR(Table1[[#This Row],[Date Created Conversion]])</f>
        <v>2013</v>
      </c>
      <c r="O2605" t="b">
        <v>1</v>
      </c>
      <c r="P2605">
        <v>50</v>
      </c>
      <c r="Q2605" t="b">
        <v>1</v>
      </c>
      <c r="R2605" t="s">
        <v>8301</v>
      </c>
      <c r="S2605" s="6">
        <f>Table1[[#This Row],[pledged]]/Table1[[#This Row],[goal]]</f>
        <v>1.0148571428571429</v>
      </c>
      <c r="T2605" s="8">
        <f>IF(Table1[[#This Row],[pledged]]=0,"no backers",Table1[[#This Row],[pledged]]/Table1[[#This Row],[backers_count]])</f>
        <v>35.520000000000003</v>
      </c>
      <c r="U2605" t="str">
        <f>LEFT(Table1[[#This Row],[Category and Sub-Category]],FIND("/",Table1[[#This Row],[Category and Sub-Category]])-1)</f>
        <v>technology</v>
      </c>
      <c r="V2605" t="str">
        <f>RIGHT(Table1[[#This Row],[Category and Sub-Category]],LEN(Table1[[#This Row],[Category and Sub-Category]])-FIND("/",Table1[[#This Row],[Category and Sub-Category]]))</f>
        <v>space exploration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 s="12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>((Table1[[#This Row],[deadline]]/60)/60/24)+DATE(1970,1,1)</f>
        <v>41028.051192129627</v>
      </c>
      <c r="K2606">
        <v>1333070023</v>
      </c>
      <c r="L2606" s="11">
        <f>((Table1[[#This Row],[launched_at]]/60)/60/24)+DATE(1970,1,1)</f>
        <v>40998.051192129627</v>
      </c>
      <c r="M2606">
        <f>MONTH(Table1[[#This Row],[Date Created Conversion]])</f>
        <v>3</v>
      </c>
      <c r="N2606">
        <f>YEAR(Table1[[#This Row],[Date Created Conversion]])</f>
        <v>2012</v>
      </c>
      <c r="O2606" t="b">
        <v>1</v>
      </c>
      <c r="P2606">
        <v>321</v>
      </c>
      <c r="Q2606" t="b">
        <v>1</v>
      </c>
      <c r="R2606" t="s">
        <v>8301</v>
      </c>
      <c r="S2606" s="6">
        <f>Table1[[#This Row],[pledged]]/Table1[[#This Row],[goal]]</f>
        <v>1.0421799999999999</v>
      </c>
      <c r="T2606" s="8">
        <f>IF(Table1[[#This Row],[pledged]]=0,"no backers",Table1[[#This Row],[pledged]]/Table1[[#This Row],[backers_count]])</f>
        <v>64.933333333333323</v>
      </c>
      <c r="U2606" t="str">
        <f>LEFT(Table1[[#This Row],[Category and Sub-Category]],FIND("/",Table1[[#This Row],[Category and Sub-Category]])-1)</f>
        <v>technology</v>
      </c>
      <c r="V2606" t="str">
        <f>RIGHT(Table1[[#This Row],[Category and Sub-Category]],LEN(Table1[[#This Row],[Category and Sub-Category]])-FIND("/",Table1[[#This Row],[Category and Sub-Category]]))</f>
        <v>space exploration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 s="12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>((Table1[[#This Row],[deadline]]/60)/60/24)+DATE(1970,1,1)</f>
        <v>42538.541550925926</v>
      </c>
      <c r="K2607">
        <v>1463576390</v>
      </c>
      <c r="L2607" s="11">
        <f>((Table1[[#This Row],[launched_at]]/60)/60/24)+DATE(1970,1,1)</f>
        <v>42508.541550925926</v>
      </c>
      <c r="M2607">
        <f>MONTH(Table1[[#This Row],[Date Created Conversion]])</f>
        <v>5</v>
      </c>
      <c r="N2607">
        <f>YEAR(Table1[[#This Row],[Date Created Conversion]])</f>
        <v>2016</v>
      </c>
      <c r="O2607" t="b">
        <v>1</v>
      </c>
      <c r="P2607">
        <v>1762</v>
      </c>
      <c r="Q2607" t="b">
        <v>1</v>
      </c>
      <c r="R2607" t="s">
        <v>8301</v>
      </c>
      <c r="S2607" s="6">
        <f>Table1[[#This Row],[pledged]]/Table1[[#This Row],[goal]]</f>
        <v>1.0742157000000001</v>
      </c>
      <c r="T2607" s="8">
        <f>IF(Table1[[#This Row],[pledged]]=0,"no backers",Table1[[#This Row],[pledged]]/Table1[[#This Row],[backers_count]])</f>
        <v>60.965703745743475</v>
      </c>
      <c r="U2607" t="str">
        <f>LEFT(Table1[[#This Row],[Category and Sub-Category]],FIND("/",Table1[[#This Row],[Category and Sub-Category]])-1)</f>
        <v>technology</v>
      </c>
      <c r="V2607" t="str">
        <f>RIGHT(Table1[[#This Row],[Category and Sub-Category]],LEN(Table1[[#This Row],[Category and Sub-Category]])-FIND("/",Table1[[#This Row],[Category and Sub-Category]]))</f>
        <v>space exploration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 s="12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>((Table1[[#This Row],[deadline]]/60)/60/24)+DATE(1970,1,1)</f>
        <v>41758.712754629632</v>
      </c>
      <c r="K2608">
        <v>1396026382</v>
      </c>
      <c r="L2608" s="11">
        <f>((Table1[[#This Row],[launched_at]]/60)/60/24)+DATE(1970,1,1)</f>
        <v>41726.712754629632</v>
      </c>
      <c r="M2608">
        <f>MONTH(Table1[[#This Row],[Date Created Conversion]])</f>
        <v>3</v>
      </c>
      <c r="N2608">
        <f>YEAR(Table1[[#This Row],[Date Created Conversion]])</f>
        <v>2014</v>
      </c>
      <c r="O2608" t="b">
        <v>1</v>
      </c>
      <c r="P2608">
        <v>385</v>
      </c>
      <c r="Q2608" t="b">
        <v>1</v>
      </c>
      <c r="R2608" t="s">
        <v>8301</v>
      </c>
      <c r="S2608" s="6">
        <f>Table1[[#This Row],[pledged]]/Table1[[#This Row],[goal]]</f>
        <v>1.1005454545454545</v>
      </c>
      <c r="T2608" s="8">
        <f>IF(Table1[[#This Row],[pledged]]=0,"no backers",Table1[[#This Row],[pledged]]/Table1[[#This Row],[backers_count]])</f>
        <v>31.444155844155844</v>
      </c>
      <c r="U2608" t="str">
        <f>LEFT(Table1[[#This Row],[Category and Sub-Category]],FIND("/",Table1[[#This Row],[Category and Sub-Category]])-1)</f>
        <v>technology</v>
      </c>
      <c r="V2608" t="str">
        <f>RIGHT(Table1[[#This Row],[Category and Sub-Category]],LEN(Table1[[#This Row],[Category and Sub-Category]])-FIND("/",Table1[[#This Row],[Category and Sub-Category]]))</f>
        <v>space exploration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 s="12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>((Table1[[#This Row],[deadline]]/60)/60/24)+DATE(1970,1,1)</f>
        <v>42228.083333333328</v>
      </c>
      <c r="K2609">
        <v>1435611572</v>
      </c>
      <c r="L2609" s="11">
        <f>((Table1[[#This Row],[launched_at]]/60)/60/24)+DATE(1970,1,1)</f>
        <v>42184.874675925923</v>
      </c>
      <c r="M2609">
        <f>MONTH(Table1[[#This Row],[Date Created Conversion]])</f>
        <v>6</v>
      </c>
      <c r="N2609">
        <f>YEAR(Table1[[#This Row],[Date Created Conversion]])</f>
        <v>2015</v>
      </c>
      <c r="O2609" t="b">
        <v>1</v>
      </c>
      <c r="P2609">
        <v>398</v>
      </c>
      <c r="Q2609" t="b">
        <v>1</v>
      </c>
      <c r="R2609" t="s">
        <v>8301</v>
      </c>
      <c r="S2609" s="6">
        <f>Table1[[#This Row],[pledged]]/Table1[[#This Row],[goal]]</f>
        <v>4.077</v>
      </c>
      <c r="T2609" s="8">
        <f>IF(Table1[[#This Row],[pledged]]=0,"no backers",Table1[[#This Row],[pledged]]/Table1[[#This Row],[backers_count]])</f>
        <v>81.949748743718587</v>
      </c>
      <c r="U2609" t="str">
        <f>LEFT(Table1[[#This Row],[Category and Sub-Category]],FIND("/",Table1[[#This Row],[Category and Sub-Category]])-1)</f>
        <v>technology</v>
      </c>
      <c r="V2609" t="str">
        <f>RIGHT(Table1[[#This Row],[Category and Sub-Category]],LEN(Table1[[#This Row],[Category and Sub-Category]])-FIND("/",Table1[[#This Row],[Category and Sub-Category]]))</f>
        <v>space exploration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 s="12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>((Table1[[#This Row],[deadline]]/60)/60/24)+DATE(1970,1,1)</f>
        <v>42809</v>
      </c>
      <c r="K2610">
        <v>1485976468</v>
      </c>
      <c r="L2610" s="11">
        <f>((Table1[[#This Row],[launched_at]]/60)/60/24)+DATE(1970,1,1)</f>
        <v>42767.801712962959</v>
      </c>
      <c r="M2610">
        <f>MONTH(Table1[[#This Row],[Date Created Conversion]])</f>
        <v>2</v>
      </c>
      <c r="N2610">
        <f>YEAR(Table1[[#This Row],[Date Created Conversion]])</f>
        <v>2017</v>
      </c>
      <c r="O2610" t="b">
        <v>1</v>
      </c>
      <c r="P2610">
        <v>304</v>
      </c>
      <c r="Q2610" t="b">
        <v>1</v>
      </c>
      <c r="R2610" t="s">
        <v>8301</v>
      </c>
      <c r="S2610" s="6">
        <f>Table1[[#This Row],[pledged]]/Table1[[#This Row],[goal]]</f>
        <v>2.2392500000000002</v>
      </c>
      <c r="T2610" s="8">
        <f>IF(Table1[[#This Row],[pledged]]=0,"no backers",Table1[[#This Row],[pledged]]/Table1[[#This Row],[backers_count]])</f>
        <v>58.92763157894737</v>
      </c>
      <c r="U2610" t="str">
        <f>LEFT(Table1[[#This Row],[Category and Sub-Category]],FIND("/",Table1[[#This Row],[Category and Sub-Category]])-1)</f>
        <v>technology</v>
      </c>
      <c r="V2610" t="str">
        <f>RIGHT(Table1[[#This Row],[Category and Sub-Category]],LEN(Table1[[#This Row],[Category and Sub-Category]])-FIND("/",Table1[[#This Row],[Category and Sub-Category]]))</f>
        <v>space exploration</v>
      </c>
    </row>
    <row r="2611" spans="1:22" ht="57.6" x14ac:dyDescent="0.3">
      <c r="A2611">
        <v>2609</v>
      </c>
      <c r="B2611" s="3" t="s">
        <v>2609</v>
      </c>
      <c r="C2611" s="3" t="s">
        <v>6719</v>
      </c>
      <c r="D2611" s="12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>((Table1[[#This Row],[deadline]]/60)/60/24)+DATE(1970,1,1)</f>
        <v>41105.237858796296</v>
      </c>
      <c r="K2611">
        <v>1339738951</v>
      </c>
      <c r="L2611" s="11">
        <f>((Table1[[#This Row],[launched_at]]/60)/60/24)+DATE(1970,1,1)</f>
        <v>41075.237858796296</v>
      </c>
      <c r="M2611">
        <f>MONTH(Table1[[#This Row],[Date Created Conversion]])</f>
        <v>6</v>
      </c>
      <c r="N2611">
        <f>YEAR(Table1[[#This Row],[Date Created Conversion]])</f>
        <v>2012</v>
      </c>
      <c r="O2611" t="b">
        <v>1</v>
      </c>
      <c r="P2611">
        <v>676</v>
      </c>
      <c r="Q2611" t="b">
        <v>1</v>
      </c>
      <c r="R2611" t="s">
        <v>8301</v>
      </c>
      <c r="S2611" s="6">
        <f>Table1[[#This Row],[pledged]]/Table1[[#This Row],[goal]]</f>
        <v>3.038011142857143</v>
      </c>
      <c r="T2611" s="8">
        <f>IF(Table1[[#This Row],[pledged]]=0,"no backers",Table1[[#This Row],[pledged]]/Table1[[#This Row],[backers_count]])</f>
        <v>157.29347633136095</v>
      </c>
      <c r="U2611" t="str">
        <f>LEFT(Table1[[#This Row],[Category and Sub-Category]],FIND("/",Table1[[#This Row],[Category and Sub-Category]])-1)</f>
        <v>technology</v>
      </c>
      <c r="V2611" t="str">
        <f>RIGHT(Table1[[#This Row],[Category and Sub-Category]],LEN(Table1[[#This Row],[Category and Sub-Category]])-FIND("/",Table1[[#This Row],[Category and Sub-Category]]))</f>
        <v>space exploration</v>
      </c>
    </row>
    <row r="2612" spans="1:22" ht="43.2" x14ac:dyDescent="0.3">
      <c r="A2612">
        <v>2610</v>
      </c>
      <c r="B2612" s="3" t="s">
        <v>2610</v>
      </c>
      <c r="C2612" s="3" t="s">
        <v>6720</v>
      </c>
      <c r="D2612" s="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>((Table1[[#This Row],[deadline]]/60)/60/24)+DATE(1970,1,1)</f>
        <v>42604.290972222225</v>
      </c>
      <c r="K2612">
        <v>1468444125</v>
      </c>
      <c r="L2612" s="11">
        <f>((Table1[[#This Row],[launched_at]]/60)/60/24)+DATE(1970,1,1)</f>
        <v>42564.881076388891</v>
      </c>
      <c r="M2612">
        <f>MONTH(Table1[[#This Row],[Date Created Conversion]])</f>
        <v>7</v>
      </c>
      <c r="N2612">
        <f>YEAR(Table1[[#This Row],[Date Created Conversion]])</f>
        <v>2016</v>
      </c>
      <c r="O2612" t="b">
        <v>1</v>
      </c>
      <c r="P2612">
        <v>577</v>
      </c>
      <c r="Q2612" t="b">
        <v>1</v>
      </c>
      <c r="R2612" t="s">
        <v>8301</v>
      </c>
      <c r="S2612" s="6">
        <f>Table1[[#This Row],[pledged]]/Table1[[#This Row],[goal]]</f>
        <v>1.4132510432681749</v>
      </c>
      <c r="T2612" s="8">
        <f>IF(Table1[[#This Row],[pledged]]=0,"no backers",Table1[[#This Row],[pledged]]/Table1[[#This Row],[backers_count]])</f>
        <v>55.758509532062391</v>
      </c>
      <c r="U2612" t="str">
        <f>LEFT(Table1[[#This Row],[Category and Sub-Category]],FIND("/",Table1[[#This Row],[Category and Sub-Category]])-1)</f>
        <v>technology</v>
      </c>
      <c r="V2612" t="str">
        <f>RIGHT(Table1[[#This Row],[Category and Sub-Category]],LEN(Table1[[#This Row],[Category and Sub-Category]])-FIND("/",Table1[[#This Row],[Category and Sub-Category]]))</f>
        <v>space exploration</v>
      </c>
    </row>
    <row r="2613" spans="1:22" ht="57.6" x14ac:dyDescent="0.3">
      <c r="A2613">
        <v>2611</v>
      </c>
      <c r="B2613" s="3" t="s">
        <v>2611</v>
      </c>
      <c r="C2613" s="3" t="s">
        <v>6721</v>
      </c>
      <c r="D2613" s="12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>((Table1[[#This Row],[deadline]]/60)/60/24)+DATE(1970,1,1)</f>
        <v>42737.957638888889</v>
      </c>
      <c r="K2613">
        <v>1480493014</v>
      </c>
      <c r="L2613" s="11">
        <f>((Table1[[#This Row],[launched_at]]/60)/60/24)+DATE(1970,1,1)</f>
        <v>42704.335810185185</v>
      </c>
      <c r="M2613">
        <f>MONTH(Table1[[#This Row],[Date Created Conversion]])</f>
        <v>11</v>
      </c>
      <c r="N2613">
        <f>YEAR(Table1[[#This Row],[Date Created Conversion]])</f>
        <v>2016</v>
      </c>
      <c r="O2613" t="b">
        <v>1</v>
      </c>
      <c r="P2613">
        <v>3663</v>
      </c>
      <c r="Q2613" t="b">
        <v>1</v>
      </c>
      <c r="R2613" t="s">
        <v>8301</v>
      </c>
      <c r="S2613" s="6">
        <f>Table1[[#This Row],[pledged]]/Table1[[#This Row],[goal]]</f>
        <v>27.906363636363636</v>
      </c>
      <c r="T2613" s="8">
        <f>IF(Table1[[#This Row],[pledged]]=0,"no backers",Table1[[#This Row],[pledged]]/Table1[[#This Row],[backers_count]])</f>
        <v>83.802893802893806</v>
      </c>
      <c r="U2613" t="str">
        <f>LEFT(Table1[[#This Row],[Category and Sub-Category]],FIND("/",Table1[[#This Row],[Category and Sub-Category]])-1)</f>
        <v>technology</v>
      </c>
      <c r="V2613" t="str">
        <f>RIGHT(Table1[[#This Row],[Category and Sub-Category]],LEN(Table1[[#This Row],[Category and Sub-Category]])-FIND("/",Table1[[#This Row],[Category and Sub-Category]]))</f>
        <v>space exploration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 s="12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>((Table1[[#This Row],[deadline]]/60)/60/24)+DATE(1970,1,1)</f>
        <v>42013.143171296295</v>
      </c>
      <c r="K2614">
        <v>1418095570</v>
      </c>
      <c r="L2614" s="11">
        <f>((Table1[[#This Row],[launched_at]]/60)/60/24)+DATE(1970,1,1)</f>
        <v>41982.143171296295</v>
      </c>
      <c r="M2614">
        <f>MONTH(Table1[[#This Row],[Date Created Conversion]])</f>
        <v>12</v>
      </c>
      <c r="N2614">
        <f>YEAR(Table1[[#This Row],[Date Created Conversion]])</f>
        <v>2014</v>
      </c>
      <c r="O2614" t="b">
        <v>1</v>
      </c>
      <c r="P2614">
        <v>294</v>
      </c>
      <c r="Q2614" t="b">
        <v>1</v>
      </c>
      <c r="R2614" t="s">
        <v>8301</v>
      </c>
      <c r="S2614" s="6">
        <f>Table1[[#This Row],[pledged]]/Table1[[#This Row],[goal]]</f>
        <v>1.7176130000000001</v>
      </c>
      <c r="T2614" s="8">
        <f>IF(Table1[[#This Row],[pledged]]=0,"no backers",Table1[[#This Row],[pledged]]/Table1[[#This Row],[backers_count]])</f>
        <v>58.422210884353746</v>
      </c>
      <c r="U2614" t="str">
        <f>LEFT(Table1[[#This Row],[Category and Sub-Category]],FIND("/",Table1[[#This Row],[Category and Sub-Category]])-1)</f>
        <v>technology</v>
      </c>
      <c r="V2614" t="str">
        <f>RIGHT(Table1[[#This Row],[Category and Sub-Category]],LEN(Table1[[#This Row],[Category and Sub-Category]])-FIND("/",Table1[[#This Row],[Category and Sub-Category]]))</f>
        <v>space exploration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 s="12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>((Table1[[#This Row],[deadline]]/60)/60/24)+DATE(1970,1,1)</f>
        <v>41173.81821759259</v>
      </c>
      <c r="K2615">
        <v>1345664294</v>
      </c>
      <c r="L2615" s="11">
        <f>((Table1[[#This Row],[launched_at]]/60)/60/24)+DATE(1970,1,1)</f>
        <v>41143.81821759259</v>
      </c>
      <c r="M2615">
        <f>MONTH(Table1[[#This Row],[Date Created Conversion]])</f>
        <v>8</v>
      </c>
      <c r="N2615">
        <f>YEAR(Table1[[#This Row],[Date Created Conversion]])</f>
        <v>2012</v>
      </c>
      <c r="O2615" t="b">
        <v>1</v>
      </c>
      <c r="P2615">
        <v>28</v>
      </c>
      <c r="Q2615" t="b">
        <v>1</v>
      </c>
      <c r="R2615" t="s">
        <v>8301</v>
      </c>
      <c r="S2615" s="6">
        <f>Table1[[#This Row],[pledged]]/Table1[[#This Row],[goal]]</f>
        <v>1.0101333333333333</v>
      </c>
      <c r="T2615" s="8">
        <f>IF(Table1[[#This Row],[pledged]]=0,"no backers",Table1[[#This Row],[pledged]]/Table1[[#This Row],[backers_count]])</f>
        <v>270.57142857142856</v>
      </c>
      <c r="U2615" t="str">
        <f>LEFT(Table1[[#This Row],[Category and Sub-Category]],FIND("/",Table1[[#This Row],[Category and Sub-Category]])-1)</f>
        <v>technology</v>
      </c>
      <c r="V2615" t="str">
        <f>RIGHT(Table1[[#This Row],[Category and Sub-Category]],LEN(Table1[[#This Row],[Category and Sub-Category]])-FIND("/",Table1[[#This Row],[Category and Sub-Category]]))</f>
        <v>space exploration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 s="12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>((Table1[[#This Row],[deadline]]/60)/60/24)+DATE(1970,1,1)</f>
        <v>41759.208333333336</v>
      </c>
      <c r="K2616">
        <v>1396371612</v>
      </c>
      <c r="L2616" s="11">
        <f>((Table1[[#This Row],[launched_at]]/60)/60/24)+DATE(1970,1,1)</f>
        <v>41730.708472222221</v>
      </c>
      <c r="M2616">
        <f>MONTH(Table1[[#This Row],[Date Created Conversion]])</f>
        <v>4</v>
      </c>
      <c r="N2616">
        <f>YEAR(Table1[[#This Row],[Date Created Conversion]])</f>
        <v>2014</v>
      </c>
      <c r="O2616" t="b">
        <v>1</v>
      </c>
      <c r="P2616">
        <v>100</v>
      </c>
      <c r="Q2616" t="b">
        <v>1</v>
      </c>
      <c r="R2616" t="s">
        <v>8301</v>
      </c>
      <c r="S2616" s="6">
        <f>Table1[[#This Row],[pledged]]/Table1[[#This Row],[goal]]</f>
        <v>1.02</v>
      </c>
      <c r="T2616" s="8">
        <f>IF(Table1[[#This Row],[pledged]]=0,"no backers",Table1[[#This Row],[pledged]]/Table1[[#This Row],[backers_count]])</f>
        <v>107.1</v>
      </c>
      <c r="U2616" t="str">
        <f>LEFT(Table1[[#This Row],[Category and Sub-Category]],FIND("/",Table1[[#This Row],[Category and Sub-Category]])-1)</f>
        <v>technology</v>
      </c>
      <c r="V2616" t="str">
        <f>RIGHT(Table1[[#This Row],[Category and Sub-Category]],LEN(Table1[[#This Row],[Category and Sub-Category]])-FIND("/",Table1[[#This Row],[Category and Sub-Category]]))</f>
        <v>space exploration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 s="12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>((Table1[[#This Row],[deadline]]/60)/60/24)+DATE(1970,1,1)</f>
        <v>42490.5</v>
      </c>
      <c r="K2617">
        <v>1458820564</v>
      </c>
      <c r="L2617" s="11">
        <f>((Table1[[#This Row],[launched_at]]/60)/60/24)+DATE(1970,1,1)</f>
        <v>42453.49726851852</v>
      </c>
      <c r="M2617">
        <f>MONTH(Table1[[#This Row],[Date Created Conversion]])</f>
        <v>3</v>
      </c>
      <c r="N2617">
        <f>YEAR(Table1[[#This Row],[Date Created Conversion]])</f>
        <v>2016</v>
      </c>
      <c r="O2617" t="b">
        <v>0</v>
      </c>
      <c r="P2617">
        <v>72</v>
      </c>
      <c r="Q2617" t="b">
        <v>1</v>
      </c>
      <c r="R2617" t="s">
        <v>8301</v>
      </c>
      <c r="S2617" s="6">
        <f>Table1[[#This Row],[pledged]]/Table1[[#This Row],[goal]]</f>
        <v>1.6976511744127936</v>
      </c>
      <c r="T2617" s="8">
        <f>IF(Table1[[#This Row],[pledged]]=0,"no backers",Table1[[#This Row],[pledged]]/Table1[[#This Row],[backers_count]])</f>
        <v>47.180555555555557</v>
      </c>
      <c r="U2617" t="str">
        <f>LEFT(Table1[[#This Row],[Category and Sub-Category]],FIND("/",Table1[[#This Row],[Category and Sub-Category]])-1)</f>
        <v>technology</v>
      </c>
      <c r="V2617" t="str">
        <f>RIGHT(Table1[[#This Row],[Category and Sub-Category]],LEN(Table1[[#This Row],[Category and Sub-Category]])-FIND("/",Table1[[#This Row],[Category and Sub-Category]]))</f>
        <v>space exploration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 s="12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>((Table1[[#This Row],[deadline]]/60)/60/24)+DATE(1970,1,1)</f>
        <v>42241.99454861111</v>
      </c>
      <c r="K2618">
        <v>1437954729</v>
      </c>
      <c r="L2618" s="11">
        <f>((Table1[[#This Row],[launched_at]]/60)/60/24)+DATE(1970,1,1)</f>
        <v>42211.99454861111</v>
      </c>
      <c r="M2618">
        <f>MONTH(Table1[[#This Row],[Date Created Conversion]])</f>
        <v>7</v>
      </c>
      <c r="N2618">
        <f>YEAR(Table1[[#This Row],[Date Created Conversion]])</f>
        <v>2015</v>
      </c>
      <c r="O2618" t="b">
        <v>1</v>
      </c>
      <c r="P2618">
        <v>238</v>
      </c>
      <c r="Q2618" t="b">
        <v>1</v>
      </c>
      <c r="R2618" t="s">
        <v>8301</v>
      </c>
      <c r="S2618" s="6">
        <f>Table1[[#This Row],[pledged]]/Table1[[#This Row],[goal]]</f>
        <v>1.14534</v>
      </c>
      <c r="T2618" s="8">
        <f>IF(Table1[[#This Row],[pledged]]=0,"no backers",Table1[[#This Row],[pledged]]/Table1[[#This Row],[backers_count]])</f>
        <v>120.30882352941177</v>
      </c>
      <c r="U2618" t="str">
        <f>LEFT(Table1[[#This Row],[Category and Sub-Category]],FIND("/",Table1[[#This Row],[Category and Sub-Category]])-1)</f>
        <v>technology</v>
      </c>
      <c r="V2618" t="str">
        <f>RIGHT(Table1[[#This Row],[Category and Sub-Category]],LEN(Table1[[#This Row],[Category and Sub-Category]])-FIND("/",Table1[[#This Row],[Category and Sub-Category]]))</f>
        <v>space exploration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 s="12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>((Table1[[#This Row],[deadline]]/60)/60/24)+DATE(1970,1,1)</f>
        <v>41932.874432870369</v>
      </c>
      <c r="K2619">
        <v>1411246751</v>
      </c>
      <c r="L2619" s="11">
        <f>((Table1[[#This Row],[launched_at]]/60)/60/24)+DATE(1970,1,1)</f>
        <v>41902.874432870369</v>
      </c>
      <c r="M2619">
        <f>MONTH(Table1[[#This Row],[Date Created Conversion]])</f>
        <v>9</v>
      </c>
      <c r="N2619">
        <f>YEAR(Table1[[#This Row],[Date Created Conversion]])</f>
        <v>2014</v>
      </c>
      <c r="O2619" t="b">
        <v>1</v>
      </c>
      <c r="P2619">
        <v>159</v>
      </c>
      <c r="Q2619" t="b">
        <v>1</v>
      </c>
      <c r="R2619" t="s">
        <v>8301</v>
      </c>
      <c r="S2619" s="6">
        <f>Table1[[#This Row],[pledged]]/Table1[[#This Row],[goal]]</f>
        <v>8.7759999999999998</v>
      </c>
      <c r="T2619" s="8">
        <f>IF(Table1[[#This Row],[pledged]]=0,"no backers",Table1[[#This Row],[pledged]]/Table1[[#This Row],[backers_count]])</f>
        <v>27.59748427672956</v>
      </c>
      <c r="U2619" t="str">
        <f>LEFT(Table1[[#This Row],[Category and Sub-Category]],FIND("/",Table1[[#This Row],[Category and Sub-Category]])-1)</f>
        <v>technology</v>
      </c>
      <c r="V2619" t="str">
        <f>RIGHT(Table1[[#This Row],[Category and Sub-Category]],LEN(Table1[[#This Row],[Category and Sub-Category]])-FIND("/",Table1[[#This Row],[Category and Sub-Category]]))</f>
        <v>space exploration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 s="12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>((Table1[[#This Row],[deadline]]/60)/60/24)+DATE(1970,1,1)</f>
        <v>42339.834039351852</v>
      </c>
      <c r="K2620">
        <v>1443812461</v>
      </c>
      <c r="L2620" s="11">
        <f>((Table1[[#This Row],[launched_at]]/60)/60/24)+DATE(1970,1,1)</f>
        <v>42279.792372685188</v>
      </c>
      <c r="M2620">
        <f>MONTH(Table1[[#This Row],[Date Created Conversion]])</f>
        <v>10</v>
      </c>
      <c r="N2620">
        <f>YEAR(Table1[[#This Row],[Date Created Conversion]])</f>
        <v>2015</v>
      </c>
      <c r="O2620" t="b">
        <v>1</v>
      </c>
      <c r="P2620">
        <v>77</v>
      </c>
      <c r="Q2620" t="b">
        <v>1</v>
      </c>
      <c r="R2620" t="s">
        <v>8301</v>
      </c>
      <c r="S2620" s="6">
        <f>Table1[[#This Row],[pledged]]/Table1[[#This Row],[goal]]</f>
        <v>1.0538666666666667</v>
      </c>
      <c r="T2620" s="8">
        <f>IF(Table1[[#This Row],[pledged]]=0,"no backers",Table1[[#This Row],[pledged]]/Table1[[#This Row],[backers_count]])</f>
        <v>205.2987012987013</v>
      </c>
      <c r="U2620" t="str">
        <f>LEFT(Table1[[#This Row],[Category and Sub-Category]],FIND("/",Table1[[#This Row],[Category and Sub-Category]])-1)</f>
        <v>technology</v>
      </c>
      <c r="V2620" t="str">
        <f>RIGHT(Table1[[#This Row],[Category and Sub-Category]],LEN(Table1[[#This Row],[Category and Sub-Category]])-FIND("/",Table1[[#This Row],[Category and Sub-Category]]))</f>
        <v>space exploration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 s="12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>((Table1[[#This Row],[deadline]]/60)/60/24)+DATE(1970,1,1)</f>
        <v>42300.458333333328</v>
      </c>
      <c r="K2621">
        <v>1443302004</v>
      </c>
      <c r="L2621" s="11">
        <f>((Table1[[#This Row],[launched_at]]/60)/60/24)+DATE(1970,1,1)</f>
        <v>42273.884305555555</v>
      </c>
      <c r="M2621">
        <f>MONTH(Table1[[#This Row],[Date Created Conversion]])</f>
        <v>9</v>
      </c>
      <c r="N2621">
        <f>YEAR(Table1[[#This Row],[Date Created Conversion]])</f>
        <v>2015</v>
      </c>
      <c r="O2621" t="b">
        <v>1</v>
      </c>
      <c r="P2621">
        <v>53</v>
      </c>
      <c r="Q2621" t="b">
        <v>1</v>
      </c>
      <c r="R2621" t="s">
        <v>8301</v>
      </c>
      <c r="S2621" s="6">
        <f>Table1[[#This Row],[pledged]]/Table1[[#This Row],[goal]]</f>
        <v>1.8839999999999999</v>
      </c>
      <c r="T2621" s="8">
        <f>IF(Table1[[#This Row],[pledged]]=0,"no backers",Table1[[#This Row],[pledged]]/Table1[[#This Row],[backers_count]])</f>
        <v>35.547169811320757</v>
      </c>
      <c r="U2621" t="str">
        <f>LEFT(Table1[[#This Row],[Category and Sub-Category]],FIND("/",Table1[[#This Row],[Category and Sub-Category]])-1)</f>
        <v>technology</v>
      </c>
      <c r="V2621" t="str">
        <f>RIGHT(Table1[[#This Row],[Category and Sub-Category]],LEN(Table1[[#This Row],[Category and Sub-Category]])-FIND("/",Table1[[#This Row],[Category and Sub-Category]]))</f>
        <v>space exploration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 s="1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>((Table1[[#This Row],[deadline]]/60)/60/24)+DATE(1970,1,1)</f>
        <v>42288.041666666672</v>
      </c>
      <c r="K2622">
        <v>1441339242</v>
      </c>
      <c r="L2622" s="11">
        <f>((Table1[[#This Row],[launched_at]]/60)/60/24)+DATE(1970,1,1)</f>
        <v>42251.16715277778</v>
      </c>
      <c r="M2622">
        <f>MONTH(Table1[[#This Row],[Date Created Conversion]])</f>
        <v>9</v>
      </c>
      <c r="N2622">
        <f>YEAR(Table1[[#This Row],[Date Created Conversion]])</f>
        <v>2015</v>
      </c>
      <c r="O2622" t="b">
        <v>1</v>
      </c>
      <c r="P2622">
        <v>1251</v>
      </c>
      <c r="Q2622" t="b">
        <v>1</v>
      </c>
      <c r="R2622" t="s">
        <v>8301</v>
      </c>
      <c r="S2622" s="6">
        <f>Table1[[#This Row],[pledged]]/Table1[[#This Row],[goal]]</f>
        <v>1.436523076923077</v>
      </c>
      <c r="T2622" s="8">
        <f>IF(Table1[[#This Row],[pledged]]=0,"no backers",Table1[[#This Row],[pledged]]/Table1[[#This Row],[backers_count]])</f>
        <v>74.639488409272587</v>
      </c>
      <c r="U2622" t="str">
        <f>LEFT(Table1[[#This Row],[Category and Sub-Category]],FIND("/",Table1[[#This Row],[Category and Sub-Category]])-1)</f>
        <v>technology</v>
      </c>
      <c r="V2622" t="str">
        <f>RIGHT(Table1[[#This Row],[Category and Sub-Category]],LEN(Table1[[#This Row],[Category and Sub-Category]])-FIND("/",Table1[[#This Row],[Category and Sub-Category]]))</f>
        <v>space exploration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 s="12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>((Table1[[#This Row],[deadline]]/60)/60/24)+DATE(1970,1,1)</f>
        <v>42145.74754629629</v>
      </c>
      <c r="K2623">
        <v>1429638988</v>
      </c>
      <c r="L2623" s="11">
        <f>((Table1[[#This Row],[launched_at]]/60)/60/24)+DATE(1970,1,1)</f>
        <v>42115.74754629629</v>
      </c>
      <c r="M2623">
        <f>MONTH(Table1[[#This Row],[Date Created Conversion]])</f>
        <v>4</v>
      </c>
      <c r="N2623">
        <f>YEAR(Table1[[#This Row],[Date Created Conversion]])</f>
        <v>2015</v>
      </c>
      <c r="O2623" t="b">
        <v>1</v>
      </c>
      <c r="P2623">
        <v>465</v>
      </c>
      <c r="Q2623" t="b">
        <v>1</v>
      </c>
      <c r="R2623" t="s">
        <v>8301</v>
      </c>
      <c r="S2623" s="6">
        <f>Table1[[#This Row],[pledged]]/Table1[[#This Row],[goal]]</f>
        <v>1.4588000000000001</v>
      </c>
      <c r="T2623" s="8">
        <f>IF(Table1[[#This Row],[pledged]]=0,"no backers",Table1[[#This Row],[pledged]]/Table1[[#This Row],[backers_count]])</f>
        <v>47.058064516129029</v>
      </c>
      <c r="U2623" t="str">
        <f>LEFT(Table1[[#This Row],[Category and Sub-Category]],FIND("/",Table1[[#This Row],[Category and Sub-Category]])-1)</f>
        <v>technology</v>
      </c>
      <c r="V2623" t="str">
        <f>RIGHT(Table1[[#This Row],[Category and Sub-Category]],LEN(Table1[[#This Row],[Category and Sub-Category]])-FIND("/",Table1[[#This Row],[Category and Sub-Category]]))</f>
        <v>space exploration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 s="12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>((Table1[[#This Row],[deadline]]/60)/60/24)+DATE(1970,1,1)</f>
        <v>42734.74324074074</v>
      </c>
      <c r="K2624">
        <v>1479232216</v>
      </c>
      <c r="L2624" s="11">
        <f>((Table1[[#This Row],[launched_at]]/60)/60/24)+DATE(1970,1,1)</f>
        <v>42689.74324074074</v>
      </c>
      <c r="M2624">
        <f>MONTH(Table1[[#This Row],[Date Created Conversion]])</f>
        <v>11</v>
      </c>
      <c r="N2624">
        <f>YEAR(Table1[[#This Row],[Date Created Conversion]])</f>
        <v>2016</v>
      </c>
      <c r="O2624" t="b">
        <v>0</v>
      </c>
      <c r="P2624">
        <v>74</v>
      </c>
      <c r="Q2624" t="b">
        <v>1</v>
      </c>
      <c r="R2624" t="s">
        <v>8301</v>
      </c>
      <c r="S2624" s="6">
        <f>Table1[[#This Row],[pledged]]/Table1[[#This Row],[goal]]</f>
        <v>1.3118399999999999</v>
      </c>
      <c r="T2624" s="8">
        <f>IF(Table1[[#This Row],[pledged]]=0,"no backers",Table1[[#This Row],[pledged]]/Table1[[#This Row],[backers_count]])</f>
        <v>26.591351351351353</v>
      </c>
      <c r="U2624" t="str">
        <f>LEFT(Table1[[#This Row],[Category and Sub-Category]],FIND("/",Table1[[#This Row],[Category and Sub-Category]])-1)</f>
        <v>technology</v>
      </c>
      <c r="V2624" t="str">
        <f>RIGHT(Table1[[#This Row],[Category and Sub-Category]],LEN(Table1[[#This Row],[Category and Sub-Category]])-FIND("/",Table1[[#This Row],[Category and Sub-Category]]))</f>
        <v>space exploration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 s="12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>((Table1[[#This Row],[deadline]]/60)/60/24)+DATE(1970,1,1)</f>
        <v>42706.256550925929</v>
      </c>
      <c r="K2625">
        <v>1479449366</v>
      </c>
      <c r="L2625" s="11">
        <f>((Table1[[#This Row],[launched_at]]/60)/60/24)+DATE(1970,1,1)</f>
        <v>42692.256550925929</v>
      </c>
      <c r="M2625">
        <f>MONTH(Table1[[#This Row],[Date Created Conversion]])</f>
        <v>11</v>
      </c>
      <c r="N2625">
        <f>YEAR(Table1[[#This Row],[Date Created Conversion]])</f>
        <v>2016</v>
      </c>
      <c r="O2625" t="b">
        <v>0</v>
      </c>
      <c r="P2625">
        <v>62</v>
      </c>
      <c r="Q2625" t="b">
        <v>1</v>
      </c>
      <c r="R2625" t="s">
        <v>8301</v>
      </c>
      <c r="S2625" s="6">
        <f>Table1[[#This Row],[pledged]]/Table1[[#This Row],[goal]]</f>
        <v>1.1399999999999999</v>
      </c>
      <c r="T2625" s="8">
        <f>IF(Table1[[#This Row],[pledged]]=0,"no backers",Table1[[#This Row],[pledged]]/Table1[[#This Row],[backers_count]])</f>
        <v>36.774193548387096</v>
      </c>
      <c r="U2625" t="str">
        <f>LEFT(Table1[[#This Row],[Category and Sub-Category]],FIND("/",Table1[[#This Row],[Category and Sub-Category]])-1)</f>
        <v>technology</v>
      </c>
      <c r="V2625" t="str">
        <f>RIGHT(Table1[[#This Row],[Category and Sub-Category]],LEN(Table1[[#This Row],[Category and Sub-Category]])-FIND("/",Table1[[#This Row],[Category and Sub-Category]]))</f>
        <v>space exploration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 s="12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>((Table1[[#This Row],[deadline]]/60)/60/24)+DATE(1970,1,1)</f>
        <v>41165.42155092593</v>
      </c>
      <c r="K2626">
        <v>1345716422</v>
      </c>
      <c r="L2626" s="11">
        <f>((Table1[[#This Row],[launched_at]]/60)/60/24)+DATE(1970,1,1)</f>
        <v>41144.42155092593</v>
      </c>
      <c r="M2626">
        <f>MONTH(Table1[[#This Row],[Date Created Conversion]])</f>
        <v>8</v>
      </c>
      <c r="N2626">
        <f>YEAR(Table1[[#This Row],[Date Created Conversion]])</f>
        <v>2012</v>
      </c>
      <c r="O2626" t="b">
        <v>0</v>
      </c>
      <c r="P2626">
        <v>3468</v>
      </c>
      <c r="Q2626" t="b">
        <v>1</v>
      </c>
      <c r="R2626" t="s">
        <v>8301</v>
      </c>
      <c r="S2626" s="6">
        <f>Table1[[#This Row],[pledged]]/Table1[[#This Row],[goal]]</f>
        <v>13.794206249999998</v>
      </c>
      <c r="T2626" s="8">
        <f>IF(Table1[[#This Row],[pledged]]=0,"no backers",Table1[[#This Row],[pledged]]/Table1[[#This Row],[backers_count]])</f>
        <v>31.820544982698959</v>
      </c>
      <c r="U2626" t="str">
        <f>LEFT(Table1[[#This Row],[Category and Sub-Category]],FIND("/",Table1[[#This Row],[Category and Sub-Category]])-1)</f>
        <v>technology</v>
      </c>
      <c r="V2626" t="str">
        <f>RIGHT(Table1[[#This Row],[Category and Sub-Category]],LEN(Table1[[#This Row],[Category and Sub-Category]])-FIND("/",Table1[[#This Row],[Category and Sub-Category]]))</f>
        <v>space exploration</v>
      </c>
    </row>
    <row r="2627" spans="1:22" ht="57.6" x14ac:dyDescent="0.3">
      <c r="A2627">
        <v>2625</v>
      </c>
      <c r="B2627" s="3" t="s">
        <v>2625</v>
      </c>
      <c r="C2627" s="3" t="s">
        <v>6735</v>
      </c>
      <c r="D2627" s="12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>((Table1[[#This Row],[deadline]]/60)/60/24)+DATE(1970,1,1)</f>
        <v>42683.851944444439</v>
      </c>
      <c r="K2627">
        <v>1476559608</v>
      </c>
      <c r="L2627" s="11">
        <f>((Table1[[#This Row],[launched_at]]/60)/60/24)+DATE(1970,1,1)</f>
        <v>42658.810277777782</v>
      </c>
      <c r="M2627">
        <f>MONTH(Table1[[#This Row],[Date Created Conversion]])</f>
        <v>10</v>
      </c>
      <c r="N2627">
        <f>YEAR(Table1[[#This Row],[Date Created Conversion]])</f>
        <v>2016</v>
      </c>
      <c r="O2627" t="b">
        <v>0</v>
      </c>
      <c r="P2627">
        <v>52</v>
      </c>
      <c r="Q2627" t="b">
        <v>1</v>
      </c>
      <c r="R2627" t="s">
        <v>8301</v>
      </c>
      <c r="S2627" s="6">
        <f>Table1[[#This Row],[pledged]]/Table1[[#This Row],[goal]]</f>
        <v>9.56</v>
      </c>
      <c r="T2627" s="8">
        <f>IF(Table1[[#This Row],[pledged]]=0,"no backers",Table1[[#This Row],[pledged]]/Table1[[#This Row],[backers_count]])</f>
        <v>27.576923076923077</v>
      </c>
      <c r="U2627" t="str">
        <f>LEFT(Table1[[#This Row],[Category and Sub-Category]],FIND("/",Table1[[#This Row],[Category and Sub-Category]])-1)</f>
        <v>technology</v>
      </c>
      <c r="V2627" t="str">
        <f>RIGHT(Table1[[#This Row],[Category and Sub-Category]],LEN(Table1[[#This Row],[Category and Sub-Category]])-FIND("/",Table1[[#This Row],[Category and Sub-Category]]))</f>
        <v>space exploration</v>
      </c>
    </row>
    <row r="2628" spans="1:22" ht="43.2" x14ac:dyDescent="0.3">
      <c r="A2628">
        <v>2626</v>
      </c>
      <c r="B2628" s="3" t="s">
        <v>2626</v>
      </c>
      <c r="C2628" s="3" t="s">
        <v>6736</v>
      </c>
      <c r="D2628" s="12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>((Table1[[#This Row],[deadline]]/60)/60/24)+DATE(1970,1,1)</f>
        <v>42158.628113425926</v>
      </c>
      <c r="K2628">
        <v>1430751869</v>
      </c>
      <c r="L2628" s="11">
        <f>((Table1[[#This Row],[launched_at]]/60)/60/24)+DATE(1970,1,1)</f>
        <v>42128.628113425926</v>
      </c>
      <c r="M2628">
        <f>MONTH(Table1[[#This Row],[Date Created Conversion]])</f>
        <v>5</v>
      </c>
      <c r="N2628">
        <f>YEAR(Table1[[#This Row],[Date Created Conversion]])</f>
        <v>2015</v>
      </c>
      <c r="O2628" t="b">
        <v>0</v>
      </c>
      <c r="P2628">
        <v>50</v>
      </c>
      <c r="Q2628" t="b">
        <v>1</v>
      </c>
      <c r="R2628" t="s">
        <v>8301</v>
      </c>
      <c r="S2628" s="6">
        <f>Table1[[#This Row],[pledged]]/Table1[[#This Row],[goal]]</f>
        <v>1.1200000000000001</v>
      </c>
      <c r="T2628" s="8">
        <f>IF(Table1[[#This Row],[pledged]]=0,"no backers",Table1[[#This Row],[pledged]]/Table1[[#This Row],[backers_count]])</f>
        <v>56</v>
      </c>
      <c r="U2628" t="str">
        <f>LEFT(Table1[[#This Row],[Category and Sub-Category]],FIND("/",Table1[[#This Row],[Category and Sub-Category]])-1)</f>
        <v>technology</v>
      </c>
      <c r="V2628" t="str">
        <f>RIGHT(Table1[[#This Row],[Category and Sub-Category]],LEN(Table1[[#This Row],[Category and Sub-Category]])-FIND("/",Table1[[#This Row],[Category and Sub-Category]]))</f>
        <v>space exploration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 s="12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>((Table1[[#This Row],[deadline]]/60)/60/24)+DATE(1970,1,1)</f>
        <v>42334.871076388896</v>
      </c>
      <c r="K2629">
        <v>1445975661</v>
      </c>
      <c r="L2629" s="11">
        <f>((Table1[[#This Row],[launched_at]]/60)/60/24)+DATE(1970,1,1)</f>
        <v>42304.829409722224</v>
      </c>
      <c r="M2629">
        <f>MONTH(Table1[[#This Row],[Date Created Conversion]])</f>
        <v>10</v>
      </c>
      <c r="N2629">
        <f>YEAR(Table1[[#This Row],[Date Created Conversion]])</f>
        <v>2015</v>
      </c>
      <c r="O2629" t="b">
        <v>0</v>
      </c>
      <c r="P2629">
        <v>45</v>
      </c>
      <c r="Q2629" t="b">
        <v>1</v>
      </c>
      <c r="R2629" t="s">
        <v>8301</v>
      </c>
      <c r="S2629" s="6">
        <f>Table1[[#This Row],[pledged]]/Table1[[#This Row],[goal]]</f>
        <v>6.4666666666666668</v>
      </c>
      <c r="T2629" s="8">
        <f>IF(Table1[[#This Row],[pledged]]=0,"no backers",Table1[[#This Row],[pledged]]/Table1[[#This Row],[backers_count]])</f>
        <v>21.555555555555557</v>
      </c>
      <c r="U2629" t="str">
        <f>LEFT(Table1[[#This Row],[Category and Sub-Category]],FIND("/",Table1[[#This Row],[Category and Sub-Category]])-1)</f>
        <v>technology</v>
      </c>
      <c r="V2629" t="str">
        <f>RIGHT(Table1[[#This Row],[Category and Sub-Category]],LEN(Table1[[#This Row],[Category and Sub-Category]])-FIND("/",Table1[[#This Row],[Category and Sub-Category]]))</f>
        <v>space exploration</v>
      </c>
    </row>
    <row r="2630" spans="1:22" ht="43.2" x14ac:dyDescent="0.3">
      <c r="A2630">
        <v>2628</v>
      </c>
      <c r="B2630" s="3" t="s">
        <v>2628</v>
      </c>
      <c r="C2630" s="3" t="s">
        <v>6738</v>
      </c>
      <c r="D2630" s="12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>((Table1[[#This Row],[deadline]]/60)/60/24)+DATE(1970,1,1)</f>
        <v>41973.966053240743</v>
      </c>
      <c r="K2630">
        <v>1415661067</v>
      </c>
      <c r="L2630" s="11">
        <f>((Table1[[#This Row],[launched_at]]/60)/60/24)+DATE(1970,1,1)</f>
        <v>41953.966053240743</v>
      </c>
      <c r="M2630">
        <f>MONTH(Table1[[#This Row],[Date Created Conversion]])</f>
        <v>11</v>
      </c>
      <c r="N2630">
        <f>YEAR(Table1[[#This Row],[Date Created Conversion]])</f>
        <v>2014</v>
      </c>
      <c r="O2630" t="b">
        <v>0</v>
      </c>
      <c r="P2630">
        <v>21</v>
      </c>
      <c r="Q2630" t="b">
        <v>1</v>
      </c>
      <c r="R2630" t="s">
        <v>8301</v>
      </c>
      <c r="S2630" s="6">
        <f>Table1[[#This Row],[pledged]]/Table1[[#This Row],[goal]]</f>
        <v>1.1036948748510131</v>
      </c>
      <c r="T2630" s="8">
        <f>IF(Table1[[#This Row],[pledged]]=0,"no backers",Table1[[#This Row],[pledged]]/Table1[[#This Row],[backers_count]])</f>
        <v>44.095238095238095</v>
      </c>
      <c r="U2630" t="str">
        <f>LEFT(Table1[[#This Row],[Category and Sub-Category]],FIND("/",Table1[[#This Row],[Category and Sub-Category]])-1)</f>
        <v>technology</v>
      </c>
      <c r="V2630" t="str">
        <f>RIGHT(Table1[[#This Row],[Category and Sub-Category]],LEN(Table1[[#This Row],[Category and Sub-Category]])-FIND("/",Table1[[#This Row],[Category and Sub-Category]]))</f>
        <v>space exploration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 s="12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>((Table1[[#This Row],[deadline]]/60)/60/24)+DATE(1970,1,1)</f>
        <v>42138.538449074069</v>
      </c>
      <c r="K2631">
        <v>1429016122</v>
      </c>
      <c r="L2631" s="11">
        <f>((Table1[[#This Row],[launched_at]]/60)/60/24)+DATE(1970,1,1)</f>
        <v>42108.538449074069</v>
      </c>
      <c r="M2631">
        <f>MONTH(Table1[[#This Row],[Date Created Conversion]])</f>
        <v>4</v>
      </c>
      <c r="N2631">
        <f>YEAR(Table1[[#This Row],[Date Created Conversion]])</f>
        <v>2015</v>
      </c>
      <c r="O2631" t="b">
        <v>0</v>
      </c>
      <c r="P2631">
        <v>100</v>
      </c>
      <c r="Q2631" t="b">
        <v>1</v>
      </c>
      <c r="R2631" t="s">
        <v>8301</v>
      </c>
      <c r="S2631" s="6">
        <f>Table1[[#This Row],[pledged]]/Table1[[#This Row],[goal]]</f>
        <v>1.2774000000000001</v>
      </c>
      <c r="T2631" s="8">
        <f>IF(Table1[[#This Row],[pledged]]=0,"no backers",Table1[[#This Row],[pledged]]/Table1[[#This Row],[backers_count]])</f>
        <v>63.87</v>
      </c>
      <c r="U2631" t="str">
        <f>LEFT(Table1[[#This Row],[Category and Sub-Category]],FIND("/",Table1[[#This Row],[Category and Sub-Category]])-1)</f>
        <v>technology</v>
      </c>
      <c r="V2631" t="str">
        <f>RIGHT(Table1[[#This Row],[Category and Sub-Category]],LEN(Table1[[#This Row],[Category and Sub-Category]])-FIND("/",Table1[[#This Row],[Category and Sub-Category]]))</f>
        <v>space exploration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 s="1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>((Table1[[#This Row],[deadline]]/60)/60/24)+DATE(1970,1,1)</f>
        <v>42551.416666666672</v>
      </c>
      <c r="K2632">
        <v>1464921112</v>
      </c>
      <c r="L2632" s="11">
        <f>((Table1[[#This Row],[launched_at]]/60)/60/24)+DATE(1970,1,1)</f>
        <v>42524.105462962965</v>
      </c>
      <c r="M2632">
        <f>MONTH(Table1[[#This Row],[Date Created Conversion]])</f>
        <v>6</v>
      </c>
      <c r="N2632">
        <f>YEAR(Table1[[#This Row],[Date Created Conversion]])</f>
        <v>2016</v>
      </c>
      <c r="O2632" t="b">
        <v>0</v>
      </c>
      <c r="P2632">
        <v>81</v>
      </c>
      <c r="Q2632" t="b">
        <v>1</v>
      </c>
      <c r="R2632" t="s">
        <v>8301</v>
      </c>
      <c r="S2632" s="6">
        <f>Table1[[#This Row],[pledged]]/Table1[[#This Row],[goal]]</f>
        <v>1.579</v>
      </c>
      <c r="T2632" s="8">
        <f>IF(Table1[[#This Row],[pledged]]=0,"no backers",Table1[[#This Row],[pledged]]/Table1[[#This Row],[backers_count]])</f>
        <v>38.987654320987652</v>
      </c>
      <c r="U2632" t="str">
        <f>LEFT(Table1[[#This Row],[Category and Sub-Category]],FIND("/",Table1[[#This Row],[Category and Sub-Category]])-1)</f>
        <v>technology</v>
      </c>
      <c r="V2632" t="str">
        <f>RIGHT(Table1[[#This Row],[Category and Sub-Category]],LEN(Table1[[#This Row],[Category and Sub-Category]])-FIND("/",Table1[[#This Row],[Category and Sub-Category]]))</f>
        <v>space exploration</v>
      </c>
    </row>
    <row r="2633" spans="1:22" ht="43.2" x14ac:dyDescent="0.3">
      <c r="A2633">
        <v>2631</v>
      </c>
      <c r="B2633" s="3" t="s">
        <v>2631</v>
      </c>
      <c r="C2633" s="3" t="s">
        <v>6741</v>
      </c>
      <c r="D2633" s="12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>((Table1[[#This Row],[deadline]]/60)/60/24)+DATE(1970,1,1)</f>
        <v>42246.169293981482</v>
      </c>
      <c r="K2633">
        <v>1438488227</v>
      </c>
      <c r="L2633" s="11">
        <f>((Table1[[#This Row],[launched_at]]/60)/60/24)+DATE(1970,1,1)</f>
        <v>42218.169293981482</v>
      </c>
      <c r="M2633">
        <f>MONTH(Table1[[#This Row],[Date Created Conversion]])</f>
        <v>8</v>
      </c>
      <c r="N2633">
        <f>YEAR(Table1[[#This Row],[Date Created Conversion]])</f>
        <v>2015</v>
      </c>
      <c r="O2633" t="b">
        <v>0</v>
      </c>
      <c r="P2633">
        <v>286</v>
      </c>
      <c r="Q2633" t="b">
        <v>1</v>
      </c>
      <c r="R2633" t="s">
        <v>8301</v>
      </c>
      <c r="S2633" s="6">
        <f>Table1[[#This Row],[pledged]]/Table1[[#This Row],[goal]]</f>
        <v>1.1466525000000001</v>
      </c>
      <c r="T2633" s="8">
        <f>IF(Table1[[#This Row],[pledged]]=0,"no backers",Table1[[#This Row],[pledged]]/Table1[[#This Row],[backers_count]])</f>
        <v>80.185489510489504</v>
      </c>
      <c r="U2633" t="str">
        <f>LEFT(Table1[[#This Row],[Category and Sub-Category]],FIND("/",Table1[[#This Row],[Category and Sub-Category]])-1)</f>
        <v>technology</v>
      </c>
      <c r="V2633" t="str">
        <f>RIGHT(Table1[[#This Row],[Category and Sub-Category]],LEN(Table1[[#This Row],[Category and Sub-Category]])-FIND("/",Table1[[#This Row],[Category and Sub-Category]]))</f>
        <v>space exploration</v>
      </c>
    </row>
    <row r="2634" spans="1:22" ht="43.2" x14ac:dyDescent="0.3">
      <c r="A2634">
        <v>2632</v>
      </c>
      <c r="B2634" s="3" t="s">
        <v>2632</v>
      </c>
      <c r="C2634" s="3" t="s">
        <v>6742</v>
      </c>
      <c r="D2634" s="12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>((Table1[[#This Row],[deadline]]/60)/60/24)+DATE(1970,1,1)</f>
        <v>42519.061793981484</v>
      </c>
      <c r="K2634">
        <v>1462325339</v>
      </c>
      <c r="L2634" s="11">
        <f>((Table1[[#This Row],[launched_at]]/60)/60/24)+DATE(1970,1,1)</f>
        <v>42494.061793981484</v>
      </c>
      <c r="M2634">
        <f>MONTH(Table1[[#This Row],[Date Created Conversion]])</f>
        <v>5</v>
      </c>
      <c r="N2634">
        <f>YEAR(Table1[[#This Row],[Date Created Conversion]])</f>
        <v>2016</v>
      </c>
      <c r="O2634" t="b">
        <v>0</v>
      </c>
      <c r="P2634">
        <v>42</v>
      </c>
      <c r="Q2634" t="b">
        <v>1</v>
      </c>
      <c r="R2634" t="s">
        <v>8301</v>
      </c>
      <c r="S2634" s="6">
        <f>Table1[[#This Row],[pledged]]/Table1[[#This Row],[goal]]</f>
        <v>1.3700934579439252</v>
      </c>
      <c r="T2634" s="8">
        <f>IF(Table1[[#This Row],[pledged]]=0,"no backers",Table1[[#This Row],[pledged]]/Table1[[#This Row],[backers_count]])</f>
        <v>34.904761904761905</v>
      </c>
      <c r="U2634" t="str">
        <f>LEFT(Table1[[#This Row],[Category and Sub-Category]],FIND("/",Table1[[#This Row],[Category and Sub-Category]])-1)</f>
        <v>technology</v>
      </c>
      <c r="V2634" t="str">
        <f>RIGHT(Table1[[#This Row],[Category and Sub-Category]],LEN(Table1[[#This Row],[Category and Sub-Category]])-FIND("/",Table1[[#This Row],[Category and Sub-Category]]))</f>
        <v>space exploration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 s="12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>((Table1[[#This Row],[deadline]]/60)/60/24)+DATE(1970,1,1)</f>
        <v>41697.958333333336</v>
      </c>
      <c r="K2635">
        <v>1390938332</v>
      </c>
      <c r="L2635" s="11">
        <f>((Table1[[#This Row],[launched_at]]/60)/60/24)+DATE(1970,1,1)</f>
        <v>41667.823287037041</v>
      </c>
      <c r="M2635">
        <f>MONTH(Table1[[#This Row],[Date Created Conversion]])</f>
        <v>1</v>
      </c>
      <c r="N2635">
        <f>YEAR(Table1[[#This Row],[Date Created Conversion]])</f>
        <v>2014</v>
      </c>
      <c r="O2635" t="b">
        <v>0</v>
      </c>
      <c r="P2635">
        <v>199</v>
      </c>
      <c r="Q2635" t="b">
        <v>1</v>
      </c>
      <c r="R2635" t="s">
        <v>8301</v>
      </c>
      <c r="S2635" s="6">
        <f>Table1[[#This Row],[pledged]]/Table1[[#This Row],[goal]]</f>
        <v>3.5461999999999998</v>
      </c>
      <c r="T2635" s="8">
        <f>IF(Table1[[#This Row],[pledged]]=0,"no backers",Table1[[#This Row],[pledged]]/Table1[[#This Row],[backers_count]])</f>
        <v>89.100502512562812</v>
      </c>
      <c r="U2635" t="str">
        <f>LEFT(Table1[[#This Row],[Category and Sub-Category]],FIND("/",Table1[[#This Row],[Category and Sub-Category]])-1)</f>
        <v>technology</v>
      </c>
      <c r="V2635" t="str">
        <f>RIGHT(Table1[[#This Row],[Category and Sub-Category]],LEN(Table1[[#This Row],[Category and Sub-Category]])-FIND("/",Table1[[#This Row],[Category and Sub-Category]]))</f>
        <v>space exploration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 s="12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>((Table1[[#This Row],[deadline]]/60)/60/24)+DATE(1970,1,1)</f>
        <v>42642.656493055561</v>
      </c>
      <c r="K2636">
        <v>1472571921</v>
      </c>
      <c r="L2636" s="11">
        <f>((Table1[[#This Row],[launched_at]]/60)/60/24)+DATE(1970,1,1)</f>
        <v>42612.656493055561</v>
      </c>
      <c r="M2636">
        <f>MONTH(Table1[[#This Row],[Date Created Conversion]])</f>
        <v>8</v>
      </c>
      <c r="N2636">
        <f>YEAR(Table1[[#This Row],[Date Created Conversion]])</f>
        <v>2016</v>
      </c>
      <c r="O2636" t="b">
        <v>0</v>
      </c>
      <c r="P2636">
        <v>25</v>
      </c>
      <c r="Q2636" t="b">
        <v>1</v>
      </c>
      <c r="R2636" t="s">
        <v>8301</v>
      </c>
      <c r="S2636" s="6">
        <f>Table1[[#This Row],[pledged]]/Table1[[#This Row],[goal]]</f>
        <v>1.0602150537634409</v>
      </c>
      <c r="T2636" s="8">
        <f>IF(Table1[[#This Row],[pledged]]=0,"no backers",Table1[[#This Row],[pledged]]/Table1[[#This Row],[backers_count]])</f>
        <v>39.44</v>
      </c>
      <c r="U2636" t="str">
        <f>LEFT(Table1[[#This Row],[Category and Sub-Category]],FIND("/",Table1[[#This Row],[Category and Sub-Category]])-1)</f>
        <v>technology</v>
      </c>
      <c r="V2636" t="str">
        <f>RIGHT(Table1[[#This Row],[Category and Sub-Category]],LEN(Table1[[#This Row],[Category and Sub-Category]])-FIND("/",Table1[[#This Row],[Category and Sub-Category]]))</f>
        <v>space exploration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 s="12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>((Table1[[#This Row],[deadline]]/60)/60/24)+DATE(1970,1,1)</f>
        <v>42072.909270833334</v>
      </c>
      <c r="K2637">
        <v>1422917361</v>
      </c>
      <c r="L2637" s="11">
        <f>((Table1[[#This Row],[launched_at]]/60)/60/24)+DATE(1970,1,1)</f>
        <v>42037.950937500005</v>
      </c>
      <c r="M2637">
        <f>MONTH(Table1[[#This Row],[Date Created Conversion]])</f>
        <v>2</v>
      </c>
      <c r="N2637">
        <f>YEAR(Table1[[#This Row],[Date Created Conversion]])</f>
        <v>2015</v>
      </c>
      <c r="O2637" t="b">
        <v>0</v>
      </c>
      <c r="P2637">
        <v>84</v>
      </c>
      <c r="Q2637" t="b">
        <v>1</v>
      </c>
      <c r="R2637" t="s">
        <v>8301</v>
      </c>
      <c r="S2637" s="6">
        <f>Table1[[#This Row],[pledged]]/Table1[[#This Row],[goal]]</f>
        <v>1</v>
      </c>
      <c r="T2637" s="8">
        <f>IF(Table1[[#This Row],[pledged]]=0,"no backers",Table1[[#This Row],[pledged]]/Table1[[#This Row],[backers_count]])</f>
        <v>136.9047619047619</v>
      </c>
      <c r="U2637" t="str">
        <f>LEFT(Table1[[#This Row],[Category and Sub-Category]],FIND("/",Table1[[#This Row],[Category and Sub-Category]])-1)</f>
        <v>technology</v>
      </c>
      <c r="V2637" t="str">
        <f>RIGHT(Table1[[#This Row],[Category and Sub-Category]],LEN(Table1[[#This Row],[Category and Sub-Category]])-FIND("/",Table1[[#This Row],[Category and Sub-Category]]))</f>
        <v>space exploration</v>
      </c>
    </row>
    <row r="2638" spans="1:22" ht="57.6" x14ac:dyDescent="0.3">
      <c r="A2638">
        <v>2636</v>
      </c>
      <c r="B2638" s="3" t="s">
        <v>2636</v>
      </c>
      <c r="C2638" s="3" t="s">
        <v>6746</v>
      </c>
      <c r="D2638" s="12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>((Table1[[#This Row],[deadline]]/60)/60/24)+DATE(1970,1,1)</f>
        <v>42659.041666666672</v>
      </c>
      <c r="K2638">
        <v>1474641914</v>
      </c>
      <c r="L2638" s="11">
        <f>((Table1[[#This Row],[launched_at]]/60)/60/24)+DATE(1970,1,1)</f>
        <v>42636.614745370374</v>
      </c>
      <c r="M2638">
        <f>MONTH(Table1[[#This Row],[Date Created Conversion]])</f>
        <v>9</v>
      </c>
      <c r="N2638">
        <f>YEAR(Table1[[#This Row],[Date Created Conversion]])</f>
        <v>2016</v>
      </c>
      <c r="O2638" t="b">
        <v>0</v>
      </c>
      <c r="P2638">
        <v>50</v>
      </c>
      <c r="Q2638" t="b">
        <v>1</v>
      </c>
      <c r="R2638" t="s">
        <v>8301</v>
      </c>
      <c r="S2638" s="6">
        <f>Table1[[#This Row],[pledged]]/Table1[[#This Row],[goal]]</f>
        <v>1.873</v>
      </c>
      <c r="T2638" s="8">
        <f>IF(Table1[[#This Row],[pledged]]=0,"no backers",Table1[[#This Row],[pledged]]/Table1[[#This Row],[backers_count]])</f>
        <v>37.46</v>
      </c>
      <c r="U2638" t="str">
        <f>LEFT(Table1[[#This Row],[Category and Sub-Category]],FIND("/",Table1[[#This Row],[Category and Sub-Category]])-1)</f>
        <v>technology</v>
      </c>
      <c r="V2638" t="str">
        <f>RIGHT(Table1[[#This Row],[Category and Sub-Category]],LEN(Table1[[#This Row],[Category and Sub-Category]])-FIND("/",Table1[[#This Row],[Category and Sub-Category]]))</f>
        <v>space exploration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 s="12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>((Table1[[#This Row],[deadline]]/60)/60/24)+DATE(1970,1,1)</f>
        <v>42655.549479166672</v>
      </c>
      <c r="K2639">
        <v>1474895475</v>
      </c>
      <c r="L2639" s="11">
        <f>((Table1[[#This Row],[launched_at]]/60)/60/24)+DATE(1970,1,1)</f>
        <v>42639.549479166672</v>
      </c>
      <c r="M2639">
        <f>MONTH(Table1[[#This Row],[Date Created Conversion]])</f>
        <v>9</v>
      </c>
      <c r="N2639">
        <f>YEAR(Table1[[#This Row],[Date Created Conversion]])</f>
        <v>2016</v>
      </c>
      <c r="O2639" t="b">
        <v>0</v>
      </c>
      <c r="P2639">
        <v>26</v>
      </c>
      <c r="Q2639" t="b">
        <v>1</v>
      </c>
      <c r="R2639" t="s">
        <v>8301</v>
      </c>
      <c r="S2639" s="6">
        <f>Table1[[#This Row],[pledged]]/Table1[[#This Row],[goal]]</f>
        <v>1.6619999999999999</v>
      </c>
      <c r="T2639" s="8">
        <f>IF(Table1[[#This Row],[pledged]]=0,"no backers",Table1[[#This Row],[pledged]]/Table1[[#This Row],[backers_count]])</f>
        <v>31.96153846153846</v>
      </c>
      <c r="U2639" t="str">
        <f>LEFT(Table1[[#This Row],[Category and Sub-Category]],FIND("/",Table1[[#This Row],[Category and Sub-Category]])-1)</f>
        <v>technology</v>
      </c>
      <c r="V2639" t="str">
        <f>RIGHT(Table1[[#This Row],[Category and Sub-Category]],LEN(Table1[[#This Row],[Category and Sub-Category]])-FIND("/",Table1[[#This Row],[Category and Sub-Category]]))</f>
        <v>space exploration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 s="12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>((Table1[[#This Row],[deadline]]/60)/60/24)+DATE(1970,1,1)</f>
        <v>42019.913136574076</v>
      </c>
      <c r="K2640">
        <v>1418766895</v>
      </c>
      <c r="L2640" s="11">
        <f>((Table1[[#This Row],[launched_at]]/60)/60/24)+DATE(1970,1,1)</f>
        <v>41989.913136574076</v>
      </c>
      <c r="M2640">
        <f>MONTH(Table1[[#This Row],[Date Created Conversion]])</f>
        <v>12</v>
      </c>
      <c r="N2640">
        <f>YEAR(Table1[[#This Row],[Date Created Conversion]])</f>
        <v>2014</v>
      </c>
      <c r="O2640" t="b">
        <v>0</v>
      </c>
      <c r="P2640">
        <v>14</v>
      </c>
      <c r="Q2640" t="b">
        <v>1</v>
      </c>
      <c r="R2640" t="s">
        <v>8301</v>
      </c>
      <c r="S2640" s="6">
        <f>Table1[[#This Row],[pledged]]/Table1[[#This Row],[goal]]</f>
        <v>1.0172910662824208</v>
      </c>
      <c r="T2640" s="8">
        <f>IF(Table1[[#This Row],[pledged]]=0,"no backers",Table1[[#This Row],[pledged]]/Table1[[#This Row],[backers_count]])</f>
        <v>25.214285714285715</v>
      </c>
      <c r="U2640" t="str">
        <f>LEFT(Table1[[#This Row],[Category and Sub-Category]],FIND("/",Table1[[#This Row],[Category and Sub-Category]])-1)</f>
        <v>technology</v>
      </c>
      <c r="V2640" t="str">
        <f>RIGHT(Table1[[#This Row],[Category and Sub-Category]],LEN(Table1[[#This Row],[Category and Sub-Category]])-FIND("/",Table1[[#This Row],[Category and Sub-Category]]))</f>
        <v>space exploration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 s="12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>((Table1[[#This Row],[deadline]]/60)/60/24)+DATE(1970,1,1)</f>
        <v>42054.86513888889</v>
      </c>
      <c r="K2641">
        <v>1421786748</v>
      </c>
      <c r="L2641" s="11">
        <f>((Table1[[#This Row],[launched_at]]/60)/60/24)+DATE(1970,1,1)</f>
        <v>42024.86513888889</v>
      </c>
      <c r="M2641">
        <f>MONTH(Table1[[#This Row],[Date Created Conversion]])</f>
        <v>1</v>
      </c>
      <c r="N2641">
        <f>YEAR(Table1[[#This Row],[Date Created Conversion]])</f>
        <v>2015</v>
      </c>
      <c r="O2641" t="b">
        <v>0</v>
      </c>
      <c r="P2641">
        <v>49</v>
      </c>
      <c r="Q2641" t="b">
        <v>1</v>
      </c>
      <c r="R2641" t="s">
        <v>8301</v>
      </c>
      <c r="S2641" s="6">
        <f>Table1[[#This Row],[pledged]]/Table1[[#This Row],[goal]]</f>
        <v>1.64</v>
      </c>
      <c r="T2641" s="8">
        <f>IF(Table1[[#This Row],[pledged]]=0,"no backers",Table1[[#This Row],[pledged]]/Table1[[#This Row],[backers_count]])</f>
        <v>10.040816326530612</v>
      </c>
      <c r="U2641" t="str">
        <f>LEFT(Table1[[#This Row],[Category and Sub-Category]],FIND("/",Table1[[#This Row],[Category and Sub-Category]])-1)</f>
        <v>technology</v>
      </c>
      <c r="V2641" t="str">
        <f>RIGHT(Table1[[#This Row],[Category and Sub-Category]],LEN(Table1[[#This Row],[Category and Sub-Category]])-FIND("/",Table1[[#This Row],[Category and Sub-Category]]))</f>
        <v>space exploration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 s="1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>((Table1[[#This Row],[deadline]]/60)/60/24)+DATE(1970,1,1)</f>
        <v>42163.160578703704</v>
      </c>
      <c r="K2642">
        <v>1428551474</v>
      </c>
      <c r="L2642" s="11">
        <f>((Table1[[#This Row],[launched_at]]/60)/60/24)+DATE(1970,1,1)</f>
        <v>42103.160578703704</v>
      </c>
      <c r="M2642">
        <f>MONTH(Table1[[#This Row],[Date Created Conversion]])</f>
        <v>4</v>
      </c>
      <c r="N2642">
        <f>YEAR(Table1[[#This Row],[Date Created Conversion]])</f>
        <v>2015</v>
      </c>
      <c r="O2642" t="b">
        <v>0</v>
      </c>
      <c r="P2642">
        <v>69</v>
      </c>
      <c r="Q2642" t="b">
        <v>1</v>
      </c>
      <c r="R2642" t="s">
        <v>8301</v>
      </c>
      <c r="S2642" s="6">
        <f>Table1[[#This Row],[pledged]]/Table1[[#This Row],[goal]]</f>
        <v>1.0566666666666666</v>
      </c>
      <c r="T2642" s="8">
        <f>IF(Table1[[#This Row],[pledged]]=0,"no backers",Table1[[#This Row],[pledged]]/Table1[[#This Row],[backers_count]])</f>
        <v>45.94202898550725</v>
      </c>
      <c r="U2642" t="str">
        <f>LEFT(Table1[[#This Row],[Category and Sub-Category]],FIND("/",Table1[[#This Row],[Category and Sub-Category]])-1)</f>
        <v>technology</v>
      </c>
      <c r="V2642" t="str">
        <f>RIGHT(Table1[[#This Row],[Category and Sub-Category]],LEN(Table1[[#This Row],[Category and Sub-Category]])-FIND("/",Table1[[#This Row],[Category and Sub-Category]]))</f>
        <v>space exploration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 s="12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>((Table1[[#This Row],[deadline]]/60)/60/24)+DATE(1970,1,1)</f>
        <v>41897.839583333334</v>
      </c>
      <c r="K2643">
        <v>1409341863</v>
      </c>
      <c r="L2643" s="11">
        <f>((Table1[[#This Row],[launched_at]]/60)/60/24)+DATE(1970,1,1)</f>
        <v>41880.827118055553</v>
      </c>
      <c r="M2643">
        <f>MONTH(Table1[[#This Row],[Date Created Conversion]])</f>
        <v>8</v>
      </c>
      <c r="N2643">
        <f>YEAR(Table1[[#This Row],[Date Created Conversion]])</f>
        <v>2014</v>
      </c>
      <c r="O2643" t="b">
        <v>0</v>
      </c>
      <c r="P2643">
        <v>1</v>
      </c>
      <c r="Q2643" t="b">
        <v>0</v>
      </c>
      <c r="R2643" t="s">
        <v>8301</v>
      </c>
      <c r="S2643" s="6">
        <f>Table1[[#This Row],[pledged]]/Table1[[#This Row],[goal]]</f>
        <v>0.01</v>
      </c>
      <c r="T2643" s="8">
        <f>IF(Table1[[#This Row],[pledged]]=0,"no backers",Table1[[#This Row],[pledged]]/Table1[[#This Row],[backers_count]])</f>
        <v>15</v>
      </c>
      <c r="U2643" t="str">
        <f>LEFT(Table1[[#This Row],[Category and Sub-Category]],FIND("/",Table1[[#This Row],[Category and Sub-Category]])-1)</f>
        <v>technology</v>
      </c>
      <c r="V2643" t="str">
        <f>RIGHT(Table1[[#This Row],[Category and Sub-Category]],LEN(Table1[[#This Row],[Category and Sub-Category]])-FIND("/",Table1[[#This Row],[Category and Sub-Category]]))</f>
        <v>space exploration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 s="12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>((Table1[[#This Row],[deadline]]/60)/60/24)+DATE(1970,1,1)</f>
        <v>42566.289583333331</v>
      </c>
      <c r="K2644">
        <v>1465970108</v>
      </c>
      <c r="L2644" s="11">
        <f>((Table1[[#This Row],[launched_at]]/60)/60/24)+DATE(1970,1,1)</f>
        <v>42536.246620370366</v>
      </c>
      <c r="M2644">
        <f>MONTH(Table1[[#This Row],[Date Created Conversion]])</f>
        <v>6</v>
      </c>
      <c r="N2644">
        <f>YEAR(Table1[[#This Row],[Date Created Conversion]])</f>
        <v>2016</v>
      </c>
      <c r="O2644" t="b">
        <v>0</v>
      </c>
      <c r="P2644">
        <v>0</v>
      </c>
      <c r="Q2644" t="b">
        <v>0</v>
      </c>
      <c r="R2644" t="s">
        <v>8301</v>
      </c>
      <c r="S2644" s="6">
        <f>Table1[[#This Row],[pledged]]/Table1[[#This Row],[goal]]</f>
        <v>0</v>
      </c>
      <c r="T2644" s="8" t="str">
        <f>IF(Table1[[#This Row],[pledged]]=0,"no backers",Table1[[#This Row],[pledged]]/Table1[[#This Row],[backers_count]])</f>
        <v>no backers</v>
      </c>
      <c r="U2644" t="str">
        <f>LEFT(Table1[[#This Row],[Category and Sub-Category]],FIND("/",Table1[[#This Row],[Category and Sub-Category]])-1)</f>
        <v>technology</v>
      </c>
      <c r="V2644" t="str">
        <f>RIGHT(Table1[[#This Row],[Category and Sub-Category]],LEN(Table1[[#This Row],[Category and Sub-Category]])-FIND("/",Table1[[#This Row],[Category and Sub-Category]]))</f>
        <v>space exploration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 s="12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>((Table1[[#This Row],[deadline]]/60)/60/24)+DATE(1970,1,1)</f>
        <v>42725.332638888889</v>
      </c>
      <c r="K2645">
        <v>1479218315</v>
      </c>
      <c r="L2645" s="11">
        <f>((Table1[[#This Row],[launched_at]]/60)/60/24)+DATE(1970,1,1)</f>
        <v>42689.582349537035</v>
      </c>
      <c r="M2645">
        <f>MONTH(Table1[[#This Row],[Date Created Conversion]])</f>
        <v>11</v>
      </c>
      <c r="N2645">
        <f>YEAR(Table1[[#This Row],[Date Created Conversion]])</f>
        <v>2016</v>
      </c>
      <c r="O2645" t="b">
        <v>1</v>
      </c>
      <c r="P2645">
        <v>1501</v>
      </c>
      <c r="Q2645" t="b">
        <v>0</v>
      </c>
      <c r="R2645" t="s">
        <v>8301</v>
      </c>
      <c r="S2645" s="6">
        <f>Table1[[#This Row],[pledged]]/Table1[[#This Row],[goal]]</f>
        <v>0.33559730999999998</v>
      </c>
      <c r="T2645" s="8">
        <f>IF(Table1[[#This Row],[pledged]]=0,"no backers",Table1[[#This Row],[pledged]]/Table1[[#This Row],[backers_count]])</f>
        <v>223.58248500999335</v>
      </c>
      <c r="U2645" t="str">
        <f>LEFT(Table1[[#This Row],[Category and Sub-Category]],FIND("/",Table1[[#This Row],[Category and Sub-Category]])-1)</f>
        <v>technology</v>
      </c>
      <c r="V2645" t="str">
        <f>RIGHT(Table1[[#This Row],[Category and Sub-Category]],LEN(Table1[[#This Row],[Category and Sub-Category]])-FIND("/",Table1[[#This Row],[Category and Sub-Category]]))</f>
        <v>space exploration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 s="12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>((Table1[[#This Row],[deadline]]/60)/60/24)+DATE(1970,1,1)</f>
        <v>42804.792071759264</v>
      </c>
      <c r="K2646">
        <v>1486580435</v>
      </c>
      <c r="L2646" s="11">
        <f>((Table1[[#This Row],[launched_at]]/60)/60/24)+DATE(1970,1,1)</f>
        <v>42774.792071759264</v>
      </c>
      <c r="M2646">
        <f>MONTH(Table1[[#This Row],[Date Created Conversion]])</f>
        <v>2</v>
      </c>
      <c r="N2646">
        <f>YEAR(Table1[[#This Row],[Date Created Conversion]])</f>
        <v>2017</v>
      </c>
      <c r="O2646" t="b">
        <v>1</v>
      </c>
      <c r="P2646">
        <v>52</v>
      </c>
      <c r="Q2646" t="b">
        <v>0</v>
      </c>
      <c r="R2646" t="s">
        <v>8301</v>
      </c>
      <c r="S2646" s="6">
        <f>Table1[[#This Row],[pledged]]/Table1[[#This Row],[goal]]</f>
        <v>2.053E-2</v>
      </c>
      <c r="T2646" s="8">
        <f>IF(Table1[[#This Row],[pledged]]=0,"no backers",Table1[[#This Row],[pledged]]/Table1[[#This Row],[backers_count]])</f>
        <v>39.480769230769234</v>
      </c>
      <c r="U2646" t="str">
        <f>LEFT(Table1[[#This Row],[Category and Sub-Category]],FIND("/",Table1[[#This Row],[Category and Sub-Category]])-1)</f>
        <v>technology</v>
      </c>
      <c r="V2646" t="str">
        <f>RIGHT(Table1[[#This Row],[Category and Sub-Category]],LEN(Table1[[#This Row],[Category and Sub-Category]])-FIND("/",Table1[[#This Row],[Category and Sub-Category]]))</f>
        <v>space exploration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 s="12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>((Table1[[#This Row],[deadline]]/60)/60/24)+DATE(1970,1,1)</f>
        <v>41951.884293981479</v>
      </c>
      <c r="K2647">
        <v>1412885603</v>
      </c>
      <c r="L2647" s="11">
        <f>((Table1[[#This Row],[launched_at]]/60)/60/24)+DATE(1970,1,1)</f>
        <v>41921.842627314814</v>
      </c>
      <c r="M2647">
        <f>MONTH(Table1[[#This Row],[Date Created Conversion]])</f>
        <v>10</v>
      </c>
      <c r="N2647">
        <f>YEAR(Table1[[#This Row],[Date Created Conversion]])</f>
        <v>2014</v>
      </c>
      <c r="O2647" t="b">
        <v>1</v>
      </c>
      <c r="P2647">
        <v>23</v>
      </c>
      <c r="Q2647" t="b">
        <v>0</v>
      </c>
      <c r="R2647" t="s">
        <v>8301</v>
      </c>
      <c r="S2647" s="6">
        <f>Table1[[#This Row],[pledged]]/Table1[[#This Row],[goal]]</f>
        <v>0.105</v>
      </c>
      <c r="T2647" s="8">
        <f>IF(Table1[[#This Row],[pledged]]=0,"no backers",Table1[[#This Row],[pledged]]/Table1[[#This Row],[backers_count]])</f>
        <v>91.304347826086953</v>
      </c>
      <c r="U2647" t="str">
        <f>LEFT(Table1[[#This Row],[Category and Sub-Category]],FIND("/",Table1[[#This Row],[Category and Sub-Category]])-1)</f>
        <v>technology</v>
      </c>
      <c r="V2647" t="str">
        <f>RIGHT(Table1[[#This Row],[Category and Sub-Category]],LEN(Table1[[#This Row],[Category and Sub-Category]])-FIND("/",Table1[[#This Row],[Category and Sub-Category]]))</f>
        <v>space exploration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 s="12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>((Table1[[#This Row],[deadline]]/60)/60/24)+DATE(1970,1,1)</f>
        <v>42256.313298611116</v>
      </c>
      <c r="K2648">
        <v>1439191869</v>
      </c>
      <c r="L2648" s="11">
        <f>((Table1[[#This Row],[launched_at]]/60)/60/24)+DATE(1970,1,1)</f>
        <v>42226.313298611116</v>
      </c>
      <c r="M2648">
        <f>MONTH(Table1[[#This Row],[Date Created Conversion]])</f>
        <v>8</v>
      </c>
      <c r="N2648">
        <f>YEAR(Table1[[#This Row],[Date Created Conversion]])</f>
        <v>2015</v>
      </c>
      <c r="O2648" t="b">
        <v>1</v>
      </c>
      <c r="P2648">
        <v>535</v>
      </c>
      <c r="Q2648" t="b">
        <v>0</v>
      </c>
      <c r="R2648" t="s">
        <v>8301</v>
      </c>
      <c r="S2648" s="6">
        <f>Table1[[#This Row],[pledged]]/Table1[[#This Row],[goal]]</f>
        <v>8.4172839999999999E-2</v>
      </c>
      <c r="T2648" s="8">
        <f>IF(Table1[[#This Row],[pledged]]=0,"no backers",Table1[[#This Row],[pledged]]/Table1[[#This Row],[backers_count]])</f>
        <v>78.666205607476627</v>
      </c>
      <c r="U2648" t="str">
        <f>LEFT(Table1[[#This Row],[Category and Sub-Category]],FIND("/",Table1[[#This Row],[Category and Sub-Category]])-1)</f>
        <v>technology</v>
      </c>
      <c r="V2648" t="str">
        <f>RIGHT(Table1[[#This Row],[Category and Sub-Category]],LEN(Table1[[#This Row],[Category and Sub-Category]])-FIND("/",Table1[[#This Row],[Category and Sub-Category]]))</f>
        <v>space exploration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 s="12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>((Table1[[#This Row],[deadline]]/60)/60/24)+DATE(1970,1,1)</f>
        <v>42230.261793981481</v>
      </c>
      <c r="K2649">
        <v>1436941019</v>
      </c>
      <c r="L2649" s="11">
        <f>((Table1[[#This Row],[launched_at]]/60)/60/24)+DATE(1970,1,1)</f>
        <v>42200.261793981481</v>
      </c>
      <c r="M2649">
        <f>MONTH(Table1[[#This Row],[Date Created Conversion]])</f>
        <v>7</v>
      </c>
      <c r="N2649">
        <f>YEAR(Table1[[#This Row],[Date Created Conversion]])</f>
        <v>2015</v>
      </c>
      <c r="O2649" t="b">
        <v>0</v>
      </c>
      <c r="P2649">
        <v>3</v>
      </c>
      <c r="Q2649" t="b">
        <v>0</v>
      </c>
      <c r="R2649" t="s">
        <v>8301</v>
      </c>
      <c r="S2649" s="6">
        <f>Table1[[#This Row],[pledged]]/Table1[[#This Row],[goal]]</f>
        <v>1.44E-2</v>
      </c>
      <c r="T2649" s="8">
        <f>IF(Table1[[#This Row],[pledged]]=0,"no backers",Table1[[#This Row],[pledged]]/Table1[[#This Row],[backers_count]])</f>
        <v>12</v>
      </c>
      <c r="U2649" t="str">
        <f>LEFT(Table1[[#This Row],[Category and Sub-Category]],FIND("/",Table1[[#This Row],[Category and Sub-Category]])-1)</f>
        <v>technology</v>
      </c>
      <c r="V2649" t="str">
        <f>RIGHT(Table1[[#This Row],[Category and Sub-Category]],LEN(Table1[[#This Row],[Category and Sub-Category]])-FIND("/",Table1[[#This Row],[Category and Sub-Category]]))</f>
        <v>space exploration</v>
      </c>
    </row>
    <row r="2650" spans="1:22" ht="57.6" x14ac:dyDescent="0.3">
      <c r="A2650">
        <v>2648</v>
      </c>
      <c r="B2650" s="3" t="s">
        <v>2648</v>
      </c>
      <c r="C2650" s="3" t="s">
        <v>6758</v>
      </c>
      <c r="D2650" s="12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>((Table1[[#This Row],[deadline]]/60)/60/24)+DATE(1970,1,1)</f>
        <v>42438.714814814812</v>
      </c>
      <c r="K2650">
        <v>1454951360</v>
      </c>
      <c r="L2650" s="11">
        <f>((Table1[[#This Row],[launched_at]]/60)/60/24)+DATE(1970,1,1)</f>
        <v>42408.714814814812</v>
      </c>
      <c r="M2650">
        <f>MONTH(Table1[[#This Row],[Date Created Conversion]])</f>
        <v>2</v>
      </c>
      <c r="N2650">
        <f>YEAR(Table1[[#This Row],[Date Created Conversion]])</f>
        <v>2016</v>
      </c>
      <c r="O2650" t="b">
        <v>0</v>
      </c>
      <c r="P2650">
        <v>6</v>
      </c>
      <c r="Q2650" t="b">
        <v>0</v>
      </c>
      <c r="R2650" t="s">
        <v>8301</v>
      </c>
      <c r="S2650" s="6">
        <f>Table1[[#This Row],[pledged]]/Table1[[#This Row],[goal]]</f>
        <v>8.8333333333333337E-3</v>
      </c>
      <c r="T2650" s="8">
        <f>IF(Table1[[#This Row],[pledged]]=0,"no backers",Table1[[#This Row],[pledged]]/Table1[[#This Row],[backers_count]])</f>
        <v>17.666666666666668</v>
      </c>
      <c r="U2650" t="str">
        <f>LEFT(Table1[[#This Row],[Category and Sub-Category]],FIND("/",Table1[[#This Row],[Category and Sub-Category]])-1)</f>
        <v>technology</v>
      </c>
      <c r="V2650" t="str">
        <f>RIGHT(Table1[[#This Row],[Category and Sub-Category]],LEN(Table1[[#This Row],[Category and Sub-Category]])-FIND("/",Table1[[#This Row],[Category and Sub-Category]]))</f>
        <v>space exploration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 s="12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>((Table1[[#This Row],[deadline]]/60)/60/24)+DATE(1970,1,1)</f>
        <v>42401.99700231482</v>
      </c>
      <c r="K2651">
        <v>1449186941</v>
      </c>
      <c r="L2651" s="11">
        <f>((Table1[[#This Row],[launched_at]]/60)/60/24)+DATE(1970,1,1)</f>
        <v>42341.99700231482</v>
      </c>
      <c r="M2651">
        <f>MONTH(Table1[[#This Row],[Date Created Conversion]])</f>
        <v>12</v>
      </c>
      <c r="N2651">
        <f>YEAR(Table1[[#This Row],[Date Created Conversion]])</f>
        <v>2015</v>
      </c>
      <c r="O2651" t="b">
        <v>0</v>
      </c>
      <c r="P2651">
        <v>3</v>
      </c>
      <c r="Q2651" t="b">
        <v>0</v>
      </c>
      <c r="R2651" t="s">
        <v>8301</v>
      </c>
      <c r="S2651" s="6">
        <f>Table1[[#This Row],[pledged]]/Table1[[#This Row],[goal]]</f>
        <v>9.9200000000000004E-4</v>
      </c>
      <c r="T2651" s="8">
        <f>IF(Table1[[#This Row],[pledged]]=0,"no backers",Table1[[#This Row],[pledged]]/Table1[[#This Row],[backers_count]])</f>
        <v>41.333333333333336</v>
      </c>
      <c r="U2651" t="str">
        <f>LEFT(Table1[[#This Row],[Category and Sub-Category]],FIND("/",Table1[[#This Row],[Category and Sub-Category]])-1)</f>
        <v>technology</v>
      </c>
      <c r="V2651" t="str">
        <f>RIGHT(Table1[[#This Row],[Category and Sub-Category]],LEN(Table1[[#This Row],[Category and Sub-Category]])-FIND("/",Table1[[#This Row],[Category and Sub-Category]]))</f>
        <v>space exploration</v>
      </c>
    </row>
    <row r="2652" spans="1:22" ht="57.6" x14ac:dyDescent="0.3">
      <c r="A2652">
        <v>2650</v>
      </c>
      <c r="B2652" s="3" t="s">
        <v>2650</v>
      </c>
      <c r="C2652" s="3" t="s">
        <v>6760</v>
      </c>
      <c r="D2652" s="1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>((Table1[[#This Row],[deadline]]/60)/60/24)+DATE(1970,1,1)</f>
        <v>42725.624340277776</v>
      </c>
      <c r="K2652">
        <v>1479740343</v>
      </c>
      <c r="L2652" s="11">
        <f>((Table1[[#This Row],[launched_at]]/60)/60/24)+DATE(1970,1,1)</f>
        <v>42695.624340277776</v>
      </c>
      <c r="M2652">
        <f>MONTH(Table1[[#This Row],[Date Created Conversion]])</f>
        <v>11</v>
      </c>
      <c r="N2652">
        <f>YEAR(Table1[[#This Row],[Date Created Conversion]])</f>
        <v>2016</v>
      </c>
      <c r="O2652" t="b">
        <v>0</v>
      </c>
      <c r="P2652">
        <v>5</v>
      </c>
      <c r="Q2652" t="b">
        <v>0</v>
      </c>
      <c r="R2652" t="s">
        <v>8301</v>
      </c>
      <c r="S2652" s="6">
        <f>Table1[[#This Row],[pledged]]/Table1[[#This Row],[goal]]</f>
        <v>5.966666666666667E-3</v>
      </c>
      <c r="T2652" s="8">
        <f>IF(Table1[[#This Row],[pledged]]=0,"no backers",Table1[[#This Row],[pledged]]/Table1[[#This Row],[backers_count]])</f>
        <v>71.599999999999994</v>
      </c>
      <c r="U2652" t="str">
        <f>LEFT(Table1[[#This Row],[Category and Sub-Category]],FIND("/",Table1[[#This Row],[Category and Sub-Category]])-1)</f>
        <v>technology</v>
      </c>
      <c r="V2652" t="str">
        <f>RIGHT(Table1[[#This Row],[Category and Sub-Category]],LEN(Table1[[#This Row],[Category and Sub-Category]])-FIND("/",Table1[[#This Row],[Category and Sub-Category]]))</f>
        <v>space exploration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 s="12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>((Table1[[#This Row],[deadline]]/60)/60/24)+DATE(1970,1,1)</f>
        <v>42355.805659722217</v>
      </c>
      <c r="K2653">
        <v>1447960809</v>
      </c>
      <c r="L2653" s="11">
        <f>((Table1[[#This Row],[launched_at]]/60)/60/24)+DATE(1970,1,1)</f>
        <v>42327.805659722217</v>
      </c>
      <c r="M2653">
        <f>MONTH(Table1[[#This Row],[Date Created Conversion]])</f>
        <v>11</v>
      </c>
      <c r="N2653">
        <f>YEAR(Table1[[#This Row],[Date Created Conversion]])</f>
        <v>2015</v>
      </c>
      <c r="O2653" t="b">
        <v>0</v>
      </c>
      <c r="P2653">
        <v>17</v>
      </c>
      <c r="Q2653" t="b">
        <v>0</v>
      </c>
      <c r="R2653" t="s">
        <v>8301</v>
      </c>
      <c r="S2653" s="6">
        <f>Table1[[#This Row],[pledged]]/Table1[[#This Row],[goal]]</f>
        <v>1.8689285714285714E-2</v>
      </c>
      <c r="T2653" s="8">
        <f>IF(Table1[[#This Row],[pledged]]=0,"no backers",Table1[[#This Row],[pledged]]/Table1[[#This Row],[backers_count]])</f>
        <v>307.8235294117647</v>
      </c>
      <c r="U2653" t="str">
        <f>LEFT(Table1[[#This Row],[Category and Sub-Category]],FIND("/",Table1[[#This Row],[Category and Sub-Category]])-1)</f>
        <v>technology</v>
      </c>
      <c r="V2653" t="str">
        <f>RIGHT(Table1[[#This Row],[Category and Sub-Category]],LEN(Table1[[#This Row],[Category and Sub-Category]])-FIND("/",Table1[[#This Row],[Category and Sub-Category]]))</f>
        <v>space exploration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 s="12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>((Table1[[#This Row],[deadline]]/60)/60/24)+DATE(1970,1,1)</f>
        <v>41983.158854166672</v>
      </c>
      <c r="K2654">
        <v>1415591325</v>
      </c>
      <c r="L2654" s="11">
        <f>((Table1[[#This Row],[launched_at]]/60)/60/24)+DATE(1970,1,1)</f>
        <v>41953.158854166672</v>
      </c>
      <c r="M2654">
        <f>MONTH(Table1[[#This Row],[Date Created Conversion]])</f>
        <v>11</v>
      </c>
      <c r="N2654">
        <f>YEAR(Table1[[#This Row],[Date Created Conversion]])</f>
        <v>2014</v>
      </c>
      <c r="O2654" t="b">
        <v>0</v>
      </c>
      <c r="P2654">
        <v>11</v>
      </c>
      <c r="Q2654" t="b">
        <v>0</v>
      </c>
      <c r="R2654" t="s">
        <v>8301</v>
      </c>
      <c r="S2654" s="6">
        <f>Table1[[#This Row],[pledged]]/Table1[[#This Row],[goal]]</f>
        <v>8.8500000000000002E-3</v>
      </c>
      <c r="T2654" s="8">
        <f>IF(Table1[[#This Row],[pledged]]=0,"no backers",Table1[[#This Row],[pledged]]/Table1[[#This Row],[backers_count]])</f>
        <v>80.454545454545453</v>
      </c>
      <c r="U2654" t="str">
        <f>LEFT(Table1[[#This Row],[Category and Sub-Category]],FIND("/",Table1[[#This Row],[Category and Sub-Category]])-1)</f>
        <v>technology</v>
      </c>
      <c r="V2654" t="str">
        <f>RIGHT(Table1[[#This Row],[Category and Sub-Category]],LEN(Table1[[#This Row],[Category and Sub-Category]])-FIND("/",Table1[[#This Row],[Category and Sub-Category]]))</f>
        <v>space exploration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 s="12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>((Table1[[#This Row],[deadline]]/60)/60/24)+DATE(1970,1,1)</f>
        <v>41803.166666666664</v>
      </c>
      <c r="K2655">
        <v>1399909127</v>
      </c>
      <c r="L2655" s="11">
        <f>((Table1[[#This Row],[launched_at]]/60)/60/24)+DATE(1970,1,1)</f>
        <v>41771.651932870373</v>
      </c>
      <c r="M2655">
        <f>MONTH(Table1[[#This Row],[Date Created Conversion]])</f>
        <v>5</v>
      </c>
      <c r="N2655">
        <f>YEAR(Table1[[#This Row],[Date Created Conversion]])</f>
        <v>2014</v>
      </c>
      <c r="O2655" t="b">
        <v>0</v>
      </c>
      <c r="P2655">
        <v>70</v>
      </c>
      <c r="Q2655" t="b">
        <v>0</v>
      </c>
      <c r="R2655" t="s">
        <v>8301</v>
      </c>
      <c r="S2655" s="6">
        <f>Table1[[#This Row],[pledged]]/Table1[[#This Row],[goal]]</f>
        <v>0.1152156862745098</v>
      </c>
      <c r="T2655" s="8">
        <f>IF(Table1[[#This Row],[pledged]]=0,"no backers",Table1[[#This Row],[pledged]]/Table1[[#This Row],[backers_count]])</f>
        <v>83.942857142857136</v>
      </c>
      <c r="U2655" t="str">
        <f>LEFT(Table1[[#This Row],[Category and Sub-Category]],FIND("/",Table1[[#This Row],[Category and Sub-Category]])-1)</f>
        <v>technology</v>
      </c>
      <c r="V2655" t="str">
        <f>RIGHT(Table1[[#This Row],[Category and Sub-Category]],LEN(Table1[[#This Row],[Category and Sub-Category]])-FIND("/",Table1[[#This Row],[Category and Sub-Category]]))</f>
        <v>space exploration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 s="12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>((Table1[[#This Row],[deadline]]/60)/60/24)+DATE(1970,1,1)</f>
        <v>42115.559328703705</v>
      </c>
      <c r="K2656">
        <v>1424442326</v>
      </c>
      <c r="L2656" s="11">
        <f>((Table1[[#This Row],[launched_at]]/60)/60/24)+DATE(1970,1,1)</f>
        <v>42055.600995370376</v>
      </c>
      <c r="M2656">
        <f>MONTH(Table1[[#This Row],[Date Created Conversion]])</f>
        <v>2</v>
      </c>
      <c r="N2656">
        <f>YEAR(Table1[[#This Row],[Date Created Conversion]])</f>
        <v>2015</v>
      </c>
      <c r="O2656" t="b">
        <v>0</v>
      </c>
      <c r="P2656">
        <v>6</v>
      </c>
      <c r="Q2656" t="b">
        <v>0</v>
      </c>
      <c r="R2656" t="s">
        <v>8301</v>
      </c>
      <c r="S2656" s="6">
        <f>Table1[[#This Row],[pledged]]/Table1[[#This Row],[goal]]</f>
        <v>5.1000000000000004E-4</v>
      </c>
      <c r="T2656" s="8">
        <f>IF(Table1[[#This Row],[pledged]]=0,"no backers",Table1[[#This Row],[pledged]]/Table1[[#This Row],[backers_count]])</f>
        <v>8.5</v>
      </c>
      <c r="U2656" t="str">
        <f>LEFT(Table1[[#This Row],[Category and Sub-Category]],FIND("/",Table1[[#This Row],[Category and Sub-Category]])-1)</f>
        <v>technology</v>
      </c>
      <c r="V2656" t="str">
        <f>RIGHT(Table1[[#This Row],[Category and Sub-Category]],LEN(Table1[[#This Row],[Category and Sub-Category]])-FIND("/",Table1[[#This Row],[Category and Sub-Category]]))</f>
        <v>space exploration</v>
      </c>
    </row>
    <row r="2657" spans="1:22" x14ac:dyDescent="0.3">
      <c r="A2657">
        <v>2655</v>
      </c>
      <c r="B2657" s="3" t="s">
        <v>2655</v>
      </c>
      <c r="C2657" s="3" t="s">
        <v>6765</v>
      </c>
      <c r="D2657" s="12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>((Table1[[#This Row],[deadline]]/60)/60/24)+DATE(1970,1,1)</f>
        <v>42409.833333333328</v>
      </c>
      <c r="K2657">
        <v>1452631647</v>
      </c>
      <c r="L2657" s="11">
        <f>((Table1[[#This Row],[launched_at]]/60)/60/24)+DATE(1970,1,1)</f>
        <v>42381.866284722222</v>
      </c>
      <c r="M2657">
        <f>MONTH(Table1[[#This Row],[Date Created Conversion]])</f>
        <v>1</v>
      </c>
      <c r="N2657">
        <f>YEAR(Table1[[#This Row],[Date Created Conversion]])</f>
        <v>2016</v>
      </c>
      <c r="O2657" t="b">
        <v>0</v>
      </c>
      <c r="P2657">
        <v>43</v>
      </c>
      <c r="Q2657" t="b">
        <v>0</v>
      </c>
      <c r="R2657" t="s">
        <v>8301</v>
      </c>
      <c r="S2657" s="6">
        <f>Table1[[#This Row],[pledged]]/Table1[[#This Row],[goal]]</f>
        <v>0.21033333333333334</v>
      </c>
      <c r="T2657" s="8">
        <f>IF(Table1[[#This Row],[pledged]]=0,"no backers",Table1[[#This Row],[pledged]]/Table1[[#This Row],[backers_count]])</f>
        <v>73.372093023255815</v>
      </c>
      <c r="U2657" t="str">
        <f>LEFT(Table1[[#This Row],[Category and Sub-Category]],FIND("/",Table1[[#This Row],[Category and Sub-Category]])-1)</f>
        <v>technology</v>
      </c>
      <c r="V2657" t="str">
        <f>RIGHT(Table1[[#This Row],[Category and Sub-Category]],LEN(Table1[[#This Row],[Category and Sub-Category]])-FIND("/",Table1[[#This Row],[Category and Sub-Category]]))</f>
        <v>space exploration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 s="12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>((Table1[[#This Row],[deadline]]/60)/60/24)+DATE(1970,1,1)</f>
        <v>42806.791666666672</v>
      </c>
      <c r="K2658">
        <v>1485966688</v>
      </c>
      <c r="L2658" s="11">
        <f>((Table1[[#This Row],[launched_at]]/60)/60/24)+DATE(1970,1,1)</f>
        <v>42767.688518518517</v>
      </c>
      <c r="M2658">
        <f>MONTH(Table1[[#This Row],[Date Created Conversion]])</f>
        <v>2</v>
      </c>
      <c r="N2658">
        <f>YEAR(Table1[[#This Row],[Date Created Conversion]])</f>
        <v>2017</v>
      </c>
      <c r="O2658" t="b">
        <v>0</v>
      </c>
      <c r="P2658">
        <v>152</v>
      </c>
      <c r="Q2658" t="b">
        <v>0</v>
      </c>
      <c r="R2658" t="s">
        <v>8301</v>
      </c>
      <c r="S2658" s="6">
        <f>Table1[[#This Row],[pledged]]/Table1[[#This Row],[goal]]</f>
        <v>0.11436666666666667</v>
      </c>
      <c r="T2658" s="8">
        <f>IF(Table1[[#This Row],[pledged]]=0,"no backers",Table1[[#This Row],[pledged]]/Table1[[#This Row],[backers_count]])</f>
        <v>112.86184210526316</v>
      </c>
      <c r="U2658" t="str">
        <f>LEFT(Table1[[#This Row],[Category and Sub-Category]],FIND("/",Table1[[#This Row],[Category and Sub-Category]])-1)</f>
        <v>technology</v>
      </c>
      <c r="V2658" t="str">
        <f>RIGHT(Table1[[#This Row],[Category and Sub-Category]],LEN(Table1[[#This Row],[Category and Sub-Category]])-FIND("/",Table1[[#This Row],[Category and Sub-Category]]))</f>
        <v>space exploration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 s="12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>((Table1[[#This Row],[deadline]]/60)/60/24)+DATE(1970,1,1)</f>
        <v>42585.0625</v>
      </c>
      <c r="K2659">
        <v>1467325053</v>
      </c>
      <c r="L2659" s="11">
        <f>((Table1[[#This Row],[launched_at]]/60)/60/24)+DATE(1970,1,1)</f>
        <v>42551.928854166668</v>
      </c>
      <c r="M2659">
        <f>MONTH(Table1[[#This Row],[Date Created Conversion]])</f>
        <v>6</v>
      </c>
      <c r="N2659">
        <f>YEAR(Table1[[#This Row],[Date Created Conversion]])</f>
        <v>2016</v>
      </c>
      <c r="O2659" t="b">
        <v>0</v>
      </c>
      <c r="P2659">
        <v>59</v>
      </c>
      <c r="Q2659" t="b">
        <v>0</v>
      </c>
      <c r="R2659" t="s">
        <v>8301</v>
      </c>
      <c r="S2659" s="6">
        <f>Table1[[#This Row],[pledged]]/Table1[[#This Row],[goal]]</f>
        <v>0.18737933333333334</v>
      </c>
      <c r="T2659" s="8">
        <f>IF(Table1[[#This Row],[pledged]]=0,"no backers",Table1[[#This Row],[pledged]]/Table1[[#This Row],[backers_count]])</f>
        <v>95.277627118644077</v>
      </c>
      <c r="U2659" t="str">
        <f>LEFT(Table1[[#This Row],[Category and Sub-Category]],FIND("/",Table1[[#This Row],[Category and Sub-Category]])-1)</f>
        <v>technology</v>
      </c>
      <c r="V2659" t="str">
        <f>RIGHT(Table1[[#This Row],[Category and Sub-Category]],LEN(Table1[[#This Row],[Category and Sub-Category]])-FIND("/",Table1[[#This Row],[Category and Sub-Category]]))</f>
        <v>space exploration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 s="12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>((Table1[[#This Row],[deadline]]/60)/60/24)+DATE(1970,1,1)</f>
        <v>42581.884189814817</v>
      </c>
      <c r="K2660">
        <v>1467321194</v>
      </c>
      <c r="L2660" s="11">
        <f>((Table1[[#This Row],[launched_at]]/60)/60/24)+DATE(1970,1,1)</f>
        <v>42551.884189814817</v>
      </c>
      <c r="M2660">
        <f>MONTH(Table1[[#This Row],[Date Created Conversion]])</f>
        <v>6</v>
      </c>
      <c r="N2660">
        <f>YEAR(Table1[[#This Row],[Date Created Conversion]])</f>
        <v>2016</v>
      </c>
      <c r="O2660" t="b">
        <v>0</v>
      </c>
      <c r="P2660">
        <v>4</v>
      </c>
      <c r="Q2660" t="b">
        <v>0</v>
      </c>
      <c r="R2660" t="s">
        <v>8301</v>
      </c>
      <c r="S2660" s="6">
        <f>Table1[[#This Row],[pledged]]/Table1[[#This Row],[goal]]</f>
        <v>9.2857142857142856E-4</v>
      </c>
      <c r="T2660" s="8">
        <f>IF(Table1[[#This Row],[pledged]]=0,"no backers",Table1[[#This Row],[pledged]]/Table1[[#This Row],[backers_count]])</f>
        <v>22.75</v>
      </c>
      <c r="U2660" t="str">
        <f>LEFT(Table1[[#This Row],[Category and Sub-Category]],FIND("/",Table1[[#This Row],[Category and Sub-Category]])-1)</f>
        <v>technology</v>
      </c>
      <c r="V2660" t="str">
        <f>RIGHT(Table1[[#This Row],[Category and Sub-Category]],LEN(Table1[[#This Row],[Category and Sub-Category]])-FIND("/",Table1[[#This Row],[Category and Sub-Category]]))</f>
        <v>space exploration</v>
      </c>
    </row>
    <row r="2661" spans="1:22" x14ac:dyDescent="0.3">
      <c r="A2661">
        <v>2659</v>
      </c>
      <c r="B2661" s="3" t="s">
        <v>2659</v>
      </c>
      <c r="C2661" s="3" t="s">
        <v>6769</v>
      </c>
      <c r="D2661" s="12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>((Table1[[#This Row],[deadline]]/60)/60/24)+DATE(1970,1,1)</f>
        <v>42112.069560185191</v>
      </c>
      <c r="K2661">
        <v>1426729210</v>
      </c>
      <c r="L2661" s="11">
        <f>((Table1[[#This Row],[launched_at]]/60)/60/24)+DATE(1970,1,1)</f>
        <v>42082.069560185191</v>
      </c>
      <c r="M2661">
        <f>MONTH(Table1[[#This Row],[Date Created Conversion]])</f>
        <v>3</v>
      </c>
      <c r="N2661">
        <f>YEAR(Table1[[#This Row],[Date Created Conversion]])</f>
        <v>2015</v>
      </c>
      <c r="O2661" t="b">
        <v>0</v>
      </c>
      <c r="P2661">
        <v>10</v>
      </c>
      <c r="Q2661" t="b">
        <v>0</v>
      </c>
      <c r="R2661" t="s">
        <v>8301</v>
      </c>
      <c r="S2661" s="6">
        <f>Table1[[#This Row],[pledged]]/Table1[[#This Row],[goal]]</f>
        <v>2.720408163265306E-2</v>
      </c>
      <c r="T2661" s="8">
        <f>IF(Table1[[#This Row],[pledged]]=0,"no backers",Table1[[#This Row],[pledged]]/Table1[[#This Row],[backers_count]])</f>
        <v>133.30000000000001</v>
      </c>
      <c r="U2661" t="str">
        <f>LEFT(Table1[[#This Row],[Category and Sub-Category]],FIND("/",Table1[[#This Row],[Category and Sub-Category]])-1)</f>
        <v>technology</v>
      </c>
      <c r="V2661" t="str">
        <f>RIGHT(Table1[[#This Row],[Category and Sub-Category]],LEN(Table1[[#This Row],[Category and Sub-Category]])-FIND("/",Table1[[#This Row],[Category and Sub-Category]]))</f>
        <v>space exploration</v>
      </c>
    </row>
    <row r="2662" spans="1:22" ht="57.6" x14ac:dyDescent="0.3">
      <c r="A2662">
        <v>2660</v>
      </c>
      <c r="B2662" s="3" t="s">
        <v>2660</v>
      </c>
      <c r="C2662" s="3" t="s">
        <v>6770</v>
      </c>
      <c r="D2662" s="1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>((Table1[[#This Row],[deadline]]/60)/60/24)+DATE(1970,1,1)</f>
        <v>42332.754837962959</v>
      </c>
      <c r="K2662">
        <v>1443200818</v>
      </c>
      <c r="L2662" s="11">
        <f>((Table1[[#This Row],[launched_at]]/60)/60/24)+DATE(1970,1,1)</f>
        <v>42272.713171296295</v>
      </c>
      <c r="M2662">
        <f>MONTH(Table1[[#This Row],[Date Created Conversion]])</f>
        <v>9</v>
      </c>
      <c r="N2662">
        <f>YEAR(Table1[[#This Row],[Date Created Conversion]])</f>
        <v>2015</v>
      </c>
      <c r="O2662" t="b">
        <v>0</v>
      </c>
      <c r="P2662">
        <v>5</v>
      </c>
      <c r="Q2662" t="b">
        <v>0</v>
      </c>
      <c r="R2662" t="s">
        <v>8301</v>
      </c>
      <c r="S2662" s="6">
        <f>Table1[[#This Row],[pledged]]/Table1[[#This Row],[goal]]</f>
        <v>9.5E-4</v>
      </c>
      <c r="T2662" s="8">
        <f>IF(Table1[[#This Row],[pledged]]=0,"no backers",Table1[[#This Row],[pledged]]/Table1[[#This Row],[backers_count]])</f>
        <v>3.8</v>
      </c>
      <c r="U2662" t="str">
        <f>LEFT(Table1[[#This Row],[Category and Sub-Category]],FIND("/",Table1[[#This Row],[Category and Sub-Category]])-1)</f>
        <v>technology</v>
      </c>
      <c r="V2662" t="str">
        <f>RIGHT(Table1[[#This Row],[Category and Sub-Category]],LEN(Table1[[#This Row],[Category and Sub-Category]])-FIND("/",Table1[[#This Row],[Category and Sub-Category]]))</f>
        <v>space exploration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 s="12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>((Table1[[#This Row],[deadline]]/60)/60/24)+DATE(1970,1,1)</f>
        <v>41572.958449074074</v>
      </c>
      <c r="K2663">
        <v>1380150010</v>
      </c>
      <c r="L2663" s="11">
        <f>((Table1[[#This Row],[launched_at]]/60)/60/24)+DATE(1970,1,1)</f>
        <v>41542.958449074074</v>
      </c>
      <c r="M2663">
        <f>MONTH(Table1[[#This Row],[Date Created Conversion]])</f>
        <v>9</v>
      </c>
      <c r="N2663">
        <f>YEAR(Table1[[#This Row],[Date Created Conversion]])</f>
        <v>2013</v>
      </c>
      <c r="O2663" t="b">
        <v>0</v>
      </c>
      <c r="P2663">
        <v>60</v>
      </c>
      <c r="Q2663" t="b">
        <v>1</v>
      </c>
      <c r="R2663" t="s">
        <v>8302</v>
      </c>
      <c r="S2663" s="6">
        <f>Table1[[#This Row],[pledged]]/Table1[[#This Row],[goal]]</f>
        <v>1.0289999999999999</v>
      </c>
      <c r="T2663" s="8">
        <f>IF(Table1[[#This Row],[pledged]]=0,"no backers",Table1[[#This Row],[pledged]]/Table1[[#This Row],[backers_count]])</f>
        <v>85.75</v>
      </c>
      <c r="U2663" t="str">
        <f>LEFT(Table1[[#This Row],[Category and Sub-Category]],FIND("/",Table1[[#This Row],[Category and Sub-Category]])-1)</f>
        <v>technology</v>
      </c>
      <c r="V2663" t="str">
        <f>RIGHT(Table1[[#This Row],[Category and Sub-Category]],LEN(Table1[[#This Row],[Category and Sub-Category]])-FIND("/",Table1[[#This Row],[Category and Sub-Category]]))</f>
        <v>makerspaces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 s="12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>((Table1[[#This Row],[deadline]]/60)/60/24)+DATE(1970,1,1)</f>
        <v>42237.746678240743</v>
      </c>
      <c r="K2664">
        <v>1437587713</v>
      </c>
      <c r="L2664" s="11">
        <f>((Table1[[#This Row],[launched_at]]/60)/60/24)+DATE(1970,1,1)</f>
        <v>42207.746678240743</v>
      </c>
      <c r="M2664">
        <f>MONTH(Table1[[#This Row],[Date Created Conversion]])</f>
        <v>7</v>
      </c>
      <c r="N2664">
        <f>YEAR(Table1[[#This Row],[Date Created Conversion]])</f>
        <v>2015</v>
      </c>
      <c r="O2664" t="b">
        <v>0</v>
      </c>
      <c r="P2664">
        <v>80</v>
      </c>
      <c r="Q2664" t="b">
        <v>1</v>
      </c>
      <c r="R2664" t="s">
        <v>8302</v>
      </c>
      <c r="S2664" s="6">
        <f>Table1[[#This Row],[pledged]]/Table1[[#This Row],[goal]]</f>
        <v>1.0680000000000001</v>
      </c>
      <c r="T2664" s="8">
        <f>IF(Table1[[#This Row],[pledged]]=0,"no backers",Table1[[#This Row],[pledged]]/Table1[[#This Row],[backers_count]])</f>
        <v>267</v>
      </c>
      <c r="U2664" t="str">
        <f>LEFT(Table1[[#This Row],[Category and Sub-Category]],FIND("/",Table1[[#This Row],[Category and Sub-Category]])-1)</f>
        <v>technology</v>
      </c>
      <c r="V2664" t="str">
        <f>RIGHT(Table1[[#This Row],[Category and Sub-Category]],LEN(Table1[[#This Row],[Category and Sub-Category]])-FIND("/",Table1[[#This Row],[Category and Sub-Category]]))</f>
        <v>makerspaces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 s="12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>((Table1[[#This Row],[deadline]]/60)/60/24)+DATE(1970,1,1)</f>
        <v>42251.625</v>
      </c>
      <c r="K2665">
        <v>1438873007</v>
      </c>
      <c r="L2665" s="11">
        <f>((Table1[[#This Row],[launched_at]]/60)/60/24)+DATE(1970,1,1)</f>
        <v>42222.622766203705</v>
      </c>
      <c r="M2665">
        <f>MONTH(Table1[[#This Row],[Date Created Conversion]])</f>
        <v>8</v>
      </c>
      <c r="N2665">
        <f>YEAR(Table1[[#This Row],[Date Created Conversion]])</f>
        <v>2015</v>
      </c>
      <c r="O2665" t="b">
        <v>0</v>
      </c>
      <c r="P2665">
        <v>56</v>
      </c>
      <c r="Q2665" t="b">
        <v>1</v>
      </c>
      <c r="R2665" t="s">
        <v>8302</v>
      </c>
      <c r="S2665" s="6">
        <f>Table1[[#This Row],[pledged]]/Table1[[#This Row],[goal]]</f>
        <v>1.0459624999999999</v>
      </c>
      <c r="T2665" s="8">
        <f>IF(Table1[[#This Row],[pledged]]=0,"no backers",Table1[[#This Row],[pledged]]/Table1[[#This Row],[backers_count]])</f>
        <v>373.55803571428572</v>
      </c>
      <c r="U2665" t="str">
        <f>LEFT(Table1[[#This Row],[Category and Sub-Category]],FIND("/",Table1[[#This Row],[Category and Sub-Category]])-1)</f>
        <v>technology</v>
      </c>
      <c r="V2665" t="str">
        <f>RIGHT(Table1[[#This Row],[Category and Sub-Category]],LEN(Table1[[#This Row],[Category and Sub-Category]])-FIND("/",Table1[[#This Row],[Category and Sub-Category]]))</f>
        <v>makerspaces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 s="12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>((Table1[[#This Row],[deadline]]/60)/60/24)+DATE(1970,1,1)</f>
        <v>42347.290972222225</v>
      </c>
      <c r="K2666">
        <v>1446683797</v>
      </c>
      <c r="L2666" s="11">
        <f>((Table1[[#This Row],[launched_at]]/60)/60/24)+DATE(1970,1,1)</f>
        <v>42313.02542824074</v>
      </c>
      <c r="M2666">
        <f>MONTH(Table1[[#This Row],[Date Created Conversion]])</f>
        <v>11</v>
      </c>
      <c r="N2666">
        <f>YEAR(Table1[[#This Row],[Date Created Conversion]])</f>
        <v>2015</v>
      </c>
      <c r="O2666" t="b">
        <v>0</v>
      </c>
      <c r="P2666">
        <v>104</v>
      </c>
      <c r="Q2666" t="b">
        <v>1</v>
      </c>
      <c r="R2666" t="s">
        <v>8302</v>
      </c>
      <c r="S2666" s="6">
        <f>Table1[[#This Row],[pledged]]/Table1[[#This Row],[goal]]</f>
        <v>1.0342857142857143</v>
      </c>
      <c r="T2666" s="8">
        <f>IF(Table1[[#This Row],[pledged]]=0,"no backers",Table1[[#This Row],[pledged]]/Table1[[#This Row],[backers_count]])</f>
        <v>174.03846153846155</v>
      </c>
      <c r="U2666" t="str">
        <f>LEFT(Table1[[#This Row],[Category and Sub-Category]],FIND("/",Table1[[#This Row],[Category and Sub-Category]])-1)</f>
        <v>technology</v>
      </c>
      <c r="V2666" t="str">
        <f>RIGHT(Table1[[#This Row],[Category and Sub-Category]],LEN(Table1[[#This Row],[Category and Sub-Category]])-FIND("/",Table1[[#This Row],[Category and Sub-Category]]))</f>
        <v>makerspaces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 s="12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>((Table1[[#This Row],[deadline]]/60)/60/24)+DATE(1970,1,1)</f>
        <v>42128.895532407405</v>
      </c>
      <c r="K2667">
        <v>1426886974</v>
      </c>
      <c r="L2667" s="11">
        <f>((Table1[[#This Row],[launched_at]]/60)/60/24)+DATE(1970,1,1)</f>
        <v>42083.895532407405</v>
      </c>
      <c r="M2667">
        <f>MONTH(Table1[[#This Row],[Date Created Conversion]])</f>
        <v>3</v>
      </c>
      <c r="N2667">
        <f>YEAR(Table1[[#This Row],[Date Created Conversion]])</f>
        <v>2015</v>
      </c>
      <c r="O2667" t="b">
        <v>0</v>
      </c>
      <c r="P2667">
        <v>46</v>
      </c>
      <c r="Q2667" t="b">
        <v>1</v>
      </c>
      <c r="R2667" t="s">
        <v>8302</v>
      </c>
      <c r="S2667" s="6">
        <f>Table1[[#This Row],[pledged]]/Table1[[#This Row],[goal]]</f>
        <v>1.2314285714285715</v>
      </c>
      <c r="T2667" s="8">
        <f>IF(Table1[[#This Row],[pledged]]=0,"no backers",Table1[[#This Row],[pledged]]/Table1[[#This Row],[backers_count]])</f>
        <v>93.695652173913047</v>
      </c>
      <c r="U2667" t="str">
        <f>LEFT(Table1[[#This Row],[Category and Sub-Category]],FIND("/",Table1[[#This Row],[Category and Sub-Category]])-1)</f>
        <v>technology</v>
      </c>
      <c r="V2667" t="str">
        <f>RIGHT(Table1[[#This Row],[Category and Sub-Category]],LEN(Table1[[#This Row],[Category and Sub-Category]])-FIND("/",Table1[[#This Row],[Category and Sub-Category]]))</f>
        <v>makerspaces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 s="12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>((Table1[[#This Row],[deadline]]/60)/60/24)+DATE(1970,1,1)</f>
        <v>42272.875</v>
      </c>
      <c r="K2668">
        <v>1440008439</v>
      </c>
      <c r="L2668" s="11">
        <f>((Table1[[#This Row],[launched_at]]/60)/60/24)+DATE(1970,1,1)</f>
        <v>42235.764340277776</v>
      </c>
      <c r="M2668">
        <f>MONTH(Table1[[#This Row],[Date Created Conversion]])</f>
        <v>8</v>
      </c>
      <c r="N2668">
        <f>YEAR(Table1[[#This Row],[Date Created Conversion]])</f>
        <v>2015</v>
      </c>
      <c r="O2668" t="b">
        <v>0</v>
      </c>
      <c r="P2668">
        <v>206</v>
      </c>
      <c r="Q2668" t="b">
        <v>1</v>
      </c>
      <c r="R2668" t="s">
        <v>8302</v>
      </c>
      <c r="S2668" s="6">
        <f>Table1[[#This Row],[pledged]]/Table1[[#This Row],[goal]]</f>
        <v>1.592951</v>
      </c>
      <c r="T2668" s="8">
        <f>IF(Table1[[#This Row],[pledged]]=0,"no backers",Table1[[#This Row],[pledged]]/Table1[[#This Row],[backers_count]])</f>
        <v>77.327718446601949</v>
      </c>
      <c r="U2668" t="str">
        <f>LEFT(Table1[[#This Row],[Category and Sub-Category]],FIND("/",Table1[[#This Row],[Category and Sub-Category]])-1)</f>
        <v>technology</v>
      </c>
      <c r="V2668" t="str">
        <f>RIGHT(Table1[[#This Row],[Category and Sub-Category]],LEN(Table1[[#This Row],[Category and Sub-Category]])-FIND("/",Table1[[#This Row],[Category and Sub-Category]]))</f>
        <v>makerspaces</v>
      </c>
    </row>
    <row r="2669" spans="1:22" ht="57.6" x14ac:dyDescent="0.3">
      <c r="A2669">
        <v>2667</v>
      </c>
      <c r="B2669" s="3" t="s">
        <v>2667</v>
      </c>
      <c r="C2669" s="3" t="s">
        <v>6777</v>
      </c>
      <c r="D2669" s="12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>((Table1[[#This Row],[deadline]]/60)/60/24)+DATE(1970,1,1)</f>
        <v>42410.926111111112</v>
      </c>
      <c r="K2669">
        <v>1452550416</v>
      </c>
      <c r="L2669" s="11">
        <f>((Table1[[#This Row],[launched_at]]/60)/60/24)+DATE(1970,1,1)</f>
        <v>42380.926111111112</v>
      </c>
      <c r="M2669">
        <f>MONTH(Table1[[#This Row],[Date Created Conversion]])</f>
        <v>1</v>
      </c>
      <c r="N2669">
        <f>YEAR(Table1[[#This Row],[Date Created Conversion]])</f>
        <v>2016</v>
      </c>
      <c r="O2669" t="b">
        <v>0</v>
      </c>
      <c r="P2669">
        <v>18</v>
      </c>
      <c r="Q2669" t="b">
        <v>1</v>
      </c>
      <c r="R2669" t="s">
        <v>8302</v>
      </c>
      <c r="S2669" s="6">
        <f>Table1[[#This Row],[pledged]]/Table1[[#This Row],[goal]]</f>
        <v>1.1066666666666667</v>
      </c>
      <c r="T2669" s="8">
        <f>IF(Table1[[#This Row],[pledged]]=0,"no backers",Table1[[#This Row],[pledged]]/Table1[[#This Row],[backers_count]])</f>
        <v>92.222222222222229</v>
      </c>
      <c r="U2669" t="str">
        <f>LEFT(Table1[[#This Row],[Category and Sub-Category]],FIND("/",Table1[[#This Row],[Category and Sub-Category]])-1)</f>
        <v>technology</v>
      </c>
      <c r="V2669" t="str">
        <f>RIGHT(Table1[[#This Row],[Category and Sub-Category]],LEN(Table1[[#This Row],[Category and Sub-Category]])-FIND("/",Table1[[#This Row],[Category and Sub-Category]]))</f>
        <v>makerspaces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 s="12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>((Table1[[#This Row],[deadline]]/60)/60/24)+DATE(1970,1,1)</f>
        <v>42317.60555555555</v>
      </c>
      <c r="K2670">
        <v>1443449265</v>
      </c>
      <c r="L2670" s="11">
        <f>((Table1[[#This Row],[launched_at]]/60)/60/24)+DATE(1970,1,1)</f>
        <v>42275.588715277772</v>
      </c>
      <c r="M2670">
        <f>MONTH(Table1[[#This Row],[Date Created Conversion]])</f>
        <v>9</v>
      </c>
      <c r="N2670">
        <f>YEAR(Table1[[#This Row],[Date Created Conversion]])</f>
        <v>2015</v>
      </c>
      <c r="O2670" t="b">
        <v>0</v>
      </c>
      <c r="P2670">
        <v>28</v>
      </c>
      <c r="Q2670" t="b">
        <v>1</v>
      </c>
      <c r="R2670" t="s">
        <v>8302</v>
      </c>
      <c r="S2670" s="6">
        <f>Table1[[#This Row],[pledged]]/Table1[[#This Row],[goal]]</f>
        <v>1.7070000000000001</v>
      </c>
      <c r="T2670" s="8">
        <f>IF(Table1[[#This Row],[pledged]]=0,"no backers",Table1[[#This Row],[pledged]]/Table1[[#This Row],[backers_count]])</f>
        <v>60.964285714285715</v>
      </c>
      <c r="U2670" t="str">
        <f>LEFT(Table1[[#This Row],[Category and Sub-Category]],FIND("/",Table1[[#This Row],[Category and Sub-Category]])-1)</f>
        <v>technology</v>
      </c>
      <c r="V2670" t="str">
        <f>RIGHT(Table1[[#This Row],[Category and Sub-Category]],LEN(Table1[[#This Row],[Category and Sub-Category]])-FIND("/",Table1[[#This Row],[Category and Sub-Category]]))</f>
        <v>makerspaces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 s="12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>((Table1[[#This Row],[deadline]]/60)/60/24)+DATE(1970,1,1)</f>
        <v>42379.035833333335</v>
      </c>
      <c r="K2671">
        <v>1447203096</v>
      </c>
      <c r="L2671" s="11">
        <f>((Table1[[#This Row],[launched_at]]/60)/60/24)+DATE(1970,1,1)</f>
        <v>42319.035833333335</v>
      </c>
      <c r="M2671">
        <f>MONTH(Table1[[#This Row],[Date Created Conversion]])</f>
        <v>11</v>
      </c>
      <c r="N2671">
        <f>YEAR(Table1[[#This Row],[Date Created Conversion]])</f>
        <v>2015</v>
      </c>
      <c r="O2671" t="b">
        <v>0</v>
      </c>
      <c r="P2671">
        <v>11</v>
      </c>
      <c r="Q2671" t="b">
        <v>1</v>
      </c>
      <c r="R2671" t="s">
        <v>8302</v>
      </c>
      <c r="S2671" s="6">
        <f>Table1[[#This Row],[pledged]]/Table1[[#This Row],[goal]]</f>
        <v>1.25125</v>
      </c>
      <c r="T2671" s="8">
        <f>IF(Table1[[#This Row],[pledged]]=0,"no backers",Table1[[#This Row],[pledged]]/Table1[[#This Row],[backers_count]])</f>
        <v>91</v>
      </c>
      <c r="U2671" t="str">
        <f>LEFT(Table1[[#This Row],[Category and Sub-Category]],FIND("/",Table1[[#This Row],[Category and Sub-Category]])-1)</f>
        <v>technology</v>
      </c>
      <c r="V2671" t="str">
        <f>RIGHT(Table1[[#This Row],[Category and Sub-Category]],LEN(Table1[[#This Row],[Category and Sub-Category]])-FIND("/",Table1[[#This Row],[Category and Sub-Category]]))</f>
        <v>makerspaces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 s="1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>((Table1[[#This Row],[deadline]]/60)/60/24)+DATE(1970,1,1)</f>
        <v>41849.020601851851</v>
      </c>
      <c r="K2672">
        <v>1404174580</v>
      </c>
      <c r="L2672" s="11">
        <f>((Table1[[#This Row],[launched_at]]/60)/60/24)+DATE(1970,1,1)</f>
        <v>41821.020601851851</v>
      </c>
      <c r="M2672">
        <f>MONTH(Table1[[#This Row],[Date Created Conversion]])</f>
        <v>7</v>
      </c>
      <c r="N2672">
        <f>YEAR(Table1[[#This Row],[Date Created Conversion]])</f>
        <v>2014</v>
      </c>
      <c r="O2672" t="b">
        <v>1</v>
      </c>
      <c r="P2672">
        <v>60</v>
      </c>
      <c r="Q2672" t="b">
        <v>0</v>
      </c>
      <c r="R2672" t="s">
        <v>8302</v>
      </c>
      <c r="S2672" s="6">
        <f>Table1[[#This Row],[pledged]]/Table1[[#This Row],[goal]]</f>
        <v>6.4158609339642042E-2</v>
      </c>
      <c r="T2672" s="8">
        <f>IF(Table1[[#This Row],[pledged]]=0,"no backers",Table1[[#This Row],[pledged]]/Table1[[#This Row],[backers_count]])</f>
        <v>41.583333333333336</v>
      </c>
      <c r="U2672" t="str">
        <f>LEFT(Table1[[#This Row],[Category and Sub-Category]],FIND("/",Table1[[#This Row],[Category and Sub-Category]])-1)</f>
        <v>technology</v>
      </c>
      <c r="V2672" t="str">
        <f>RIGHT(Table1[[#This Row],[Category and Sub-Category]],LEN(Table1[[#This Row],[Category and Sub-Category]])-FIND("/",Table1[[#This Row],[Category and Sub-Category]]))</f>
        <v>makerspaces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 s="12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>((Table1[[#This Row],[deadline]]/60)/60/24)+DATE(1970,1,1)</f>
        <v>41992.818055555559</v>
      </c>
      <c r="K2673">
        <v>1416419916</v>
      </c>
      <c r="L2673" s="11">
        <f>((Table1[[#This Row],[launched_at]]/60)/60/24)+DATE(1970,1,1)</f>
        <v>41962.749027777783</v>
      </c>
      <c r="M2673">
        <f>MONTH(Table1[[#This Row],[Date Created Conversion]])</f>
        <v>11</v>
      </c>
      <c r="N2673">
        <f>YEAR(Table1[[#This Row],[Date Created Conversion]])</f>
        <v>2014</v>
      </c>
      <c r="O2673" t="b">
        <v>1</v>
      </c>
      <c r="P2673">
        <v>84</v>
      </c>
      <c r="Q2673" t="b">
        <v>0</v>
      </c>
      <c r="R2673" t="s">
        <v>8302</v>
      </c>
      <c r="S2673" s="6">
        <f>Table1[[#This Row],[pledged]]/Table1[[#This Row],[goal]]</f>
        <v>0.11344</v>
      </c>
      <c r="T2673" s="8">
        <f>IF(Table1[[#This Row],[pledged]]=0,"no backers",Table1[[#This Row],[pledged]]/Table1[[#This Row],[backers_count]])</f>
        <v>33.761904761904759</v>
      </c>
      <c r="U2673" t="str">
        <f>LEFT(Table1[[#This Row],[Category and Sub-Category]],FIND("/",Table1[[#This Row],[Category and Sub-Category]])-1)</f>
        <v>technology</v>
      </c>
      <c r="V2673" t="str">
        <f>RIGHT(Table1[[#This Row],[Category and Sub-Category]],LEN(Table1[[#This Row],[Category and Sub-Category]])-FIND("/",Table1[[#This Row],[Category and Sub-Category]]))</f>
        <v>makerspaces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 s="12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>((Table1[[#This Row],[deadline]]/60)/60/24)+DATE(1970,1,1)</f>
        <v>42366.25</v>
      </c>
      <c r="K2674">
        <v>1449436390</v>
      </c>
      <c r="L2674" s="11">
        <f>((Table1[[#This Row],[launched_at]]/60)/60/24)+DATE(1970,1,1)</f>
        <v>42344.884143518517</v>
      </c>
      <c r="M2674">
        <f>MONTH(Table1[[#This Row],[Date Created Conversion]])</f>
        <v>12</v>
      </c>
      <c r="N2674">
        <f>YEAR(Table1[[#This Row],[Date Created Conversion]])</f>
        <v>2015</v>
      </c>
      <c r="O2674" t="b">
        <v>1</v>
      </c>
      <c r="P2674">
        <v>47</v>
      </c>
      <c r="Q2674" t="b">
        <v>0</v>
      </c>
      <c r="R2674" t="s">
        <v>8302</v>
      </c>
      <c r="S2674" s="6">
        <f>Table1[[#This Row],[pledged]]/Table1[[#This Row],[goal]]</f>
        <v>0.33189999999999997</v>
      </c>
      <c r="T2674" s="8">
        <f>IF(Table1[[#This Row],[pledged]]=0,"no backers",Table1[[#This Row],[pledged]]/Table1[[#This Row],[backers_count]])</f>
        <v>70.61702127659575</v>
      </c>
      <c r="U2674" t="str">
        <f>LEFT(Table1[[#This Row],[Category and Sub-Category]],FIND("/",Table1[[#This Row],[Category and Sub-Category]])-1)</f>
        <v>technology</v>
      </c>
      <c r="V2674" t="str">
        <f>RIGHT(Table1[[#This Row],[Category and Sub-Category]],LEN(Table1[[#This Row],[Category and Sub-Category]])-FIND("/",Table1[[#This Row],[Category and Sub-Category]]))</f>
        <v>makerspaces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 s="12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>((Table1[[#This Row],[deadline]]/60)/60/24)+DATE(1970,1,1)</f>
        <v>41941.947916666664</v>
      </c>
      <c r="K2675">
        <v>1412081999</v>
      </c>
      <c r="L2675" s="11">
        <f>((Table1[[#This Row],[launched_at]]/60)/60/24)+DATE(1970,1,1)</f>
        <v>41912.541655092595</v>
      </c>
      <c r="M2675">
        <f>MONTH(Table1[[#This Row],[Date Created Conversion]])</f>
        <v>9</v>
      </c>
      <c r="N2675">
        <f>YEAR(Table1[[#This Row],[Date Created Conversion]])</f>
        <v>2014</v>
      </c>
      <c r="O2675" t="b">
        <v>1</v>
      </c>
      <c r="P2675">
        <v>66</v>
      </c>
      <c r="Q2675" t="b">
        <v>0</v>
      </c>
      <c r="R2675" t="s">
        <v>8302</v>
      </c>
      <c r="S2675" s="6">
        <f>Table1[[#This Row],[pledged]]/Table1[[#This Row],[goal]]</f>
        <v>0.27579999999999999</v>
      </c>
      <c r="T2675" s="8">
        <f>IF(Table1[[#This Row],[pledged]]=0,"no backers",Table1[[#This Row],[pledged]]/Table1[[#This Row],[backers_count]])</f>
        <v>167.15151515151516</v>
      </c>
      <c r="U2675" t="str">
        <f>LEFT(Table1[[#This Row],[Category and Sub-Category]],FIND("/",Table1[[#This Row],[Category and Sub-Category]])-1)</f>
        <v>technology</v>
      </c>
      <c r="V2675" t="str">
        <f>RIGHT(Table1[[#This Row],[Category and Sub-Category]],LEN(Table1[[#This Row],[Category and Sub-Category]])-FIND("/",Table1[[#This Row],[Category and Sub-Category]]))</f>
        <v>makerspaces</v>
      </c>
    </row>
    <row r="2676" spans="1:22" ht="57.6" x14ac:dyDescent="0.3">
      <c r="A2676">
        <v>2674</v>
      </c>
      <c r="B2676" s="3" t="s">
        <v>2674</v>
      </c>
      <c r="C2676" s="3" t="s">
        <v>6784</v>
      </c>
      <c r="D2676" s="12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>((Table1[[#This Row],[deadline]]/60)/60/24)+DATE(1970,1,1)</f>
        <v>42556.207638888889</v>
      </c>
      <c r="K2676">
        <v>1465398670</v>
      </c>
      <c r="L2676" s="11">
        <f>((Table1[[#This Row],[launched_at]]/60)/60/24)+DATE(1970,1,1)</f>
        <v>42529.632754629631</v>
      </c>
      <c r="M2676">
        <f>MONTH(Table1[[#This Row],[Date Created Conversion]])</f>
        <v>6</v>
      </c>
      <c r="N2676">
        <f>YEAR(Table1[[#This Row],[Date Created Conversion]])</f>
        <v>2016</v>
      </c>
      <c r="O2676" t="b">
        <v>1</v>
      </c>
      <c r="P2676">
        <v>171</v>
      </c>
      <c r="Q2676" t="b">
        <v>0</v>
      </c>
      <c r="R2676" t="s">
        <v>8302</v>
      </c>
      <c r="S2676" s="6">
        <f>Table1[[#This Row],[pledged]]/Table1[[#This Row],[goal]]</f>
        <v>0.62839999999999996</v>
      </c>
      <c r="T2676" s="8">
        <f>IF(Table1[[#This Row],[pledged]]=0,"no backers",Table1[[#This Row],[pledged]]/Table1[[#This Row],[backers_count]])</f>
        <v>128.61988304093566</v>
      </c>
      <c r="U2676" t="str">
        <f>LEFT(Table1[[#This Row],[Category and Sub-Category]],FIND("/",Table1[[#This Row],[Category and Sub-Category]])-1)</f>
        <v>technology</v>
      </c>
      <c r="V2676" t="str">
        <f>RIGHT(Table1[[#This Row],[Category and Sub-Category]],LEN(Table1[[#This Row],[Category and Sub-Category]])-FIND("/",Table1[[#This Row],[Category and Sub-Category]]))</f>
        <v>makerspaces</v>
      </c>
    </row>
    <row r="2677" spans="1:22" ht="57.6" x14ac:dyDescent="0.3">
      <c r="A2677">
        <v>2675</v>
      </c>
      <c r="B2677" s="3" t="s">
        <v>2675</v>
      </c>
      <c r="C2677" s="3" t="s">
        <v>6785</v>
      </c>
      <c r="D2677" s="12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>((Table1[[#This Row],[deadline]]/60)/60/24)+DATE(1970,1,1)</f>
        <v>41953.899178240739</v>
      </c>
      <c r="K2677">
        <v>1413059689</v>
      </c>
      <c r="L2677" s="11">
        <f>((Table1[[#This Row],[launched_at]]/60)/60/24)+DATE(1970,1,1)</f>
        <v>41923.857511574075</v>
      </c>
      <c r="M2677">
        <f>MONTH(Table1[[#This Row],[Date Created Conversion]])</f>
        <v>10</v>
      </c>
      <c r="N2677">
        <f>YEAR(Table1[[#This Row],[Date Created Conversion]])</f>
        <v>2014</v>
      </c>
      <c r="O2677" t="b">
        <v>1</v>
      </c>
      <c r="P2677">
        <v>29</v>
      </c>
      <c r="Q2677" t="b">
        <v>0</v>
      </c>
      <c r="R2677" t="s">
        <v>8302</v>
      </c>
      <c r="S2677" s="6">
        <f>Table1[[#This Row],[pledged]]/Table1[[#This Row],[goal]]</f>
        <v>7.5880000000000003E-2</v>
      </c>
      <c r="T2677" s="8">
        <f>IF(Table1[[#This Row],[pledged]]=0,"no backers",Table1[[#This Row],[pledged]]/Table1[[#This Row],[backers_count]])</f>
        <v>65.41379310344827</v>
      </c>
      <c r="U2677" t="str">
        <f>LEFT(Table1[[#This Row],[Category and Sub-Category]],FIND("/",Table1[[#This Row],[Category and Sub-Category]])-1)</f>
        <v>technology</v>
      </c>
      <c r="V2677" t="str">
        <f>RIGHT(Table1[[#This Row],[Category and Sub-Category]],LEN(Table1[[#This Row],[Category and Sub-Category]])-FIND("/",Table1[[#This Row],[Category and Sub-Category]]))</f>
        <v>makerspaces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 s="12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>((Table1[[#This Row],[deadline]]/60)/60/24)+DATE(1970,1,1)</f>
        <v>42512.624699074076</v>
      </c>
      <c r="K2678">
        <v>1461337174</v>
      </c>
      <c r="L2678" s="11">
        <f>((Table1[[#This Row],[launched_at]]/60)/60/24)+DATE(1970,1,1)</f>
        <v>42482.624699074076</v>
      </c>
      <c r="M2678">
        <f>MONTH(Table1[[#This Row],[Date Created Conversion]])</f>
        <v>4</v>
      </c>
      <c r="N2678">
        <f>YEAR(Table1[[#This Row],[Date Created Conversion]])</f>
        <v>2016</v>
      </c>
      <c r="O2678" t="b">
        <v>0</v>
      </c>
      <c r="P2678">
        <v>9</v>
      </c>
      <c r="Q2678" t="b">
        <v>0</v>
      </c>
      <c r="R2678" t="s">
        <v>8302</v>
      </c>
      <c r="S2678" s="6">
        <f>Table1[[#This Row],[pledged]]/Table1[[#This Row],[goal]]</f>
        <v>0.50380952380952382</v>
      </c>
      <c r="T2678" s="8">
        <f>IF(Table1[[#This Row],[pledged]]=0,"no backers",Table1[[#This Row],[pledged]]/Table1[[#This Row],[backers_count]])</f>
        <v>117.55555555555556</v>
      </c>
      <c r="U2678" t="str">
        <f>LEFT(Table1[[#This Row],[Category and Sub-Category]],FIND("/",Table1[[#This Row],[Category and Sub-Category]])-1)</f>
        <v>technology</v>
      </c>
      <c r="V2678" t="str">
        <f>RIGHT(Table1[[#This Row],[Category and Sub-Category]],LEN(Table1[[#This Row],[Category and Sub-Category]])-FIND("/",Table1[[#This Row],[Category and Sub-Category]]))</f>
        <v>makerspaces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 s="12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>((Table1[[#This Row],[deadline]]/60)/60/24)+DATE(1970,1,1)</f>
        <v>41823.029432870368</v>
      </c>
      <c r="K2679">
        <v>1401756143</v>
      </c>
      <c r="L2679" s="11">
        <f>((Table1[[#This Row],[launched_at]]/60)/60/24)+DATE(1970,1,1)</f>
        <v>41793.029432870368</v>
      </c>
      <c r="M2679">
        <f>MONTH(Table1[[#This Row],[Date Created Conversion]])</f>
        <v>6</v>
      </c>
      <c r="N2679">
        <f>YEAR(Table1[[#This Row],[Date Created Conversion]])</f>
        <v>2014</v>
      </c>
      <c r="O2679" t="b">
        <v>0</v>
      </c>
      <c r="P2679">
        <v>27</v>
      </c>
      <c r="Q2679" t="b">
        <v>0</v>
      </c>
      <c r="R2679" t="s">
        <v>8302</v>
      </c>
      <c r="S2679" s="6">
        <f>Table1[[#This Row],[pledged]]/Table1[[#This Row],[goal]]</f>
        <v>0.17512820512820512</v>
      </c>
      <c r="T2679" s="8">
        <f>IF(Table1[[#This Row],[pledged]]=0,"no backers",Table1[[#This Row],[pledged]]/Table1[[#This Row],[backers_count]])</f>
        <v>126.48148148148148</v>
      </c>
      <c r="U2679" t="str">
        <f>LEFT(Table1[[#This Row],[Category and Sub-Category]],FIND("/",Table1[[#This Row],[Category and Sub-Category]])-1)</f>
        <v>technology</v>
      </c>
      <c r="V2679" t="str">
        <f>RIGHT(Table1[[#This Row],[Category and Sub-Category]],LEN(Table1[[#This Row],[Category and Sub-Category]])-FIND("/",Table1[[#This Row],[Category and Sub-Category]]))</f>
        <v>makerspaces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 s="12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>((Table1[[#This Row],[deadline]]/60)/60/24)+DATE(1970,1,1)</f>
        <v>42271.798206018517</v>
      </c>
      <c r="K2680">
        <v>1440529765</v>
      </c>
      <c r="L2680" s="11">
        <f>((Table1[[#This Row],[launched_at]]/60)/60/24)+DATE(1970,1,1)</f>
        <v>42241.798206018517</v>
      </c>
      <c r="M2680">
        <f>MONTH(Table1[[#This Row],[Date Created Conversion]])</f>
        <v>8</v>
      </c>
      <c r="N2680">
        <f>YEAR(Table1[[#This Row],[Date Created Conversion]])</f>
        <v>2015</v>
      </c>
      <c r="O2680" t="b">
        <v>0</v>
      </c>
      <c r="P2680">
        <v>2</v>
      </c>
      <c r="Q2680" t="b">
        <v>0</v>
      </c>
      <c r="R2680" t="s">
        <v>8302</v>
      </c>
      <c r="S2680" s="6">
        <f>Table1[[#This Row],[pledged]]/Table1[[#This Row],[goal]]</f>
        <v>1.3750000000000001E-4</v>
      </c>
      <c r="T2680" s="8">
        <f>IF(Table1[[#This Row],[pledged]]=0,"no backers",Table1[[#This Row],[pledged]]/Table1[[#This Row],[backers_count]])</f>
        <v>550</v>
      </c>
      <c r="U2680" t="str">
        <f>LEFT(Table1[[#This Row],[Category and Sub-Category]],FIND("/",Table1[[#This Row],[Category and Sub-Category]])-1)</f>
        <v>technology</v>
      </c>
      <c r="V2680" t="str">
        <f>RIGHT(Table1[[#This Row],[Category and Sub-Category]],LEN(Table1[[#This Row],[Category and Sub-Category]])-FIND("/",Table1[[#This Row],[Category and Sub-Category]]))</f>
        <v>makerspaces</v>
      </c>
    </row>
    <row r="2681" spans="1:22" ht="57.6" x14ac:dyDescent="0.3">
      <c r="A2681">
        <v>2679</v>
      </c>
      <c r="B2681" s="3" t="s">
        <v>2679</v>
      </c>
      <c r="C2681" s="3" t="s">
        <v>6789</v>
      </c>
      <c r="D2681" s="12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>((Table1[[#This Row],[deadline]]/60)/60/24)+DATE(1970,1,1)</f>
        <v>42063.001087962963</v>
      </c>
      <c r="K2681">
        <v>1422489694</v>
      </c>
      <c r="L2681" s="11">
        <f>((Table1[[#This Row],[launched_at]]/60)/60/24)+DATE(1970,1,1)</f>
        <v>42033.001087962963</v>
      </c>
      <c r="M2681">
        <f>MONTH(Table1[[#This Row],[Date Created Conversion]])</f>
        <v>1</v>
      </c>
      <c r="N2681">
        <f>YEAR(Table1[[#This Row],[Date Created Conversion]])</f>
        <v>2015</v>
      </c>
      <c r="O2681" t="b">
        <v>0</v>
      </c>
      <c r="P2681">
        <v>3</v>
      </c>
      <c r="Q2681" t="b">
        <v>0</v>
      </c>
      <c r="R2681" t="s">
        <v>8302</v>
      </c>
      <c r="S2681" s="6">
        <f>Table1[[#This Row],[pledged]]/Table1[[#This Row],[goal]]</f>
        <v>3.3E-3</v>
      </c>
      <c r="T2681" s="8">
        <f>IF(Table1[[#This Row],[pledged]]=0,"no backers",Table1[[#This Row],[pledged]]/Table1[[#This Row],[backers_count]])</f>
        <v>44</v>
      </c>
      <c r="U2681" t="str">
        <f>LEFT(Table1[[#This Row],[Category and Sub-Category]],FIND("/",Table1[[#This Row],[Category and Sub-Category]])-1)</f>
        <v>technology</v>
      </c>
      <c r="V2681" t="str">
        <f>RIGHT(Table1[[#This Row],[Category and Sub-Category]],LEN(Table1[[#This Row],[Category and Sub-Category]])-FIND("/",Table1[[#This Row],[Category and Sub-Category]]))</f>
        <v>makerspaces</v>
      </c>
    </row>
    <row r="2682" spans="1:22" x14ac:dyDescent="0.3">
      <c r="A2682">
        <v>2680</v>
      </c>
      <c r="B2682" s="3" t="s">
        <v>2680</v>
      </c>
      <c r="C2682" s="3" t="s">
        <v>6790</v>
      </c>
      <c r="D2682" s="1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>((Table1[[#This Row],[deadline]]/60)/60/24)+DATE(1970,1,1)</f>
        <v>42466.170034722221</v>
      </c>
      <c r="K2682">
        <v>1457327091</v>
      </c>
      <c r="L2682" s="11">
        <f>((Table1[[#This Row],[launched_at]]/60)/60/24)+DATE(1970,1,1)</f>
        <v>42436.211701388893</v>
      </c>
      <c r="M2682">
        <f>MONTH(Table1[[#This Row],[Date Created Conversion]])</f>
        <v>3</v>
      </c>
      <c r="N2682">
        <f>YEAR(Table1[[#This Row],[Date Created Conversion]])</f>
        <v>2016</v>
      </c>
      <c r="O2682" t="b">
        <v>0</v>
      </c>
      <c r="P2682">
        <v>4</v>
      </c>
      <c r="Q2682" t="b">
        <v>0</v>
      </c>
      <c r="R2682" t="s">
        <v>8302</v>
      </c>
      <c r="S2682" s="6">
        <f>Table1[[#This Row],[pledged]]/Table1[[#This Row],[goal]]</f>
        <v>8.6250000000000007E-3</v>
      </c>
      <c r="T2682" s="8">
        <f>IF(Table1[[#This Row],[pledged]]=0,"no backers",Table1[[#This Row],[pledged]]/Table1[[#This Row],[backers_count]])</f>
        <v>69</v>
      </c>
      <c r="U2682" t="str">
        <f>LEFT(Table1[[#This Row],[Category and Sub-Category]],FIND("/",Table1[[#This Row],[Category and Sub-Category]])-1)</f>
        <v>technology</v>
      </c>
      <c r="V2682" t="str">
        <f>RIGHT(Table1[[#This Row],[Category and Sub-Category]],LEN(Table1[[#This Row],[Category and Sub-Category]])-FIND("/",Table1[[#This Row],[Category and Sub-Category]]))</f>
        <v>makerspaces</v>
      </c>
    </row>
    <row r="2683" spans="1:22" ht="43.2" x14ac:dyDescent="0.3">
      <c r="A2683">
        <v>2681</v>
      </c>
      <c r="B2683" s="3" t="s">
        <v>2681</v>
      </c>
      <c r="C2683" s="3" t="s">
        <v>6791</v>
      </c>
      <c r="D2683" s="12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>((Table1[[#This Row],[deadline]]/60)/60/24)+DATE(1970,1,1)</f>
        <v>41830.895254629628</v>
      </c>
      <c r="K2683">
        <v>1402867750</v>
      </c>
      <c r="L2683" s="11">
        <f>((Table1[[#This Row],[launched_at]]/60)/60/24)+DATE(1970,1,1)</f>
        <v>41805.895254629628</v>
      </c>
      <c r="M2683">
        <f>MONTH(Table1[[#This Row],[Date Created Conversion]])</f>
        <v>6</v>
      </c>
      <c r="N2683">
        <f>YEAR(Table1[[#This Row],[Date Created Conversion]])</f>
        <v>2014</v>
      </c>
      <c r="O2683" t="b">
        <v>0</v>
      </c>
      <c r="P2683">
        <v>2</v>
      </c>
      <c r="Q2683" t="b">
        <v>0</v>
      </c>
      <c r="R2683" t="s">
        <v>8284</v>
      </c>
      <c r="S2683" s="6">
        <f>Table1[[#This Row],[pledged]]/Table1[[#This Row],[goal]]</f>
        <v>6.875E-3</v>
      </c>
      <c r="T2683" s="8">
        <f>IF(Table1[[#This Row],[pledged]]=0,"no backers",Table1[[#This Row],[pledged]]/Table1[[#This Row],[backers_count]])</f>
        <v>27.5</v>
      </c>
      <c r="U2683" t="str">
        <f>LEFT(Table1[[#This Row],[Category and Sub-Category]],FIND("/",Table1[[#This Row],[Category and Sub-Category]])-1)</f>
        <v>food</v>
      </c>
      <c r="V2683" t="str">
        <f>RIGHT(Table1[[#This Row],[Category and Sub-Category]],LEN(Table1[[#This Row],[Category and Sub-Category]])-FIND("/",Table1[[#This Row],[Category and Sub-Category]]))</f>
        <v>food trucks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 s="12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>((Table1[[#This Row],[deadline]]/60)/60/24)+DATE(1970,1,1)</f>
        <v>41965.249305555553</v>
      </c>
      <c r="K2684">
        <v>1413838540</v>
      </c>
      <c r="L2684" s="11">
        <f>((Table1[[#This Row],[launched_at]]/60)/60/24)+DATE(1970,1,1)</f>
        <v>41932.871990740743</v>
      </c>
      <c r="M2684">
        <f>MONTH(Table1[[#This Row],[Date Created Conversion]])</f>
        <v>10</v>
      </c>
      <c r="N2684">
        <f>YEAR(Table1[[#This Row],[Date Created Conversion]])</f>
        <v>2014</v>
      </c>
      <c r="O2684" t="b">
        <v>0</v>
      </c>
      <c r="P2684">
        <v>20</v>
      </c>
      <c r="Q2684" t="b">
        <v>0</v>
      </c>
      <c r="R2684" t="s">
        <v>8284</v>
      </c>
      <c r="S2684" s="6">
        <f>Table1[[#This Row],[pledged]]/Table1[[#This Row],[goal]]</f>
        <v>0.28299999999999997</v>
      </c>
      <c r="T2684" s="8">
        <f>IF(Table1[[#This Row],[pledged]]=0,"no backers",Table1[[#This Row],[pledged]]/Table1[[#This Row],[backers_count]])</f>
        <v>84.9</v>
      </c>
      <c r="U2684" t="str">
        <f>LEFT(Table1[[#This Row],[Category and Sub-Category]],FIND("/",Table1[[#This Row],[Category and Sub-Category]])-1)</f>
        <v>food</v>
      </c>
      <c r="V2684" t="str">
        <f>RIGHT(Table1[[#This Row],[Category and Sub-Category]],LEN(Table1[[#This Row],[Category and Sub-Category]])-FIND("/",Table1[[#This Row],[Category and Sub-Category]]))</f>
        <v>food trucks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 s="12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>((Table1[[#This Row],[deadline]]/60)/60/24)+DATE(1970,1,1)</f>
        <v>42064.75509259259</v>
      </c>
      <c r="K2685">
        <v>1422641240</v>
      </c>
      <c r="L2685" s="11">
        <f>((Table1[[#This Row],[launched_at]]/60)/60/24)+DATE(1970,1,1)</f>
        <v>42034.75509259259</v>
      </c>
      <c r="M2685">
        <f>MONTH(Table1[[#This Row],[Date Created Conversion]])</f>
        <v>1</v>
      </c>
      <c r="N2685">
        <f>YEAR(Table1[[#This Row],[Date Created Conversion]])</f>
        <v>2015</v>
      </c>
      <c r="O2685" t="b">
        <v>0</v>
      </c>
      <c r="P2685">
        <v>3</v>
      </c>
      <c r="Q2685" t="b">
        <v>0</v>
      </c>
      <c r="R2685" t="s">
        <v>8284</v>
      </c>
      <c r="S2685" s="6">
        <f>Table1[[#This Row],[pledged]]/Table1[[#This Row],[goal]]</f>
        <v>2.3999999999999998E-3</v>
      </c>
      <c r="T2685" s="8">
        <f>IF(Table1[[#This Row],[pledged]]=0,"no backers",Table1[[#This Row],[pledged]]/Table1[[#This Row],[backers_count]])</f>
        <v>12</v>
      </c>
      <c r="U2685" t="str">
        <f>LEFT(Table1[[#This Row],[Category and Sub-Category]],FIND("/",Table1[[#This Row],[Category and Sub-Category]])-1)</f>
        <v>food</v>
      </c>
      <c r="V2685" t="str">
        <f>RIGHT(Table1[[#This Row],[Category and Sub-Category]],LEN(Table1[[#This Row],[Category and Sub-Category]])-FIND("/",Table1[[#This Row],[Category and Sub-Category]]))</f>
        <v>food trucks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 s="12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>((Table1[[#This Row],[deadline]]/60)/60/24)+DATE(1970,1,1)</f>
        <v>41860.914641203701</v>
      </c>
      <c r="K2686">
        <v>1404165425</v>
      </c>
      <c r="L2686" s="11">
        <f>((Table1[[#This Row],[launched_at]]/60)/60/24)+DATE(1970,1,1)</f>
        <v>41820.914641203701</v>
      </c>
      <c r="M2686">
        <f>MONTH(Table1[[#This Row],[Date Created Conversion]])</f>
        <v>6</v>
      </c>
      <c r="N2686">
        <f>YEAR(Table1[[#This Row],[Date Created Conversion]])</f>
        <v>2014</v>
      </c>
      <c r="O2686" t="b">
        <v>0</v>
      </c>
      <c r="P2686">
        <v>4</v>
      </c>
      <c r="Q2686" t="b">
        <v>0</v>
      </c>
      <c r="R2686" t="s">
        <v>8284</v>
      </c>
      <c r="S2686" s="6">
        <f>Table1[[#This Row],[pledged]]/Table1[[#This Row],[goal]]</f>
        <v>1.1428571428571429E-2</v>
      </c>
      <c r="T2686" s="8">
        <f>IF(Table1[[#This Row],[pledged]]=0,"no backers",Table1[[#This Row],[pledged]]/Table1[[#This Row],[backers_count]])</f>
        <v>200</v>
      </c>
      <c r="U2686" t="str">
        <f>LEFT(Table1[[#This Row],[Category and Sub-Category]],FIND("/",Table1[[#This Row],[Category and Sub-Category]])-1)</f>
        <v>food</v>
      </c>
      <c r="V2686" t="str">
        <f>RIGHT(Table1[[#This Row],[Category and Sub-Category]],LEN(Table1[[#This Row],[Category and Sub-Category]])-FIND("/",Table1[[#This Row],[Category and Sub-Category]]))</f>
        <v>food trucks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 s="12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>((Table1[[#This Row],[deadline]]/60)/60/24)+DATE(1970,1,1)</f>
        <v>42121.654282407413</v>
      </c>
      <c r="K2687">
        <v>1424968930</v>
      </c>
      <c r="L2687" s="11">
        <f>((Table1[[#This Row],[launched_at]]/60)/60/24)+DATE(1970,1,1)</f>
        <v>42061.69594907407</v>
      </c>
      <c r="M2687">
        <f>MONTH(Table1[[#This Row],[Date Created Conversion]])</f>
        <v>2</v>
      </c>
      <c r="N2687">
        <f>YEAR(Table1[[#This Row],[Date Created Conversion]])</f>
        <v>2015</v>
      </c>
      <c r="O2687" t="b">
        <v>0</v>
      </c>
      <c r="P2687">
        <v>1</v>
      </c>
      <c r="Q2687" t="b">
        <v>0</v>
      </c>
      <c r="R2687" t="s">
        <v>8284</v>
      </c>
      <c r="S2687" s="6">
        <f>Table1[[#This Row],[pledged]]/Table1[[#This Row],[goal]]</f>
        <v>2.0000000000000001E-4</v>
      </c>
      <c r="T2687" s="8">
        <f>IF(Table1[[#This Row],[pledged]]=0,"no backers",Table1[[#This Row],[pledged]]/Table1[[#This Row],[backers_count]])</f>
        <v>10</v>
      </c>
      <c r="U2687" t="str">
        <f>LEFT(Table1[[#This Row],[Category and Sub-Category]],FIND("/",Table1[[#This Row],[Category and Sub-Category]])-1)</f>
        <v>food</v>
      </c>
      <c r="V2687" t="str">
        <f>RIGHT(Table1[[#This Row],[Category and Sub-Category]],LEN(Table1[[#This Row],[Category and Sub-Category]])-FIND("/",Table1[[#This Row],[Category and Sub-Category]]))</f>
        <v>food trucks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 s="12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>((Table1[[#This Row],[deadline]]/60)/60/24)+DATE(1970,1,1)</f>
        <v>41912.974803240737</v>
      </c>
      <c r="K2688">
        <v>1410391423</v>
      </c>
      <c r="L2688" s="11">
        <f>((Table1[[#This Row],[launched_at]]/60)/60/24)+DATE(1970,1,1)</f>
        <v>41892.974803240737</v>
      </c>
      <c r="M2688">
        <f>MONTH(Table1[[#This Row],[Date Created Conversion]])</f>
        <v>9</v>
      </c>
      <c r="N2688">
        <f>YEAR(Table1[[#This Row],[Date Created Conversion]])</f>
        <v>2014</v>
      </c>
      <c r="O2688" t="b">
        <v>0</v>
      </c>
      <c r="P2688">
        <v>0</v>
      </c>
      <c r="Q2688" t="b">
        <v>0</v>
      </c>
      <c r="R2688" t="s">
        <v>8284</v>
      </c>
      <c r="S2688" s="6">
        <f>Table1[[#This Row],[pledged]]/Table1[[#This Row],[goal]]</f>
        <v>0</v>
      </c>
      <c r="T2688" s="8" t="str">
        <f>IF(Table1[[#This Row],[pledged]]=0,"no backers",Table1[[#This Row],[pledged]]/Table1[[#This Row],[backers_count]])</f>
        <v>no backers</v>
      </c>
      <c r="U2688" t="str">
        <f>LEFT(Table1[[#This Row],[Category and Sub-Category]],FIND("/",Table1[[#This Row],[Category and Sub-Category]])-1)</f>
        <v>food</v>
      </c>
      <c r="V2688" t="str">
        <f>RIGHT(Table1[[#This Row],[Category and Sub-Category]],LEN(Table1[[#This Row],[Category and Sub-Category]])-FIND("/",Table1[[#This Row],[Category and Sub-Category]]))</f>
        <v>food trucks</v>
      </c>
    </row>
    <row r="2689" spans="1:22" ht="43.2" x14ac:dyDescent="0.3">
      <c r="A2689">
        <v>2687</v>
      </c>
      <c r="B2689" s="3" t="s">
        <v>2687</v>
      </c>
      <c r="C2689" s="3" t="s">
        <v>6797</v>
      </c>
      <c r="D2689" s="12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>((Table1[[#This Row],[deadline]]/60)/60/24)+DATE(1970,1,1)</f>
        <v>42184.64025462963</v>
      </c>
      <c r="K2689">
        <v>1432999318</v>
      </c>
      <c r="L2689" s="11">
        <f>((Table1[[#This Row],[launched_at]]/60)/60/24)+DATE(1970,1,1)</f>
        <v>42154.64025462963</v>
      </c>
      <c r="M2689">
        <f>MONTH(Table1[[#This Row],[Date Created Conversion]])</f>
        <v>5</v>
      </c>
      <c r="N2689">
        <f>YEAR(Table1[[#This Row],[Date Created Conversion]])</f>
        <v>2015</v>
      </c>
      <c r="O2689" t="b">
        <v>0</v>
      </c>
      <c r="P2689">
        <v>0</v>
      </c>
      <c r="Q2689" t="b">
        <v>0</v>
      </c>
      <c r="R2689" t="s">
        <v>8284</v>
      </c>
      <c r="S2689" s="6">
        <f>Table1[[#This Row],[pledged]]/Table1[[#This Row],[goal]]</f>
        <v>0</v>
      </c>
      <c r="T2689" s="8" t="str">
        <f>IF(Table1[[#This Row],[pledged]]=0,"no backers",Table1[[#This Row],[pledged]]/Table1[[#This Row],[backers_count]])</f>
        <v>no backers</v>
      </c>
      <c r="U2689" t="str">
        <f>LEFT(Table1[[#This Row],[Category and Sub-Category]],FIND("/",Table1[[#This Row],[Category and Sub-Category]])-1)</f>
        <v>food</v>
      </c>
      <c r="V2689" t="str">
        <f>RIGHT(Table1[[#This Row],[Category and Sub-Category]],LEN(Table1[[#This Row],[Category and Sub-Category]])-FIND("/",Table1[[#This Row],[Category and Sub-Category]]))</f>
        <v>food trucks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 s="12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>((Table1[[#This Row],[deadline]]/60)/60/24)+DATE(1970,1,1)</f>
        <v>42059.125</v>
      </c>
      <c r="K2690">
        <v>1422067870</v>
      </c>
      <c r="L2690" s="11">
        <f>((Table1[[#This Row],[launched_at]]/60)/60/24)+DATE(1970,1,1)</f>
        <v>42028.118865740747</v>
      </c>
      <c r="M2690">
        <f>MONTH(Table1[[#This Row],[Date Created Conversion]])</f>
        <v>1</v>
      </c>
      <c r="N2690">
        <f>YEAR(Table1[[#This Row],[Date Created Conversion]])</f>
        <v>2015</v>
      </c>
      <c r="O2690" t="b">
        <v>0</v>
      </c>
      <c r="P2690">
        <v>14</v>
      </c>
      <c r="Q2690" t="b">
        <v>0</v>
      </c>
      <c r="R2690" t="s">
        <v>8284</v>
      </c>
      <c r="S2690" s="6">
        <f>Table1[[#This Row],[pledged]]/Table1[[#This Row],[goal]]</f>
        <v>1.48E-3</v>
      </c>
      <c r="T2690" s="8">
        <f>IF(Table1[[#This Row],[pledged]]=0,"no backers",Table1[[#This Row],[pledged]]/Table1[[#This Row],[backers_count]])</f>
        <v>5.2857142857142856</v>
      </c>
      <c r="U2690" t="str">
        <f>LEFT(Table1[[#This Row],[Category and Sub-Category]],FIND("/",Table1[[#This Row],[Category and Sub-Category]])-1)</f>
        <v>food</v>
      </c>
      <c r="V2690" t="str">
        <f>RIGHT(Table1[[#This Row],[Category and Sub-Category]],LEN(Table1[[#This Row],[Category and Sub-Category]])-FIND("/",Table1[[#This Row],[Category and Sub-Category]]))</f>
        <v>food trucks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 s="12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>((Table1[[#This Row],[deadline]]/60)/60/24)+DATE(1970,1,1)</f>
        <v>42581.961689814809</v>
      </c>
      <c r="K2691">
        <v>1467327890</v>
      </c>
      <c r="L2691" s="11">
        <f>((Table1[[#This Row],[launched_at]]/60)/60/24)+DATE(1970,1,1)</f>
        <v>42551.961689814809</v>
      </c>
      <c r="M2691">
        <f>MONTH(Table1[[#This Row],[Date Created Conversion]])</f>
        <v>6</v>
      </c>
      <c r="N2691">
        <f>YEAR(Table1[[#This Row],[Date Created Conversion]])</f>
        <v>2016</v>
      </c>
      <c r="O2691" t="b">
        <v>0</v>
      </c>
      <c r="P2691">
        <v>1</v>
      </c>
      <c r="Q2691" t="b">
        <v>0</v>
      </c>
      <c r="R2691" t="s">
        <v>8284</v>
      </c>
      <c r="S2691" s="6">
        <f>Table1[[#This Row],[pledged]]/Table1[[#This Row],[goal]]</f>
        <v>2.8571428571428571E-5</v>
      </c>
      <c r="T2691" s="8">
        <f>IF(Table1[[#This Row],[pledged]]=0,"no backers",Table1[[#This Row],[pledged]]/Table1[[#This Row],[backers_count]])</f>
        <v>1</v>
      </c>
      <c r="U2691" t="str">
        <f>LEFT(Table1[[#This Row],[Category and Sub-Category]],FIND("/",Table1[[#This Row],[Category and Sub-Category]])-1)</f>
        <v>food</v>
      </c>
      <c r="V2691" t="str">
        <f>RIGHT(Table1[[#This Row],[Category and Sub-Category]],LEN(Table1[[#This Row],[Category and Sub-Category]])-FIND("/",Table1[[#This Row],[Category and Sub-Category]]))</f>
        <v>food trucks</v>
      </c>
    </row>
    <row r="2692" spans="1:22" ht="57.6" x14ac:dyDescent="0.3">
      <c r="A2692">
        <v>2690</v>
      </c>
      <c r="B2692" s="3" t="s">
        <v>2690</v>
      </c>
      <c r="C2692" s="3" t="s">
        <v>6800</v>
      </c>
      <c r="D2692" s="1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>((Table1[[#This Row],[deadline]]/60)/60/24)+DATE(1970,1,1)</f>
        <v>42158.105046296296</v>
      </c>
      <c r="K2692">
        <v>1429410676</v>
      </c>
      <c r="L2692" s="11">
        <f>((Table1[[#This Row],[launched_at]]/60)/60/24)+DATE(1970,1,1)</f>
        <v>42113.105046296296</v>
      </c>
      <c r="M2692">
        <f>MONTH(Table1[[#This Row],[Date Created Conversion]])</f>
        <v>4</v>
      </c>
      <c r="N2692">
        <f>YEAR(Table1[[#This Row],[Date Created Conversion]])</f>
        <v>2015</v>
      </c>
      <c r="O2692" t="b">
        <v>0</v>
      </c>
      <c r="P2692">
        <v>118</v>
      </c>
      <c r="Q2692" t="b">
        <v>0</v>
      </c>
      <c r="R2692" t="s">
        <v>8284</v>
      </c>
      <c r="S2692" s="6">
        <f>Table1[[#This Row],[pledged]]/Table1[[#This Row],[goal]]</f>
        <v>0.107325</v>
      </c>
      <c r="T2692" s="8">
        <f>IF(Table1[[#This Row],[pledged]]=0,"no backers",Table1[[#This Row],[pledged]]/Table1[[#This Row],[backers_count]])</f>
        <v>72.762711864406782</v>
      </c>
      <c r="U2692" t="str">
        <f>LEFT(Table1[[#This Row],[Category and Sub-Category]],FIND("/",Table1[[#This Row],[Category and Sub-Category]])-1)</f>
        <v>food</v>
      </c>
      <c r="V2692" t="str">
        <f>RIGHT(Table1[[#This Row],[Category and Sub-Category]],LEN(Table1[[#This Row],[Category and Sub-Category]])-FIND("/",Table1[[#This Row],[Category and Sub-Category]]))</f>
        <v>food trucks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 s="12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>((Table1[[#This Row],[deadline]]/60)/60/24)+DATE(1970,1,1)</f>
        <v>42134.724039351851</v>
      </c>
      <c r="K2693">
        <v>1427390557</v>
      </c>
      <c r="L2693" s="11">
        <f>((Table1[[#This Row],[launched_at]]/60)/60/24)+DATE(1970,1,1)</f>
        <v>42089.724039351851</v>
      </c>
      <c r="M2693">
        <f>MONTH(Table1[[#This Row],[Date Created Conversion]])</f>
        <v>3</v>
      </c>
      <c r="N2693">
        <f>YEAR(Table1[[#This Row],[Date Created Conversion]])</f>
        <v>2015</v>
      </c>
      <c r="O2693" t="b">
        <v>0</v>
      </c>
      <c r="P2693">
        <v>2</v>
      </c>
      <c r="Q2693" t="b">
        <v>0</v>
      </c>
      <c r="R2693" t="s">
        <v>8284</v>
      </c>
      <c r="S2693" s="6">
        <f>Table1[[#This Row],[pledged]]/Table1[[#This Row],[goal]]</f>
        <v>5.3846153846153844E-4</v>
      </c>
      <c r="T2693" s="8">
        <f>IF(Table1[[#This Row],[pledged]]=0,"no backers",Table1[[#This Row],[pledged]]/Table1[[#This Row],[backers_count]])</f>
        <v>17.5</v>
      </c>
      <c r="U2693" t="str">
        <f>LEFT(Table1[[#This Row],[Category and Sub-Category]],FIND("/",Table1[[#This Row],[Category and Sub-Category]])-1)</f>
        <v>food</v>
      </c>
      <c r="V2693" t="str">
        <f>RIGHT(Table1[[#This Row],[Category and Sub-Category]],LEN(Table1[[#This Row],[Category and Sub-Category]])-FIND("/",Table1[[#This Row],[Category and Sub-Category]]))</f>
        <v>food trucks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 s="12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>((Table1[[#This Row],[deadline]]/60)/60/24)+DATE(1970,1,1)</f>
        <v>42088.292361111111</v>
      </c>
      <c r="K2694">
        <v>1424678460</v>
      </c>
      <c r="L2694" s="11">
        <f>((Table1[[#This Row],[launched_at]]/60)/60/24)+DATE(1970,1,1)</f>
        <v>42058.334027777775</v>
      </c>
      <c r="M2694">
        <f>MONTH(Table1[[#This Row],[Date Created Conversion]])</f>
        <v>2</v>
      </c>
      <c r="N2694">
        <f>YEAR(Table1[[#This Row],[Date Created Conversion]])</f>
        <v>2015</v>
      </c>
      <c r="O2694" t="b">
        <v>0</v>
      </c>
      <c r="P2694">
        <v>1</v>
      </c>
      <c r="Q2694" t="b">
        <v>0</v>
      </c>
      <c r="R2694" t="s">
        <v>8284</v>
      </c>
      <c r="S2694" s="6">
        <f>Table1[[#This Row],[pledged]]/Table1[[#This Row],[goal]]</f>
        <v>7.1428571428571426E-3</v>
      </c>
      <c r="T2694" s="8">
        <f>IF(Table1[[#This Row],[pledged]]=0,"no backers",Table1[[#This Row],[pledged]]/Table1[[#This Row],[backers_count]])</f>
        <v>25</v>
      </c>
      <c r="U2694" t="str">
        <f>LEFT(Table1[[#This Row],[Category and Sub-Category]],FIND("/",Table1[[#This Row],[Category and Sub-Category]])-1)</f>
        <v>food</v>
      </c>
      <c r="V2694" t="str">
        <f>RIGHT(Table1[[#This Row],[Category and Sub-Category]],LEN(Table1[[#This Row],[Category and Sub-Category]])-FIND("/",Table1[[#This Row],[Category and Sub-Category]]))</f>
        <v>food trucks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 s="12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>((Table1[[#This Row],[deadline]]/60)/60/24)+DATE(1970,1,1)</f>
        <v>41864.138495370367</v>
      </c>
      <c r="K2695">
        <v>1405307966</v>
      </c>
      <c r="L2695" s="11">
        <f>((Table1[[#This Row],[launched_at]]/60)/60/24)+DATE(1970,1,1)</f>
        <v>41834.138495370367</v>
      </c>
      <c r="M2695">
        <f>MONTH(Table1[[#This Row],[Date Created Conversion]])</f>
        <v>7</v>
      </c>
      <c r="N2695">
        <f>YEAR(Table1[[#This Row],[Date Created Conversion]])</f>
        <v>2014</v>
      </c>
      <c r="O2695" t="b">
        <v>0</v>
      </c>
      <c r="P2695">
        <v>3</v>
      </c>
      <c r="Q2695" t="b">
        <v>0</v>
      </c>
      <c r="R2695" t="s">
        <v>8284</v>
      </c>
      <c r="S2695" s="6">
        <f>Table1[[#This Row],[pledged]]/Table1[[#This Row],[goal]]</f>
        <v>8.0000000000000002E-3</v>
      </c>
      <c r="T2695" s="8">
        <f>IF(Table1[[#This Row],[pledged]]=0,"no backers",Table1[[#This Row],[pledged]]/Table1[[#This Row],[backers_count]])</f>
        <v>13.333333333333334</v>
      </c>
      <c r="U2695" t="str">
        <f>LEFT(Table1[[#This Row],[Category and Sub-Category]],FIND("/",Table1[[#This Row],[Category and Sub-Category]])-1)</f>
        <v>food</v>
      </c>
      <c r="V2695" t="str">
        <f>RIGHT(Table1[[#This Row],[Category and Sub-Category]],LEN(Table1[[#This Row],[Category and Sub-Category]])-FIND("/",Table1[[#This Row],[Category and Sub-Category]]))</f>
        <v>food trucks</v>
      </c>
    </row>
    <row r="2696" spans="1:22" ht="57.6" x14ac:dyDescent="0.3">
      <c r="A2696">
        <v>2694</v>
      </c>
      <c r="B2696" s="3" t="s">
        <v>2694</v>
      </c>
      <c r="C2696" s="3" t="s">
        <v>6804</v>
      </c>
      <c r="D2696" s="12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>((Table1[[#This Row],[deadline]]/60)/60/24)+DATE(1970,1,1)</f>
        <v>41908.140497685185</v>
      </c>
      <c r="K2696">
        <v>1409109739</v>
      </c>
      <c r="L2696" s="11">
        <f>((Table1[[#This Row],[launched_at]]/60)/60/24)+DATE(1970,1,1)</f>
        <v>41878.140497685185</v>
      </c>
      <c r="M2696">
        <f>MONTH(Table1[[#This Row],[Date Created Conversion]])</f>
        <v>8</v>
      </c>
      <c r="N2696">
        <f>YEAR(Table1[[#This Row],[Date Created Conversion]])</f>
        <v>2014</v>
      </c>
      <c r="O2696" t="b">
        <v>0</v>
      </c>
      <c r="P2696">
        <v>1</v>
      </c>
      <c r="Q2696" t="b">
        <v>0</v>
      </c>
      <c r="R2696" t="s">
        <v>8284</v>
      </c>
      <c r="S2696" s="6">
        <f>Table1[[#This Row],[pledged]]/Table1[[#This Row],[goal]]</f>
        <v>3.3333333333333335E-5</v>
      </c>
      <c r="T2696" s="8">
        <f>IF(Table1[[#This Row],[pledged]]=0,"no backers",Table1[[#This Row],[pledged]]/Table1[[#This Row],[backers_count]])</f>
        <v>1</v>
      </c>
      <c r="U2696" t="str">
        <f>LEFT(Table1[[#This Row],[Category and Sub-Category]],FIND("/",Table1[[#This Row],[Category and Sub-Category]])-1)</f>
        <v>food</v>
      </c>
      <c r="V2696" t="str">
        <f>RIGHT(Table1[[#This Row],[Category and Sub-Category]],LEN(Table1[[#This Row],[Category and Sub-Category]])-FIND("/",Table1[[#This Row],[Category and Sub-Category]]))</f>
        <v>food trucks</v>
      </c>
    </row>
    <row r="2697" spans="1:22" ht="43.2" x14ac:dyDescent="0.3">
      <c r="A2697">
        <v>2695</v>
      </c>
      <c r="B2697" s="3" t="s">
        <v>2695</v>
      </c>
      <c r="C2697" s="3" t="s">
        <v>6805</v>
      </c>
      <c r="D2697" s="12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>((Table1[[#This Row],[deadline]]/60)/60/24)+DATE(1970,1,1)</f>
        <v>42108.14025462963</v>
      </c>
      <c r="K2697">
        <v>1423801318</v>
      </c>
      <c r="L2697" s="11">
        <f>((Table1[[#This Row],[launched_at]]/60)/60/24)+DATE(1970,1,1)</f>
        <v>42048.181921296295</v>
      </c>
      <c r="M2697">
        <f>MONTH(Table1[[#This Row],[Date Created Conversion]])</f>
        <v>2</v>
      </c>
      <c r="N2697">
        <f>YEAR(Table1[[#This Row],[Date Created Conversion]])</f>
        <v>2015</v>
      </c>
      <c r="O2697" t="b">
        <v>0</v>
      </c>
      <c r="P2697">
        <v>3</v>
      </c>
      <c r="Q2697" t="b">
        <v>0</v>
      </c>
      <c r="R2697" t="s">
        <v>8284</v>
      </c>
      <c r="S2697" s="6">
        <f>Table1[[#This Row],[pledged]]/Table1[[#This Row],[goal]]</f>
        <v>4.7333333333333333E-3</v>
      </c>
      <c r="T2697" s="8">
        <f>IF(Table1[[#This Row],[pledged]]=0,"no backers",Table1[[#This Row],[pledged]]/Table1[[#This Row],[backers_count]])</f>
        <v>23.666666666666668</v>
      </c>
      <c r="U2697" t="str">
        <f>LEFT(Table1[[#This Row],[Category and Sub-Category]],FIND("/",Table1[[#This Row],[Category and Sub-Category]])-1)</f>
        <v>food</v>
      </c>
      <c r="V2697" t="str">
        <f>RIGHT(Table1[[#This Row],[Category and Sub-Category]],LEN(Table1[[#This Row],[Category and Sub-Category]])-FIND("/",Table1[[#This Row],[Category and Sub-Category]]))</f>
        <v>food trucks</v>
      </c>
    </row>
    <row r="2698" spans="1:22" ht="57.6" x14ac:dyDescent="0.3">
      <c r="A2698">
        <v>2696</v>
      </c>
      <c r="B2698" s="3" t="s">
        <v>2696</v>
      </c>
      <c r="C2698" s="3" t="s">
        <v>6806</v>
      </c>
      <c r="D2698" s="12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>((Table1[[#This Row],[deadline]]/60)/60/24)+DATE(1970,1,1)</f>
        <v>41998.844444444447</v>
      </c>
      <c r="K2698">
        <v>1416600960</v>
      </c>
      <c r="L2698" s="11">
        <f>((Table1[[#This Row],[launched_at]]/60)/60/24)+DATE(1970,1,1)</f>
        <v>41964.844444444447</v>
      </c>
      <c r="M2698">
        <f>MONTH(Table1[[#This Row],[Date Created Conversion]])</f>
        <v>11</v>
      </c>
      <c r="N2698">
        <f>YEAR(Table1[[#This Row],[Date Created Conversion]])</f>
        <v>2014</v>
      </c>
      <c r="O2698" t="b">
        <v>0</v>
      </c>
      <c r="P2698">
        <v>38</v>
      </c>
      <c r="Q2698" t="b">
        <v>0</v>
      </c>
      <c r="R2698" t="s">
        <v>8284</v>
      </c>
      <c r="S2698" s="6">
        <f>Table1[[#This Row],[pledged]]/Table1[[#This Row],[goal]]</f>
        <v>5.6500000000000002E-2</v>
      </c>
      <c r="T2698" s="8">
        <f>IF(Table1[[#This Row],[pledged]]=0,"no backers",Table1[[#This Row],[pledged]]/Table1[[#This Row],[backers_count]])</f>
        <v>89.21052631578948</v>
      </c>
      <c r="U2698" t="str">
        <f>LEFT(Table1[[#This Row],[Category and Sub-Category]],FIND("/",Table1[[#This Row],[Category and Sub-Category]])-1)</f>
        <v>food</v>
      </c>
      <c r="V2698" t="str">
        <f>RIGHT(Table1[[#This Row],[Category and Sub-Category]],LEN(Table1[[#This Row],[Category and Sub-Category]])-FIND("/",Table1[[#This Row],[Category and Sub-Category]]))</f>
        <v>food trucks</v>
      </c>
    </row>
    <row r="2699" spans="1:22" ht="43.2" x14ac:dyDescent="0.3">
      <c r="A2699">
        <v>2697</v>
      </c>
      <c r="B2699" s="3" t="s">
        <v>2697</v>
      </c>
      <c r="C2699" s="3" t="s">
        <v>6807</v>
      </c>
      <c r="D2699" s="12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>((Table1[[#This Row],[deadline]]/60)/60/24)+DATE(1970,1,1)</f>
        <v>42218.916666666672</v>
      </c>
      <c r="K2699">
        <v>1435876423</v>
      </c>
      <c r="L2699" s="11">
        <f>((Table1[[#This Row],[launched_at]]/60)/60/24)+DATE(1970,1,1)</f>
        <v>42187.940081018518</v>
      </c>
      <c r="M2699">
        <f>MONTH(Table1[[#This Row],[Date Created Conversion]])</f>
        <v>7</v>
      </c>
      <c r="N2699">
        <f>YEAR(Table1[[#This Row],[Date Created Conversion]])</f>
        <v>2015</v>
      </c>
      <c r="O2699" t="b">
        <v>0</v>
      </c>
      <c r="P2699">
        <v>52</v>
      </c>
      <c r="Q2699" t="b">
        <v>0</v>
      </c>
      <c r="R2699" t="s">
        <v>8284</v>
      </c>
      <c r="S2699" s="6">
        <f>Table1[[#This Row],[pledged]]/Table1[[#This Row],[goal]]</f>
        <v>0.26352173913043481</v>
      </c>
      <c r="T2699" s="8">
        <f>IF(Table1[[#This Row],[pledged]]=0,"no backers",Table1[[#This Row],[pledged]]/Table1[[#This Row],[backers_count]])</f>
        <v>116.55769230769231</v>
      </c>
      <c r="U2699" t="str">
        <f>LEFT(Table1[[#This Row],[Category and Sub-Category]],FIND("/",Table1[[#This Row],[Category and Sub-Category]])-1)</f>
        <v>food</v>
      </c>
      <c r="V2699" t="str">
        <f>RIGHT(Table1[[#This Row],[Category and Sub-Category]],LEN(Table1[[#This Row],[Category and Sub-Category]])-FIND("/",Table1[[#This Row],[Category and Sub-Category]]))</f>
        <v>food trucks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 s="12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>((Table1[[#This Row],[deadline]]/60)/60/24)+DATE(1970,1,1)</f>
        <v>41817.898240740738</v>
      </c>
      <c r="K2700">
        <v>1401312808</v>
      </c>
      <c r="L2700" s="11">
        <f>((Table1[[#This Row],[launched_at]]/60)/60/24)+DATE(1970,1,1)</f>
        <v>41787.898240740738</v>
      </c>
      <c r="M2700">
        <f>MONTH(Table1[[#This Row],[Date Created Conversion]])</f>
        <v>5</v>
      </c>
      <c r="N2700">
        <f>YEAR(Table1[[#This Row],[Date Created Conversion]])</f>
        <v>2014</v>
      </c>
      <c r="O2700" t="b">
        <v>0</v>
      </c>
      <c r="P2700">
        <v>2</v>
      </c>
      <c r="Q2700" t="b">
        <v>0</v>
      </c>
      <c r="R2700" t="s">
        <v>8284</v>
      </c>
      <c r="S2700" s="6">
        <f>Table1[[#This Row],[pledged]]/Table1[[#This Row],[goal]]</f>
        <v>3.2512500000000002E-3</v>
      </c>
      <c r="T2700" s="8">
        <f>IF(Table1[[#This Row],[pledged]]=0,"no backers",Table1[[#This Row],[pledged]]/Table1[[#This Row],[backers_count]])</f>
        <v>13.005000000000001</v>
      </c>
      <c r="U2700" t="str">
        <f>LEFT(Table1[[#This Row],[Category and Sub-Category]],FIND("/",Table1[[#This Row],[Category and Sub-Category]])-1)</f>
        <v>food</v>
      </c>
      <c r="V2700" t="str">
        <f>RIGHT(Table1[[#This Row],[Category and Sub-Category]],LEN(Table1[[#This Row],[Category and Sub-Category]])-FIND("/",Table1[[#This Row],[Category and Sub-Category]]))</f>
        <v>food trucks</v>
      </c>
    </row>
    <row r="2701" spans="1:22" ht="43.2" x14ac:dyDescent="0.3">
      <c r="A2701">
        <v>2699</v>
      </c>
      <c r="B2701" s="3" t="s">
        <v>2699</v>
      </c>
      <c r="C2701" s="3" t="s">
        <v>6809</v>
      </c>
      <c r="D2701" s="12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>((Table1[[#This Row],[deadline]]/60)/60/24)+DATE(1970,1,1)</f>
        <v>41859.896562499998</v>
      </c>
      <c r="K2701">
        <v>1404941463</v>
      </c>
      <c r="L2701" s="11">
        <f>((Table1[[#This Row],[launched_at]]/60)/60/24)+DATE(1970,1,1)</f>
        <v>41829.896562499998</v>
      </c>
      <c r="M2701">
        <f>MONTH(Table1[[#This Row],[Date Created Conversion]])</f>
        <v>7</v>
      </c>
      <c r="N2701">
        <f>YEAR(Table1[[#This Row],[Date Created Conversion]])</f>
        <v>2014</v>
      </c>
      <c r="O2701" t="b">
        <v>0</v>
      </c>
      <c r="P2701">
        <v>0</v>
      </c>
      <c r="Q2701" t="b">
        <v>0</v>
      </c>
      <c r="R2701" t="s">
        <v>8284</v>
      </c>
      <c r="S2701" s="6">
        <f>Table1[[#This Row],[pledged]]/Table1[[#This Row],[goal]]</f>
        <v>0</v>
      </c>
      <c r="T2701" s="8" t="str">
        <f>IF(Table1[[#This Row],[pledged]]=0,"no backers",Table1[[#This Row],[pledged]]/Table1[[#This Row],[backers_count]])</f>
        <v>no backers</v>
      </c>
      <c r="U2701" t="str">
        <f>LEFT(Table1[[#This Row],[Category and Sub-Category]],FIND("/",Table1[[#This Row],[Category and Sub-Category]])-1)</f>
        <v>food</v>
      </c>
      <c r="V2701" t="str">
        <f>RIGHT(Table1[[#This Row],[Category and Sub-Category]],LEN(Table1[[#This Row],[Category and Sub-Category]])-FIND("/",Table1[[#This Row],[Category and Sub-Category]]))</f>
        <v>food trucks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 s="1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>((Table1[[#This Row],[deadline]]/60)/60/24)+DATE(1970,1,1)</f>
        <v>41900.87467592593</v>
      </c>
      <c r="K2702">
        <v>1408481972</v>
      </c>
      <c r="L2702" s="11">
        <f>((Table1[[#This Row],[launched_at]]/60)/60/24)+DATE(1970,1,1)</f>
        <v>41870.87467592593</v>
      </c>
      <c r="M2702">
        <f>MONTH(Table1[[#This Row],[Date Created Conversion]])</f>
        <v>8</v>
      </c>
      <c r="N2702">
        <f>YEAR(Table1[[#This Row],[Date Created Conversion]])</f>
        <v>2014</v>
      </c>
      <c r="O2702" t="b">
        <v>0</v>
      </c>
      <c r="P2702">
        <v>4</v>
      </c>
      <c r="Q2702" t="b">
        <v>0</v>
      </c>
      <c r="R2702" t="s">
        <v>8284</v>
      </c>
      <c r="S2702" s="6">
        <f>Table1[[#This Row],[pledged]]/Table1[[#This Row],[goal]]</f>
        <v>7.0007000700070005E-3</v>
      </c>
      <c r="T2702" s="8">
        <f>IF(Table1[[#This Row],[pledged]]=0,"no backers",Table1[[#This Row],[pledged]]/Table1[[#This Row],[backers_count]])</f>
        <v>17.5</v>
      </c>
      <c r="U2702" t="str">
        <f>LEFT(Table1[[#This Row],[Category and Sub-Category]],FIND("/",Table1[[#This Row],[Category and Sub-Category]])-1)</f>
        <v>food</v>
      </c>
      <c r="V2702" t="str">
        <f>RIGHT(Table1[[#This Row],[Category and Sub-Category]],LEN(Table1[[#This Row],[Category and Sub-Category]])-FIND("/",Table1[[#This Row],[Category and Sub-Category]]))</f>
        <v>food trucks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 s="12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>((Table1[[#This Row],[deadline]]/60)/60/24)+DATE(1970,1,1)</f>
        <v>42832.733032407406</v>
      </c>
      <c r="K2703">
        <v>1488911734</v>
      </c>
      <c r="L2703" s="11">
        <f>((Table1[[#This Row],[launched_at]]/60)/60/24)+DATE(1970,1,1)</f>
        <v>42801.774699074071</v>
      </c>
      <c r="M2703">
        <f>MONTH(Table1[[#This Row],[Date Created Conversion]])</f>
        <v>3</v>
      </c>
      <c r="N2703">
        <f>YEAR(Table1[[#This Row],[Date Created Conversion]])</f>
        <v>2017</v>
      </c>
      <c r="O2703" t="b">
        <v>0</v>
      </c>
      <c r="P2703">
        <v>46</v>
      </c>
      <c r="Q2703" t="b">
        <v>0</v>
      </c>
      <c r="R2703" t="s">
        <v>8303</v>
      </c>
      <c r="S2703" s="6">
        <f>Table1[[#This Row],[pledged]]/Table1[[#This Row],[goal]]</f>
        <v>0.46176470588235297</v>
      </c>
      <c r="T2703" s="8">
        <f>IF(Table1[[#This Row],[pledged]]=0,"no backers",Table1[[#This Row],[pledged]]/Table1[[#This Row],[backers_count]])</f>
        <v>34.130434782608695</v>
      </c>
      <c r="U2703" t="str">
        <f>LEFT(Table1[[#This Row],[Category and Sub-Category]],FIND("/",Table1[[#This Row],[Category and Sub-Category]])-1)</f>
        <v>theater</v>
      </c>
      <c r="V2703" t="str">
        <f>RIGHT(Table1[[#This Row],[Category and Sub-Category]],LEN(Table1[[#This Row],[Category and Sub-Category]])-FIND("/",Table1[[#This Row],[Category and Sub-Category]]))</f>
        <v>spaces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 s="12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>((Table1[[#This Row],[deadline]]/60)/60/24)+DATE(1970,1,1)</f>
        <v>42830.760150462964</v>
      </c>
      <c r="K2704">
        <v>1488827677</v>
      </c>
      <c r="L2704" s="11">
        <f>((Table1[[#This Row],[launched_at]]/60)/60/24)+DATE(1970,1,1)</f>
        <v>42800.801817129628</v>
      </c>
      <c r="M2704">
        <f>MONTH(Table1[[#This Row],[Date Created Conversion]])</f>
        <v>3</v>
      </c>
      <c r="N2704">
        <f>YEAR(Table1[[#This Row],[Date Created Conversion]])</f>
        <v>2017</v>
      </c>
      <c r="O2704" t="b">
        <v>1</v>
      </c>
      <c r="P2704">
        <v>26</v>
      </c>
      <c r="Q2704" t="b">
        <v>0</v>
      </c>
      <c r="R2704" t="s">
        <v>8303</v>
      </c>
      <c r="S2704" s="6">
        <f>Table1[[#This Row],[pledged]]/Table1[[#This Row],[goal]]</f>
        <v>0.34410000000000002</v>
      </c>
      <c r="T2704" s="8">
        <f>IF(Table1[[#This Row],[pledged]]=0,"no backers",Table1[[#This Row],[pledged]]/Table1[[#This Row],[backers_count]])</f>
        <v>132.34615384615384</v>
      </c>
      <c r="U2704" t="str">
        <f>LEFT(Table1[[#This Row],[Category and Sub-Category]],FIND("/",Table1[[#This Row],[Category and Sub-Category]])-1)</f>
        <v>theater</v>
      </c>
      <c r="V2704" t="str">
        <f>RIGHT(Table1[[#This Row],[Category and Sub-Category]],LEN(Table1[[#This Row],[Category and Sub-Category]])-FIND("/",Table1[[#This Row],[Category and Sub-Category]]))</f>
        <v>spaces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 s="12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>((Table1[[#This Row],[deadline]]/60)/60/24)+DATE(1970,1,1)</f>
        <v>42816.648495370369</v>
      </c>
      <c r="K2705">
        <v>1485016430</v>
      </c>
      <c r="L2705" s="11">
        <f>((Table1[[#This Row],[launched_at]]/60)/60/24)+DATE(1970,1,1)</f>
        <v>42756.690162037034</v>
      </c>
      <c r="M2705">
        <f>MONTH(Table1[[#This Row],[Date Created Conversion]])</f>
        <v>1</v>
      </c>
      <c r="N2705">
        <f>YEAR(Table1[[#This Row],[Date Created Conversion]])</f>
        <v>2017</v>
      </c>
      <c r="O2705" t="b">
        <v>0</v>
      </c>
      <c r="P2705">
        <v>45</v>
      </c>
      <c r="Q2705" t="b">
        <v>0</v>
      </c>
      <c r="R2705" t="s">
        <v>8303</v>
      </c>
      <c r="S2705" s="6">
        <f>Table1[[#This Row],[pledged]]/Table1[[#This Row],[goal]]</f>
        <v>1.0375000000000001</v>
      </c>
      <c r="T2705" s="8">
        <f>IF(Table1[[#This Row],[pledged]]=0,"no backers",Table1[[#This Row],[pledged]]/Table1[[#This Row],[backers_count]])</f>
        <v>922.22222222222217</v>
      </c>
      <c r="U2705" t="str">
        <f>LEFT(Table1[[#This Row],[Category and Sub-Category]],FIND("/",Table1[[#This Row],[Category and Sub-Category]])-1)</f>
        <v>theater</v>
      </c>
      <c r="V2705" t="str">
        <f>RIGHT(Table1[[#This Row],[Category and Sub-Category]],LEN(Table1[[#This Row],[Category and Sub-Category]])-FIND("/",Table1[[#This Row],[Category and Sub-Category]]))</f>
        <v>spaces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 s="12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>((Table1[[#This Row],[deadline]]/60)/60/24)+DATE(1970,1,1)</f>
        <v>42830.820763888885</v>
      </c>
      <c r="K2706">
        <v>1487709714</v>
      </c>
      <c r="L2706" s="11">
        <f>((Table1[[#This Row],[launched_at]]/60)/60/24)+DATE(1970,1,1)</f>
        <v>42787.862430555557</v>
      </c>
      <c r="M2706">
        <f>MONTH(Table1[[#This Row],[Date Created Conversion]])</f>
        <v>2</v>
      </c>
      <c r="N2706">
        <f>YEAR(Table1[[#This Row],[Date Created Conversion]])</f>
        <v>2017</v>
      </c>
      <c r="O2706" t="b">
        <v>0</v>
      </c>
      <c r="P2706">
        <v>7</v>
      </c>
      <c r="Q2706" t="b">
        <v>0</v>
      </c>
      <c r="R2706" t="s">
        <v>8303</v>
      </c>
      <c r="S2706" s="6">
        <f>Table1[[#This Row],[pledged]]/Table1[[#This Row],[goal]]</f>
        <v>6.0263157894736845E-2</v>
      </c>
      <c r="T2706" s="8">
        <f>IF(Table1[[#This Row],[pledged]]=0,"no backers",Table1[[#This Row],[pledged]]/Table1[[#This Row],[backers_count]])</f>
        <v>163.57142857142858</v>
      </c>
      <c r="U2706" t="str">
        <f>LEFT(Table1[[#This Row],[Category and Sub-Category]],FIND("/",Table1[[#This Row],[Category and Sub-Category]])-1)</f>
        <v>theater</v>
      </c>
      <c r="V2706" t="str">
        <f>RIGHT(Table1[[#This Row],[Category and Sub-Category]],LEN(Table1[[#This Row],[Category and Sub-Category]])-FIND("/",Table1[[#This Row],[Category and Sub-Category]]))</f>
        <v>spaces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 s="12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>((Table1[[#This Row],[deadline]]/60)/60/24)+DATE(1970,1,1)</f>
        <v>42818.874513888892</v>
      </c>
      <c r="K2707">
        <v>1486504758</v>
      </c>
      <c r="L2707" s="11">
        <f>((Table1[[#This Row],[launched_at]]/60)/60/24)+DATE(1970,1,1)</f>
        <v>42773.916180555556</v>
      </c>
      <c r="M2707">
        <f>MONTH(Table1[[#This Row],[Date Created Conversion]])</f>
        <v>2</v>
      </c>
      <c r="N2707">
        <f>YEAR(Table1[[#This Row],[Date Created Conversion]])</f>
        <v>2017</v>
      </c>
      <c r="O2707" t="b">
        <v>0</v>
      </c>
      <c r="P2707">
        <v>8</v>
      </c>
      <c r="Q2707" t="b">
        <v>0</v>
      </c>
      <c r="R2707" t="s">
        <v>8303</v>
      </c>
      <c r="S2707" s="6">
        <f>Table1[[#This Row],[pledged]]/Table1[[#This Row],[goal]]</f>
        <v>0.10539393939393939</v>
      </c>
      <c r="T2707" s="8">
        <f>IF(Table1[[#This Row],[pledged]]=0,"no backers",Table1[[#This Row],[pledged]]/Table1[[#This Row],[backers_count]])</f>
        <v>217.375</v>
      </c>
      <c r="U2707" t="str">
        <f>LEFT(Table1[[#This Row],[Category and Sub-Category]],FIND("/",Table1[[#This Row],[Category and Sub-Category]])-1)</f>
        <v>theater</v>
      </c>
      <c r="V2707" t="str">
        <f>RIGHT(Table1[[#This Row],[Category and Sub-Category]],LEN(Table1[[#This Row],[Category and Sub-Category]])-FIND("/",Table1[[#This Row],[Category and Sub-Category]]))</f>
        <v>spaces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 s="12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>((Table1[[#This Row],[deadline]]/60)/60/24)+DATE(1970,1,1)</f>
        <v>41928.290972222225</v>
      </c>
      <c r="K2708">
        <v>1410937483</v>
      </c>
      <c r="L2708" s="11">
        <f>((Table1[[#This Row],[launched_at]]/60)/60/24)+DATE(1970,1,1)</f>
        <v>41899.294942129629</v>
      </c>
      <c r="M2708">
        <f>MONTH(Table1[[#This Row],[Date Created Conversion]])</f>
        <v>9</v>
      </c>
      <c r="N2708">
        <f>YEAR(Table1[[#This Row],[Date Created Conversion]])</f>
        <v>2014</v>
      </c>
      <c r="O2708" t="b">
        <v>1</v>
      </c>
      <c r="P2708">
        <v>263</v>
      </c>
      <c r="Q2708" t="b">
        <v>1</v>
      </c>
      <c r="R2708" t="s">
        <v>8303</v>
      </c>
      <c r="S2708" s="6">
        <f>Table1[[#This Row],[pledged]]/Table1[[#This Row],[goal]]</f>
        <v>1.1229714285714285</v>
      </c>
      <c r="T2708" s="8">
        <f>IF(Table1[[#This Row],[pledged]]=0,"no backers",Table1[[#This Row],[pledged]]/Table1[[#This Row],[backers_count]])</f>
        <v>149.44486692015209</v>
      </c>
      <c r="U2708" t="str">
        <f>LEFT(Table1[[#This Row],[Category and Sub-Category]],FIND("/",Table1[[#This Row],[Category and Sub-Category]])-1)</f>
        <v>theater</v>
      </c>
      <c r="V2708" t="str">
        <f>RIGHT(Table1[[#This Row],[Category and Sub-Category]],LEN(Table1[[#This Row],[Category and Sub-Category]])-FIND("/",Table1[[#This Row],[Category and Sub-Category]]))</f>
        <v>spaces</v>
      </c>
    </row>
    <row r="2709" spans="1:22" ht="43.2" x14ac:dyDescent="0.3">
      <c r="A2709">
        <v>2707</v>
      </c>
      <c r="B2709" s="3" t="s">
        <v>2707</v>
      </c>
      <c r="C2709" s="3" t="s">
        <v>6817</v>
      </c>
      <c r="D2709" s="12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>((Table1[[#This Row],[deadline]]/60)/60/24)+DATE(1970,1,1)</f>
        <v>41421.290972222225</v>
      </c>
      <c r="K2709">
        <v>1367088443</v>
      </c>
      <c r="L2709" s="11">
        <f>((Table1[[#This Row],[launched_at]]/60)/60/24)+DATE(1970,1,1)</f>
        <v>41391.782905092594</v>
      </c>
      <c r="M2709">
        <f>MONTH(Table1[[#This Row],[Date Created Conversion]])</f>
        <v>4</v>
      </c>
      <c r="N2709">
        <f>YEAR(Table1[[#This Row],[Date Created Conversion]])</f>
        <v>2013</v>
      </c>
      <c r="O2709" t="b">
        <v>1</v>
      </c>
      <c r="P2709">
        <v>394</v>
      </c>
      <c r="Q2709" t="b">
        <v>1</v>
      </c>
      <c r="R2709" t="s">
        <v>8303</v>
      </c>
      <c r="S2709" s="6">
        <f>Table1[[#This Row],[pledged]]/Table1[[#This Row],[goal]]</f>
        <v>3.50844625</v>
      </c>
      <c r="T2709" s="8">
        <f>IF(Table1[[#This Row],[pledged]]=0,"no backers",Table1[[#This Row],[pledged]]/Table1[[#This Row],[backers_count]])</f>
        <v>71.237487309644663</v>
      </c>
      <c r="U2709" t="str">
        <f>LEFT(Table1[[#This Row],[Category and Sub-Category]],FIND("/",Table1[[#This Row],[Category and Sub-Category]])-1)</f>
        <v>theater</v>
      </c>
      <c r="V2709" t="str">
        <f>RIGHT(Table1[[#This Row],[Category and Sub-Category]],LEN(Table1[[#This Row],[Category and Sub-Category]])-FIND("/",Table1[[#This Row],[Category and Sub-Category]]))</f>
        <v>spaces</v>
      </c>
    </row>
    <row r="2710" spans="1:22" ht="43.2" x14ac:dyDescent="0.3">
      <c r="A2710">
        <v>2708</v>
      </c>
      <c r="B2710" s="3" t="s">
        <v>2708</v>
      </c>
      <c r="C2710" s="3" t="s">
        <v>6818</v>
      </c>
      <c r="D2710" s="12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>((Table1[[#This Row],[deadline]]/60)/60/24)+DATE(1970,1,1)</f>
        <v>42572.698217592595</v>
      </c>
      <c r="K2710">
        <v>1463935526</v>
      </c>
      <c r="L2710" s="11">
        <f>((Table1[[#This Row],[launched_at]]/60)/60/24)+DATE(1970,1,1)</f>
        <v>42512.698217592595</v>
      </c>
      <c r="M2710">
        <f>MONTH(Table1[[#This Row],[Date Created Conversion]])</f>
        <v>5</v>
      </c>
      <c r="N2710">
        <f>YEAR(Table1[[#This Row],[Date Created Conversion]])</f>
        <v>2016</v>
      </c>
      <c r="O2710" t="b">
        <v>1</v>
      </c>
      <c r="P2710">
        <v>1049</v>
      </c>
      <c r="Q2710" t="b">
        <v>1</v>
      </c>
      <c r="R2710" t="s">
        <v>8303</v>
      </c>
      <c r="S2710" s="6">
        <f>Table1[[#This Row],[pledged]]/Table1[[#This Row],[goal]]</f>
        <v>2.3321535</v>
      </c>
      <c r="T2710" s="8">
        <f>IF(Table1[[#This Row],[pledged]]=0,"no backers",Table1[[#This Row],[pledged]]/Table1[[#This Row],[backers_count]])</f>
        <v>44.464318398474738</v>
      </c>
      <c r="U2710" t="str">
        <f>LEFT(Table1[[#This Row],[Category and Sub-Category]],FIND("/",Table1[[#This Row],[Category and Sub-Category]])-1)</f>
        <v>theater</v>
      </c>
      <c r="V2710" t="str">
        <f>RIGHT(Table1[[#This Row],[Category and Sub-Category]],LEN(Table1[[#This Row],[Category and Sub-Category]])-FIND("/",Table1[[#This Row],[Category and Sub-Category]]))</f>
        <v>spaces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 s="12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>((Table1[[#This Row],[deadline]]/60)/60/24)+DATE(1970,1,1)</f>
        <v>42647.165972222225</v>
      </c>
      <c r="K2711">
        <v>1472528141</v>
      </c>
      <c r="L2711" s="11">
        <f>((Table1[[#This Row],[launched_at]]/60)/60/24)+DATE(1970,1,1)</f>
        <v>42612.149780092594</v>
      </c>
      <c r="M2711">
        <f>MONTH(Table1[[#This Row],[Date Created Conversion]])</f>
        <v>8</v>
      </c>
      <c r="N2711">
        <f>YEAR(Table1[[#This Row],[Date Created Conversion]])</f>
        <v>2016</v>
      </c>
      <c r="O2711" t="b">
        <v>1</v>
      </c>
      <c r="P2711">
        <v>308</v>
      </c>
      <c r="Q2711" t="b">
        <v>1</v>
      </c>
      <c r="R2711" t="s">
        <v>8303</v>
      </c>
      <c r="S2711" s="6">
        <f>Table1[[#This Row],[pledged]]/Table1[[#This Row],[goal]]</f>
        <v>1.01606</v>
      </c>
      <c r="T2711" s="8">
        <f>IF(Table1[[#This Row],[pledged]]=0,"no backers",Table1[[#This Row],[pledged]]/Table1[[#This Row],[backers_count]])</f>
        <v>164.94480519480518</v>
      </c>
      <c r="U2711" t="str">
        <f>LEFT(Table1[[#This Row],[Category and Sub-Category]],FIND("/",Table1[[#This Row],[Category and Sub-Category]])-1)</f>
        <v>theater</v>
      </c>
      <c r="V2711" t="str">
        <f>RIGHT(Table1[[#This Row],[Category and Sub-Category]],LEN(Table1[[#This Row],[Category and Sub-Category]])-FIND("/",Table1[[#This Row],[Category and Sub-Category]]))</f>
        <v>spaces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 s="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>((Table1[[#This Row],[deadline]]/60)/60/24)+DATE(1970,1,1)</f>
        <v>41860.083333333336</v>
      </c>
      <c r="K2712">
        <v>1404797428</v>
      </c>
      <c r="L2712" s="11">
        <f>((Table1[[#This Row],[launched_at]]/60)/60/24)+DATE(1970,1,1)</f>
        <v>41828.229490740741</v>
      </c>
      <c r="M2712">
        <f>MONTH(Table1[[#This Row],[Date Created Conversion]])</f>
        <v>7</v>
      </c>
      <c r="N2712">
        <f>YEAR(Table1[[#This Row],[Date Created Conversion]])</f>
        <v>2014</v>
      </c>
      <c r="O2712" t="b">
        <v>1</v>
      </c>
      <c r="P2712">
        <v>1088</v>
      </c>
      <c r="Q2712" t="b">
        <v>1</v>
      </c>
      <c r="R2712" t="s">
        <v>8303</v>
      </c>
      <c r="S2712" s="6">
        <f>Table1[[#This Row],[pledged]]/Table1[[#This Row],[goal]]</f>
        <v>1.5390035000000002</v>
      </c>
      <c r="T2712" s="8">
        <f>IF(Table1[[#This Row],[pledged]]=0,"no backers",Table1[[#This Row],[pledged]]/Table1[[#This Row],[backers_count]])</f>
        <v>84.871516544117654</v>
      </c>
      <c r="U2712" t="str">
        <f>LEFT(Table1[[#This Row],[Category and Sub-Category]],FIND("/",Table1[[#This Row],[Category and Sub-Category]])-1)</f>
        <v>theater</v>
      </c>
      <c r="V2712" t="str">
        <f>RIGHT(Table1[[#This Row],[Category and Sub-Category]],LEN(Table1[[#This Row],[Category and Sub-Category]])-FIND("/",Table1[[#This Row],[Category and Sub-Category]]))</f>
        <v>spaces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 s="12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>((Table1[[#This Row],[deadline]]/60)/60/24)+DATE(1970,1,1)</f>
        <v>41810.917361111111</v>
      </c>
      <c r="K2713">
        <v>1400694790</v>
      </c>
      <c r="L2713" s="11">
        <f>((Table1[[#This Row],[launched_at]]/60)/60/24)+DATE(1970,1,1)</f>
        <v>41780.745254629634</v>
      </c>
      <c r="M2713">
        <f>MONTH(Table1[[#This Row],[Date Created Conversion]])</f>
        <v>5</v>
      </c>
      <c r="N2713">
        <f>YEAR(Table1[[#This Row],[Date Created Conversion]])</f>
        <v>2014</v>
      </c>
      <c r="O2713" t="b">
        <v>1</v>
      </c>
      <c r="P2713">
        <v>73</v>
      </c>
      <c r="Q2713" t="b">
        <v>1</v>
      </c>
      <c r="R2713" t="s">
        <v>8303</v>
      </c>
      <c r="S2713" s="6">
        <f>Table1[[#This Row],[pledged]]/Table1[[#This Row],[goal]]</f>
        <v>1.007161125319693</v>
      </c>
      <c r="T2713" s="8">
        <f>IF(Table1[[#This Row],[pledged]]=0,"no backers",Table1[[#This Row],[pledged]]/Table1[[#This Row],[backers_count]])</f>
        <v>53.945205479452056</v>
      </c>
      <c r="U2713" t="str">
        <f>LEFT(Table1[[#This Row],[Category and Sub-Category]],FIND("/",Table1[[#This Row],[Category and Sub-Category]])-1)</f>
        <v>theater</v>
      </c>
      <c r="V2713" t="str">
        <f>RIGHT(Table1[[#This Row],[Category and Sub-Category]],LEN(Table1[[#This Row],[Category and Sub-Category]])-FIND("/",Table1[[#This Row],[Category and Sub-Category]]))</f>
        <v>spaces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 s="12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>((Table1[[#This Row],[deadline]]/60)/60/24)+DATE(1970,1,1)</f>
        <v>41468.75</v>
      </c>
      <c r="K2714">
        <v>1370568560</v>
      </c>
      <c r="L2714" s="11">
        <f>((Table1[[#This Row],[launched_at]]/60)/60/24)+DATE(1970,1,1)</f>
        <v>41432.062037037038</v>
      </c>
      <c r="M2714">
        <f>MONTH(Table1[[#This Row],[Date Created Conversion]])</f>
        <v>6</v>
      </c>
      <c r="N2714">
        <f>YEAR(Table1[[#This Row],[Date Created Conversion]])</f>
        <v>2013</v>
      </c>
      <c r="O2714" t="b">
        <v>1</v>
      </c>
      <c r="P2714">
        <v>143</v>
      </c>
      <c r="Q2714" t="b">
        <v>1</v>
      </c>
      <c r="R2714" t="s">
        <v>8303</v>
      </c>
      <c r="S2714" s="6">
        <f>Table1[[#This Row],[pledged]]/Table1[[#This Row],[goal]]</f>
        <v>1.3138181818181818</v>
      </c>
      <c r="T2714" s="8">
        <f>IF(Table1[[#This Row],[pledged]]=0,"no backers",Table1[[#This Row],[pledged]]/Table1[[#This Row],[backers_count]])</f>
        <v>50.531468531468533</v>
      </c>
      <c r="U2714" t="str">
        <f>LEFT(Table1[[#This Row],[Category and Sub-Category]],FIND("/",Table1[[#This Row],[Category and Sub-Category]])-1)</f>
        <v>theater</v>
      </c>
      <c r="V2714" t="str">
        <f>RIGHT(Table1[[#This Row],[Category and Sub-Category]],LEN(Table1[[#This Row],[Category and Sub-Category]])-FIND("/",Table1[[#This Row],[Category and Sub-Category]]))</f>
        <v>spaces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 s="12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>((Table1[[#This Row],[deadline]]/60)/60/24)+DATE(1970,1,1)</f>
        <v>42362.653749999998</v>
      </c>
      <c r="K2715">
        <v>1447515684</v>
      </c>
      <c r="L2715" s="11">
        <f>((Table1[[#This Row],[launched_at]]/60)/60/24)+DATE(1970,1,1)</f>
        <v>42322.653749999998</v>
      </c>
      <c r="M2715">
        <f>MONTH(Table1[[#This Row],[Date Created Conversion]])</f>
        <v>11</v>
      </c>
      <c r="N2715">
        <f>YEAR(Table1[[#This Row],[Date Created Conversion]])</f>
        <v>2015</v>
      </c>
      <c r="O2715" t="b">
        <v>1</v>
      </c>
      <c r="P2715">
        <v>1420</v>
      </c>
      <c r="Q2715" t="b">
        <v>1</v>
      </c>
      <c r="R2715" t="s">
        <v>8303</v>
      </c>
      <c r="S2715" s="6">
        <f>Table1[[#This Row],[pledged]]/Table1[[#This Row],[goal]]</f>
        <v>1.0224133333333334</v>
      </c>
      <c r="T2715" s="8">
        <f>IF(Table1[[#This Row],[pledged]]=0,"no backers",Table1[[#This Row],[pledged]]/Table1[[#This Row],[backers_count]])</f>
        <v>108.00140845070422</v>
      </c>
      <c r="U2715" t="str">
        <f>LEFT(Table1[[#This Row],[Category and Sub-Category]],FIND("/",Table1[[#This Row],[Category and Sub-Category]])-1)</f>
        <v>theater</v>
      </c>
      <c r="V2715" t="str">
        <f>RIGHT(Table1[[#This Row],[Category and Sub-Category]],LEN(Table1[[#This Row],[Category and Sub-Category]])-FIND("/",Table1[[#This Row],[Category and Sub-Category]]))</f>
        <v>spaces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 s="12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>((Table1[[#This Row],[deadline]]/60)/60/24)+DATE(1970,1,1)</f>
        <v>42657.958333333328</v>
      </c>
      <c r="K2716">
        <v>1474040596</v>
      </c>
      <c r="L2716" s="11">
        <f>((Table1[[#This Row],[launched_at]]/60)/60/24)+DATE(1970,1,1)</f>
        <v>42629.655046296291</v>
      </c>
      <c r="M2716">
        <f>MONTH(Table1[[#This Row],[Date Created Conversion]])</f>
        <v>9</v>
      </c>
      <c r="N2716">
        <f>YEAR(Table1[[#This Row],[Date Created Conversion]])</f>
        <v>2016</v>
      </c>
      <c r="O2716" t="b">
        <v>1</v>
      </c>
      <c r="P2716">
        <v>305</v>
      </c>
      <c r="Q2716" t="b">
        <v>1</v>
      </c>
      <c r="R2716" t="s">
        <v>8303</v>
      </c>
      <c r="S2716" s="6">
        <f>Table1[[#This Row],[pledged]]/Table1[[#This Row],[goal]]</f>
        <v>1.1635599999999999</v>
      </c>
      <c r="T2716" s="8">
        <f>IF(Table1[[#This Row],[pledged]]=0,"no backers",Table1[[#This Row],[pledged]]/Table1[[#This Row],[backers_count]])</f>
        <v>95.373770491803285</v>
      </c>
      <c r="U2716" t="str">
        <f>LEFT(Table1[[#This Row],[Category and Sub-Category]],FIND("/",Table1[[#This Row],[Category and Sub-Category]])-1)</f>
        <v>theater</v>
      </c>
      <c r="V2716" t="str">
        <f>RIGHT(Table1[[#This Row],[Category and Sub-Category]],LEN(Table1[[#This Row],[Category and Sub-Category]])-FIND("/",Table1[[#This Row],[Category and Sub-Category]]))</f>
        <v>spaces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 s="12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>((Table1[[#This Row],[deadline]]/60)/60/24)+DATE(1970,1,1)</f>
        <v>42421.398472222223</v>
      </c>
      <c r="K2717">
        <v>1453109628</v>
      </c>
      <c r="L2717" s="11">
        <f>((Table1[[#This Row],[launched_at]]/60)/60/24)+DATE(1970,1,1)</f>
        <v>42387.398472222223</v>
      </c>
      <c r="M2717">
        <f>MONTH(Table1[[#This Row],[Date Created Conversion]])</f>
        <v>1</v>
      </c>
      <c r="N2717">
        <f>YEAR(Table1[[#This Row],[Date Created Conversion]])</f>
        <v>2016</v>
      </c>
      <c r="O2717" t="b">
        <v>1</v>
      </c>
      <c r="P2717">
        <v>551</v>
      </c>
      <c r="Q2717" t="b">
        <v>1</v>
      </c>
      <c r="R2717" t="s">
        <v>8303</v>
      </c>
      <c r="S2717" s="6">
        <f>Table1[[#This Row],[pledged]]/Table1[[#This Row],[goal]]</f>
        <v>2.6462241666666664</v>
      </c>
      <c r="T2717" s="8">
        <f>IF(Table1[[#This Row],[pledged]]=0,"no backers",Table1[[#This Row],[pledged]]/Table1[[#This Row],[backers_count]])</f>
        <v>57.631016333938291</v>
      </c>
      <c r="U2717" t="str">
        <f>LEFT(Table1[[#This Row],[Category and Sub-Category]],FIND("/",Table1[[#This Row],[Category and Sub-Category]])-1)</f>
        <v>theater</v>
      </c>
      <c r="V2717" t="str">
        <f>RIGHT(Table1[[#This Row],[Category and Sub-Category]],LEN(Table1[[#This Row],[Category and Sub-Category]])-FIND("/",Table1[[#This Row],[Category and Sub-Category]]))</f>
        <v>spaces</v>
      </c>
    </row>
    <row r="2718" spans="1:22" ht="72" x14ac:dyDescent="0.3">
      <c r="A2718">
        <v>2716</v>
      </c>
      <c r="B2718" s="3" t="s">
        <v>2716</v>
      </c>
      <c r="C2718" s="3" t="s">
        <v>6826</v>
      </c>
      <c r="D2718" s="12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>((Table1[[#This Row],[deadline]]/60)/60/24)+DATE(1970,1,1)</f>
        <v>42285.333252314813</v>
      </c>
      <c r="K2718">
        <v>1441699193</v>
      </c>
      <c r="L2718" s="11">
        <f>((Table1[[#This Row],[launched_at]]/60)/60/24)+DATE(1970,1,1)</f>
        <v>42255.333252314813</v>
      </c>
      <c r="M2718">
        <f>MONTH(Table1[[#This Row],[Date Created Conversion]])</f>
        <v>9</v>
      </c>
      <c r="N2718">
        <f>YEAR(Table1[[#This Row],[Date Created Conversion]])</f>
        <v>2015</v>
      </c>
      <c r="O2718" t="b">
        <v>1</v>
      </c>
      <c r="P2718">
        <v>187</v>
      </c>
      <c r="Q2718" t="b">
        <v>1</v>
      </c>
      <c r="R2718" t="s">
        <v>8303</v>
      </c>
      <c r="S2718" s="6">
        <f>Table1[[#This Row],[pledged]]/Table1[[#This Row],[goal]]</f>
        <v>1.1998010000000001</v>
      </c>
      <c r="T2718" s="8">
        <f>IF(Table1[[#This Row],[pledged]]=0,"no backers",Table1[[#This Row],[pledged]]/Table1[[#This Row],[backers_count]])</f>
        <v>64.160481283422456</v>
      </c>
      <c r="U2718" t="str">
        <f>LEFT(Table1[[#This Row],[Category and Sub-Category]],FIND("/",Table1[[#This Row],[Category and Sub-Category]])-1)</f>
        <v>theater</v>
      </c>
      <c r="V2718" t="str">
        <f>RIGHT(Table1[[#This Row],[Category and Sub-Category]],LEN(Table1[[#This Row],[Category and Sub-Category]])-FIND("/",Table1[[#This Row],[Category and Sub-Category]]))</f>
        <v>spaces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 s="12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>((Table1[[#This Row],[deadline]]/60)/60/24)+DATE(1970,1,1)</f>
        <v>41979.956585648149</v>
      </c>
      <c r="K2719">
        <v>1414015049</v>
      </c>
      <c r="L2719" s="11">
        <f>((Table1[[#This Row],[launched_at]]/60)/60/24)+DATE(1970,1,1)</f>
        <v>41934.914918981485</v>
      </c>
      <c r="M2719">
        <f>MONTH(Table1[[#This Row],[Date Created Conversion]])</f>
        <v>10</v>
      </c>
      <c r="N2719">
        <f>YEAR(Table1[[#This Row],[Date Created Conversion]])</f>
        <v>2014</v>
      </c>
      <c r="O2719" t="b">
        <v>1</v>
      </c>
      <c r="P2719">
        <v>325</v>
      </c>
      <c r="Q2719" t="b">
        <v>1</v>
      </c>
      <c r="R2719" t="s">
        <v>8303</v>
      </c>
      <c r="S2719" s="6">
        <f>Table1[[#This Row],[pledged]]/Table1[[#This Row],[goal]]</f>
        <v>1.2010400000000001</v>
      </c>
      <c r="T2719" s="8">
        <f>IF(Table1[[#This Row],[pledged]]=0,"no backers",Table1[[#This Row],[pledged]]/Table1[[#This Row],[backers_count]])</f>
        <v>92.387692307692305</v>
      </c>
      <c r="U2719" t="str">
        <f>LEFT(Table1[[#This Row],[Category and Sub-Category]],FIND("/",Table1[[#This Row],[Category and Sub-Category]])-1)</f>
        <v>theater</v>
      </c>
      <c r="V2719" t="str">
        <f>RIGHT(Table1[[#This Row],[Category and Sub-Category]],LEN(Table1[[#This Row],[Category and Sub-Category]])-FIND("/",Table1[[#This Row],[Category and Sub-Category]]))</f>
        <v>spaces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 s="12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>((Table1[[#This Row],[deadline]]/60)/60/24)+DATE(1970,1,1)</f>
        <v>42493.958333333328</v>
      </c>
      <c r="K2720">
        <v>1459865945</v>
      </c>
      <c r="L2720" s="11">
        <f>((Table1[[#This Row],[launched_at]]/60)/60/24)+DATE(1970,1,1)</f>
        <v>42465.596585648149</v>
      </c>
      <c r="M2720">
        <f>MONTH(Table1[[#This Row],[Date Created Conversion]])</f>
        <v>4</v>
      </c>
      <c r="N2720">
        <f>YEAR(Table1[[#This Row],[Date Created Conversion]])</f>
        <v>2016</v>
      </c>
      <c r="O2720" t="b">
        <v>1</v>
      </c>
      <c r="P2720">
        <v>148</v>
      </c>
      <c r="Q2720" t="b">
        <v>1</v>
      </c>
      <c r="R2720" t="s">
        <v>8303</v>
      </c>
      <c r="S2720" s="6">
        <f>Table1[[#This Row],[pledged]]/Table1[[#This Row],[goal]]</f>
        <v>1.0358333333333334</v>
      </c>
      <c r="T2720" s="8">
        <f>IF(Table1[[#This Row],[pledged]]=0,"no backers",Table1[[#This Row],[pledged]]/Table1[[#This Row],[backers_count]])</f>
        <v>125.97972972972973</v>
      </c>
      <c r="U2720" t="str">
        <f>LEFT(Table1[[#This Row],[Category and Sub-Category]],FIND("/",Table1[[#This Row],[Category and Sub-Category]])-1)</f>
        <v>theater</v>
      </c>
      <c r="V2720" t="str">
        <f>RIGHT(Table1[[#This Row],[Category and Sub-Category]],LEN(Table1[[#This Row],[Category and Sub-Category]])-FIND("/",Table1[[#This Row],[Category and Sub-Category]]))</f>
        <v>spaces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 s="12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>((Table1[[#This Row],[deadline]]/60)/60/24)+DATE(1970,1,1)</f>
        <v>42477.989513888882</v>
      </c>
      <c r="K2721">
        <v>1455756294</v>
      </c>
      <c r="L2721" s="11">
        <f>((Table1[[#This Row],[launched_at]]/60)/60/24)+DATE(1970,1,1)</f>
        <v>42418.031180555554</v>
      </c>
      <c r="M2721">
        <f>MONTH(Table1[[#This Row],[Date Created Conversion]])</f>
        <v>2</v>
      </c>
      <c r="N2721">
        <f>YEAR(Table1[[#This Row],[Date Created Conversion]])</f>
        <v>2016</v>
      </c>
      <c r="O2721" t="b">
        <v>0</v>
      </c>
      <c r="P2721">
        <v>69</v>
      </c>
      <c r="Q2721" t="b">
        <v>1</v>
      </c>
      <c r="R2721" t="s">
        <v>8303</v>
      </c>
      <c r="S2721" s="6">
        <f>Table1[[#This Row],[pledged]]/Table1[[#This Row],[goal]]</f>
        <v>1.0883333333333334</v>
      </c>
      <c r="T2721" s="8">
        <f>IF(Table1[[#This Row],[pledged]]=0,"no backers",Table1[[#This Row],[pledged]]/Table1[[#This Row],[backers_count]])</f>
        <v>94.637681159420296</v>
      </c>
      <c r="U2721" t="str">
        <f>LEFT(Table1[[#This Row],[Category and Sub-Category]],FIND("/",Table1[[#This Row],[Category and Sub-Category]])-1)</f>
        <v>theater</v>
      </c>
      <c r="V2721" t="str">
        <f>RIGHT(Table1[[#This Row],[Category and Sub-Category]],LEN(Table1[[#This Row],[Category and Sub-Category]])-FIND("/",Table1[[#This Row],[Category and Sub-Category]]))</f>
        <v>spaces</v>
      </c>
    </row>
    <row r="2722" spans="1:22" ht="43.2" x14ac:dyDescent="0.3">
      <c r="A2722">
        <v>2720</v>
      </c>
      <c r="B2722" s="3" t="s">
        <v>2720</v>
      </c>
      <c r="C2722" s="3" t="s">
        <v>6830</v>
      </c>
      <c r="D2722" s="1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>((Table1[[#This Row],[deadline]]/60)/60/24)+DATE(1970,1,1)</f>
        <v>42685.507557870369</v>
      </c>
      <c r="K2722">
        <v>1476270653</v>
      </c>
      <c r="L2722" s="11">
        <f>((Table1[[#This Row],[launched_at]]/60)/60/24)+DATE(1970,1,1)</f>
        <v>42655.465891203698</v>
      </c>
      <c r="M2722">
        <f>MONTH(Table1[[#This Row],[Date Created Conversion]])</f>
        <v>10</v>
      </c>
      <c r="N2722">
        <f>YEAR(Table1[[#This Row],[Date Created Conversion]])</f>
        <v>2016</v>
      </c>
      <c r="O2722" t="b">
        <v>0</v>
      </c>
      <c r="P2722">
        <v>173</v>
      </c>
      <c r="Q2722" t="b">
        <v>1</v>
      </c>
      <c r="R2722" t="s">
        <v>8303</v>
      </c>
      <c r="S2722" s="6">
        <f>Table1[[#This Row],[pledged]]/Table1[[#This Row],[goal]]</f>
        <v>1.1812400000000001</v>
      </c>
      <c r="T2722" s="8">
        <f>IF(Table1[[#This Row],[pledged]]=0,"no backers",Table1[[#This Row],[pledged]]/Table1[[#This Row],[backers_count]])</f>
        <v>170.69942196531792</v>
      </c>
      <c r="U2722" t="str">
        <f>LEFT(Table1[[#This Row],[Category and Sub-Category]],FIND("/",Table1[[#This Row],[Category and Sub-Category]])-1)</f>
        <v>theater</v>
      </c>
      <c r="V2722" t="str">
        <f>RIGHT(Table1[[#This Row],[Category and Sub-Category]],LEN(Table1[[#This Row],[Category and Sub-Category]])-FIND("/",Table1[[#This Row],[Category and Sub-Category]]))</f>
        <v>spaces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 s="12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>((Table1[[#This Row],[deadline]]/60)/60/24)+DATE(1970,1,1)</f>
        <v>41523.791666666664</v>
      </c>
      <c r="K2723">
        <v>1375880598</v>
      </c>
      <c r="L2723" s="11">
        <f>((Table1[[#This Row],[launched_at]]/60)/60/24)+DATE(1970,1,1)</f>
        <v>41493.543958333335</v>
      </c>
      <c r="M2723">
        <f>MONTH(Table1[[#This Row],[Date Created Conversion]])</f>
        <v>8</v>
      </c>
      <c r="N2723">
        <f>YEAR(Table1[[#This Row],[Date Created Conversion]])</f>
        <v>2013</v>
      </c>
      <c r="O2723" t="b">
        <v>0</v>
      </c>
      <c r="P2723">
        <v>269</v>
      </c>
      <c r="Q2723" t="b">
        <v>1</v>
      </c>
      <c r="R2723" t="s">
        <v>8295</v>
      </c>
      <c r="S2723" s="6">
        <f>Table1[[#This Row],[pledged]]/Table1[[#This Row],[goal]]</f>
        <v>14.62</v>
      </c>
      <c r="T2723" s="8">
        <f>IF(Table1[[#This Row],[pledged]]=0,"no backers",Table1[[#This Row],[pledged]]/Table1[[#This Row],[backers_count]])</f>
        <v>40.762081784386616</v>
      </c>
      <c r="U2723" t="str">
        <f>LEFT(Table1[[#This Row],[Category and Sub-Category]],FIND("/",Table1[[#This Row],[Category and Sub-Category]])-1)</f>
        <v>technology</v>
      </c>
      <c r="V2723" t="str">
        <f>RIGHT(Table1[[#This Row],[Category and Sub-Category]],LEN(Table1[[#This Row],[Category and Sub-Category]])-FIND("/",Table1[[#This Row],[Category and Sub-Category]]))</f>
        <v>hardware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 s="12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>((Table1[[#This Row],[deadline]]/60)/60/24)+DATE(1970,1,1)</f>
        <v>42764.857094907406</v>
      </c>
      <c r="K2724">
        <v>1480538053</v>
      </c>
      <c r="L2724" s="11">
        <f>((Table1[[#This Row],[launched_at]]/60)/60/24)+DATE(1970,1,1)</f>
        <v>42704.857094907406</v>
      </c>
      <c r="M2724">
        <f>MONTH(Table1[[#This Row],[Date Created Conversion]])</f>
        <v>11</v>
      </c>
      <c r="N2724">
        <f>YEAR(Table1[[#This Row],[Date Created Conversion]])</f>
        <v>2016</v>
      </c>
      <c r="O2724" t="b">
        <v>0</v>
      </c>
      <c r="P2724">
        <v>185</v>
      </c>
      <c r="Q2724" t="b">
        <v>1</v>
      </c>
      <c r="R2724" t="s">
        <v>8295</v>
      </c>
      <c r="S2724" s="6">
        <f>Table1[[#This Row],[pledged]]/Table1[[#This Row],[goal]]</f>
        <v>2.5253999999999999</v>
      </c>
      <c r="T2724" s="8">
        <f>IF(Table1[[#This Row],[pledged]]=0,"no backers",Table1[[#This Row],[pledged]]/Table1[[#This Row],[backers_count]])</f>
        <v>68.254054054054052</v>
      </c>
      <c r="U2724" t="str">
        <f>LEFT(Table1[[#This Row],[Category and Sub-Category]],FIND("/",Table1[[#This Row],[Category and Sub-Category]])-1)</f>
        <v>technology</v>
      </c>
      <c r="V2724" t="str">
        <f>RIGHT(Table1[[#This Row],[Category and Sub-Category]],LEN(Table1[[#This Row],[Category and Sub-Category]])-FIND("/",Table1[[#This Row],[Category and Sub-Category]]))</f>
        <v>hardware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 s="12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>((Table1[[#This Row],[deadline]]/60)/60/24)+DATE(1970,1,1)</f>
        <v>42004.880648148144</v>
      </c>
      <c r="K2725">
        <v>1414872488</v>
      </c>
      <c r="L2725" s="11">
        <f>((Table1[[#This Row],[launched_at]]/60)/60/24)+DATE(1970,1,1)</f>
        <v>41944.83898148148</v>
      </c>
      <c r="M2725">
        <f>MONTH(Table1[[#This Row],[Date Created Conversion]])</f>
        <v>11</v>
      </c>
      <c r="N2725">
        <f>YEAR(Table1[[#This Row],[Date Created Conversion]])</f>
        <v>2014</v>
      </c>
      <c r="O2725" t="b">
        <v>0</v>
      </c>
      <c r="P2725">
        <v>176</v>
      </c>
      <c r="Q2725" t="b">
        <v>1</v>
      </c>
      <c r="R2725" t="s">
        <v>8295</v>
      </c>
      <c r="S2725" s="6">
        <f>Table1[[#This Row],[pledged]]/Table1[[#This Row],[goal]]</f>
        <v>1.4005000000000001</v>
      </c>
      <c r="T2725" s="8">
        <f>IF(Table1[[#This Row],[pledged]]=0,"no backers",Table1[[#This Row],[pledged]]/Table1[[#This Row],[backers_count]])</f>
        <v>95.48863636363636</v>
      </c>
      <c r="U2725" t="str">
        <f>LEFT(Table1[[#This Row],[Category and Sub-Category]],FIND("/",Table1[[#This Row],[Category and Sub-Category]])-1)</f>
        <v>technology</v>
      </c>
      <c r="V2725" t="str">
        <f>RIGHT(Table1[[#This Row],[Category and Sub-Category]],LEN(Table1[[#This Row],[Category and Sub-Category]])-FIND("/",Table1[[#This Row],[Category and Sub-Category]]))</f>
        <v>hardware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 s="12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>((Table1[[#This Row],[deadline]]/60)/60/24)+DATE(1970,1,1)</f>
        <v>42231.32707175926</v>
      </c>
      <c r="K2726">
        <v>1436860259</v>
      </c>
      <c r="L2726" s="11">
        <f>((Table1[[#This Row],[launched_at]]/60)/60/24)+DATE(1970,1,1)</f>
        <v>42199.32707175926</v>
      </c>
      <c r="M2726">
        <f>MONTH(Table1[[#This Row],[Date Created Conversion]])</f>
        <v>7</v>
      </c>
      <c r="N2726">
        <f>YEAR(Table1[[#This Row],[Date Created Conversion]])</f>
        <v>2015</v>
      </c>
      <c r="O2726" t="b">
        <v>0</v>
      </c>
      <c r="P2726">
        <v>1019</v>
      </c>
      <c r="Q2726" t="b">
        <v>1</v>
      </c>
      <c r="R2726" t="s">
        <v>8295</v>
      </c>
      <c r="S2726" s="6">
        <f>Table1[[#This Row],[pledged]]/Table1[[#This Row],[goal]]</f>
        <v>2.9687520259319289</v>
      </c>
      <c r="T2726" s="8">
        <f>IF(Table1[[#This Row],[pledged]]=0,"no backers",Table1[[#This Row],[pledged]]/Table1[[#This Row],[backers_count]])</f>
        <v>7.1902649656526005</v>
      </c>
      <c r="U2726" t="str">
        <f>LEFT(Table1[[#This Row],[Category and Sub-Category]],FIND("/",Table1[[#This Row],[Category and Sub-Category]])-1)</f>
        <v>technology</v>
      </c>
      <c r="V2726" t="str">
        <f>RIGHT(Table1[[#This Row],[Category and Sub-Category]],LEN(Table1[[#This Row],[Category and Sub-Category]])-FIND("/",Table1[[#This Row],[Category and Sub-Category]]))</f>
        <v>hardware</v>
      </c>
    </row>
    <row r="2727" spans="1:22" ht="43.2" x14ac:dyDescent="0.3">
      <c r="A2727">
        <v>2725</v>
      </c>
      <c r="B2727" s="3" t="s">
        <v>2725</v>
      </c>
      <c r="C2727" s="3" t="s">
        <v>6835</v>
      </c>
      <c r="D2727" s="12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>((Table1[[#This Row],[deadline]]/60)/60/24)+DATE(1970,1,1)</f>
        <v>42795.744618055556</v>
      </c>
      <c r="K2727">
        <v>1484070735</v>
      </c>
      <c r="L2727" s="11">
        <f>((Table1[[#This Row],[launched_at]]/60)/60/24)+DATE(1970,1,1)</f>
        <v>42745.744618055556</v>
      </c>
      <c r="M2727">
        <f>MONTH(Table1[[#This Row],[Date Created Conversion]])</f>
        <v>1</v>
      </c>
      <c r="N2727">
        <f>YEAR(Table1[[#This Row],[Date Created Conversion]])</f>
        <v>2017</v>
      </c>
      <c r="O2727" t="b">
        <v>0</v>
      </c>
      <c r="P2727">
        <v>113</v>
      </c>
      <c r="Q2727" t="b">
        <v>1</v>
      </c>
      <c r="R2727" t="s">
        <v>8295</v>
      </c>
      <c r="S2727" s="6">
        <f>Table1[[#This Row],[pledged]]/Table1[[#This Row],[goal]]</f>
        <v>1.445425</v>
      </c>
      <c r="T2727" s="8">
        <f>IF(Table1[[#This Row],[pledged]]=0,"no backers",Table1[[#This Row],[pledged]]/Table1[[#This Row],[backers_count]])</f>
        <v>511.65486725663715</v>
      </c>
      <c r="U2727" t="str">
        <f>LEFT(Table1[[#This Row],[Category and Sub-Category]],FIND("/",Table1[[#This Row],[Category and Sub-Category]])-1)</f>
        <v>technology</v>
      </c>
      <c r="V2727" t="str">
        <f>RIGHT(Table1[[#This Row],[Category and Sub-Category]],LEN(Table1[[#This Row],[Category and Sub-Category]])-FIND("/",Table1[[#This Row],[Category and Sub-Category]]))</f>
        <v>hardware</v>
      </c>
    </row>
    <row r="2728" spans="1:22" x14ac:dyDescent="0.3">
      <c r="A2728">
        <v>2726</v>
      </c>
      <c r="B2728" s="3" t="s">
        <v>2726</v>
      </c>
      <c r="C2728" s="3" t="s">
        <v>6836</v>
      </c>
      <c r="D2728" s="12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>((Table1[[#This Row],[deadline]]/60)/60/24)+DATE(1970,1,1)</f>
        <v>42482.579988425925</v>
      </c>
      <c r="K2728">
        <v>1458741311</v>
      </c>
      <c r="L2728" s="11">
        <f>((Table1[[#This Row],[launched_at]]/60)/60/24)+DATE(1970,1,1)</f>
        <v>42452.579988425925</v>
      </c>
      <c r="M2728">
        <f>MONTH(Table1[[#This Row],[Date Created Conversion]])</f>
        <v>3</v>
      </c>
      <c r="N2728">
        <f>YEAR(Table1[[#This Row],[Date Created Conversion]])</f>
        <v>2016</v>
      </c>
      <c r="O2728" t="b">
        <v>0</v>
      </c>
      <c r="P2728">
        <v>404</v>
      </c>
      <c r="Q2728" t="b">
        <v>1</v>
      </c>
      <c r="R2728" t="s">
        <v>8295</v>
      </c>
      <c r="S2728" s="6">
        <f>Table1[[#This Row],[pledged]]/Table1[[#This Row],[goal]]</f>
        <v>1.05745</v>
      </c>
      <c r="T2728" s="8">
        <f>IF(Table1[[#This Row],[pledged]]=0,"no backers",Table1[[#This Row],[pledged]]/Table1[[#This Row],[backers_count]])</f>
        <v>261.74504950495049</v>
      </c>
      <c r="U2728" t="str">
        <f>LEFT(Table1[[#This Row],[Category and Sub-Category]],FIND("/",Table1[[#This Row],[Category and Sub-Category]])-1)</f>
        <v>technology</v>
      </c>
      <c r="V2728" t="str">
        <f>RIGHT(Table1[[#This Row],[Category and Sub-Category]],LEN(Table1[[#This Row],[Category and Sub-Category]])-FIND("/",Table1[[#This Row],[Category and Sub-Category]]))</f>
        <v>hardware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 s="12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>((Table1[[#This Row],[deadline]]/60)/60/24)+DATE(1970,1,1)</f>
        <v>42223.676655092597</v>
      </c>
      <c r="K2729">
        <v>1436804063</v>
      </c>
      <c r="L2729" s="11">
        <f>((Table1[[#This Row],[launched_at]]/60)/60/24)+DATE(1970,1,1)</f>
        <v>42198.676655092597</v>
      </c>
      <c r="M2729">
        <f>MONTH(Table1[[#This Row],[Date Created Conversion]])</f>
        <v>7</v>
      </c>
      <c r="N2729">
        <f>YEAR(Table1[[#This Row],[Date Created Conversion]])</f>
        <v>2015</v>
      </c>
      <c r="O2729" t="b">
        <v>0</v>
      </c>
      <c r="P2729">
        <v>707</v>
      </c>
      <c r="Q2729" t="b">
        <v>1</v>
      </c>
      <c r="R2729" t="s">
        <v>8295</v>
      </c>
      <c r="S2729" s="6">
        <f>Table1[[#This Row],[pledged]]/Table1[[#This Row],[goal]]</f>
        <v>4.9321000000000002</v>
      </c>
      <c r="T2729" s="8">
        <f>IF(Table1[[#This Row],[pledged]]=0,"no backers",Table1[[#This Row],[pledged]]/Table1[[#This Row],[backers_count]])</f>
        <v>69.760961810466767</v>
      </c>
      <c r="U2729" t="str">
        <f>LEFT(Table1[[#This Row],[Category and Sub-Category]],FIND("/",Table1[[#This Row],[Category and Sub-Category]])-1)</f>
        <v>technology</v>
      </c>
      <c r="V2729" t="str">
        <f>RIGHT(Table1[[#This Row],[Category and Sub-Category]],LEN(Table1[[#This Row],[Category and Sub-Category]])-FIND("/",Table1[[#This Row],[Category and Sub-Category]]))</f>
        <v>hardware</v>
      </c>
    </row>
    <row r="2730" spans="1:22" ht="28.8" x14ac:dyDescent="0.3">
      <c r="A2730">
        <v>2728</v>
      </c>
      <c r="B2730" s="3" t="s">
        <v>2728</v>
      </c>
      <c r="C2730" s="3" t="s">
        <v>6838</v>
      </c>
      <c r="D2730" s="12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>((Table1[[#This Row],[deadline]]/60)/60/24)+DATE(1970,1,1)</f>
        <v>42368.59993055556</v>
      </c>
      <c r="K2730">
        <v>1448461434</v>
      </c>
      <c r="L2730" s="11">
        <f>((Table1[[#This Row],[launched_at]]/60)/60/24)+DATE(1970,1,1)</f>
        <v>42333.59993055556</v>
      </c>
      <c r="M2730">
        <f>MONTH(Table1[[#This Row],[Date Created Conversion]])</f>
        <v>11</v>
      </c>
      <c r="N2730">
        <f>YEAR(Table1[[#This Row],[Date Created Conversion]])</f>
        <v>2015</v>
      </c>
      <c r="O2730" t="b">
        <v>0</v>
      </c>
      <c r="P2730">
        <v>392</v>
      </c>
      <c r="Q2730" t="b">
        <v>1</v>
      </c>
      <c r="R2730" t="s">
        <v>8295</v>
      </c>
      <c r="S2730" s="6">
        <f>Table1[[#This Row],[pledged]]/Table1[[#This Row],[goal]]</f>
        <v>2.0182666666666669</v>
      </c>
      <c r="T2730" s="8">
        <f>IF(Table1[[#This Row],[pledged]]=0,"no backers",Table1[[#This Row],[pledged]]/Table1[[#This Row],[backers_count]])</f>
        <v>77.229591836734699</v>
      </c>
      <c r="U2730" t="str">
        <f>LEFT(Table1[[#This Row],[Category and Sub-Category]],FIND("/",Table1[[#This Row],[Category and Sub-Category]])-1)</f>
        <v>technology</v>
      </c>
      <c r="V2730" t="str">
        <f>RIGHT(Table1[[#This Row],[Category and Sub-Category]],LEN(Table1[[#This Row],[Category and Sub-Category]])-FIND("/",Table1[[#This Row],[Category and Sub-Category]]))</f>
        <v>hardware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 s="12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>((Table1[[#This Row],[deadline]]/60)/60/24)+DATE(1970,1,1)</f>
        <v>42125.240706018521</v>
      </c>
      <c r="K2731">
        <v>1427867197</v>
      </c>
      <c r="L2731" s="11">
        <f>((Table1[[#This Row],[launched_at]]/60)/60/24)+DATE(1970,1,1)</f>
        <v>42095.240706018521</v>
      </c>
      <c r="M2731">
        <f>MONTH(Table1[[#This Row],[Date Created Conversion]])</f>
        <v>4</v>
      </c>
      <c r="N2731">
        <f>YEAR(Table1[[#This Row],[Date Created Conversion]])</f>
        <v>2015</v>
      </c>
      <c r="O2731" t="b">
        <v>0</v>
      </c>
      <c r="P2731">
        <v>23</v>
      </c>
      <c r="Q2731" t="b">
        <v>1</v>
      </c>
      <c r="R2731" t="s">
        <v>8295</v>
      </c>
      <c r="S2731" s="6">
        <f>Table1[[#This Row],[pledged]]/Table1[[#This Row],[goal]]</f>
        <v>1.0444</v>
      </c>
      <c r="T2731" s="8">
        <f>IF(Table1[[#This Row],[pledged]]=0,"no backers",Table1[[#This Row],[pledged]]/Table1[[#This Row],[backers_count]])</f>
        <v>340.56521739130437</v>
      </c>
      <c r="U2731" t="str">
        <f>LEFT(Table1[[#This Row],[Category and Sub-Category]],FIND("/",Table1[[#This Row],[Category and Sub-Category]])-1)</f>
        <v>technology</v>
      </c>
      <c r="V2731" t="str">
        <f>RIGHT(Table1[[#This Row],[Category and Sub-Category]],LEN(Table1[[#This Row],[Category and Sub-Category]])-FIND("/",Table1[[#This Row],[Category and Sub-Category]]))</f>
        <v>hardware</v>
      </c>
    </row>
    <row r="2732" spans="1:22" ht="43.2" x14ac:dyDescent="0.3">
      <c r="A2732">
        <v>2730</v>
      </c>
      <c r="B2732" s="3" t="s">
        <v>2730</v>
      </c>
      <c r="C2732" s="3" t="s">
        <v>6840</v>
      </c>
      <c r="D2732" s="1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>((Table1[[#This Row],[deadline]]/60)/60/24)+DATE(1970,1,1)</f>
        <v>41386.541377314818</v>
      </c>
      <c r="K2732">
        <v>1363611575</v>
      </c>
      <c r="L2732" s="11">
        <f>((Table1[[#This Row],[launched_at]]/60)/60/24)+DATE(1970,1,1)</f>
        <v>41351.541377314818</v>
      </c>
      <c r="M2732">
        <f>MONTH(Table1[[#This Row],[Date Created Conversion]])</f>
        <v>3</v>
      </c>
      <c r="N2732">
        <f>YEAR(Table1[[#This Row],[Date Created Conversion]])</f>
        <v>2013</v>
      </c>
      <c r="O2732" t="b">
        <v>0</v>
      </c>
      <c r="P2732">
        <v>682</v>
      </c>
      <c r="Q2732" t="b">
        <v>1</v>
      </c>
      <c r="R2732" t="s">
        <v>8295</v>
      </c>
      <c r="S2732" s="6">
        <f>Table1[[#This Row],[pledged]]/Table1[[#This Row],[goal]]</f>
        <v>1.7029262962962963</v>
      </c>
      <c r="T2732" s="8">
        <f>IF(Table1[[#This Row],[pledged]]=0,"no backers",Table1[[#This Row],[pledged]]/Table1[[#This Row],[backers_count]])</f>
        <v>67.417903225806455</v>
      </c>
      <c r="U2732" t="str">
        <f>LEFT(Table1[[#This Row],[Category and Sub-Category]],FIND("/",Table1[[#This Row],[Category and Sub-Category]])-1)</f>
        <v>technology</v>
      </c>
      <c r="V2732" t="str">
        <f>RIGHT(Table1[[#This Row],[Category and Sub-Category]],LEN(Table1[[#This Row],[Category and Sub-Category]])-FIND("/",Table1[[#This Row],[Category and Sub-Category]]))</f>
        <v>hardware</v>
      </c>
    </row>
    <row r="2733" spans="1:22" ht="57.6" x14ac:dyDescent="0.3">
      <c r="A2733">
        <v>2731</v>
      </c>
      <c r="B2733" s="3" t="s">
        <v>2731</v>
      </c>
      <c r="C2733" s="3" t="s">
        <v>6841</v>
      </c>
      <c r="D2733" s="12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>((Table1[[#This Row],[deadline]]/60)/60/24)+DATE(1970,1,1)</f>
        <v>41930.166666666664</v>
      </c>
      <c r="K2733">
        <v>1408624622</v>
      </c>
      <c r="L2733" s="11">
        <f>((Table1[[#This Row],[launched_at]]/60)/60/24)+DATE(1970,1,1)</f>
        <v>41872.525717592594</v>
      </c>
      <c r="M2733">
        <f>MONTH(Table1[[#This Row],[Date Created Conversion]])</f>
        <v>8</v>
      </c>
      <c r="N2733">
        <f>YEAR(Table1[[#This Row],[Date Created Conversion]])</f>
        <v>2014</v>
      </c>
      <c r="O2733" t="b">
        <v>0</v>
      </c>
      <c r="P2733">
        <v>37</v>
      </c>
      <c r="Q2733" t="b">
        <v>1</v>
      </c>
      <c r="R2733" t="s">
        <v>8295</v>
      </c>
      <c r="S2733" s="6">
        <f>Table1[[#This Row],[pledged]]/Table1[[#This Row],[goal]]</f>
        <v>1.0430333333333333</v>
      </c>
      <c r="T2733" s="8">
        <f>IF(Table1[[#This Row],[pledged]]=0,"no backers",Table1[[#This Row],[pledged]]/Table1[[#This Row],[backers_count]])</f>
        <v>845.70270270270271</v>
      </c>
      <c r="U2733" t="str">
        <f>LEFT(Table1[[#This Row],[Category and Sub-Category]],FIND("/",Table1[[#This Row],[Category and Sub-Category]])-1)</f>
        <v>technology</v>
      </c>
      <c r="V2733" t="str">
        <f>RIGHT(Table1[[#This Row],[Category and Sub-Category]],LEN(Table1[[#This Row],[Category and Sub-Category]])-FIND("/",Table1[[#This Row],[Category and Sub-Category]]))</f>
        <v>hardware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 s="12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>((Table1[[#This Row],[deadline]]/60)/60/24)+DATE(1970,1,1)</f>
        <v>41422</v>
      </c>
      <c r="K2734">
        <v>1366917828</v>
      </c>
      <c r="L2734" s="11">
        <f>((Table1[[#This Row],[launched_at]]/60)/60/24)+DATE(1970,1,1)</f>
        <v>41389.808194444442</v>
      </c>
      <c r="M2734">
        <f>MONTH(Table1[[#This Row],[Date Created Conversion]])</f>
        <v>4</v>
      </c>
      <c r="N2734">
        <f>YEAR(Table1[[#This Row],[Date Created Conversion]])</f>
        <v>2013</v>
      </c>
      <c r="O2734" t="b">
        <v>0</v>
      </c>
      <c r="P2734">
        <v>146</v>
      </c>
      <c r="Q2734" t="b">
        <v>1</v>
      </c>
      <c r="R2734" t="s">
        <v>8295</v>
      </c>
      <c r="S2734" s="6">
        <f>Table1[[#This Row],[pledged]]/Table1[[#This Row],[goal]]</f>
        <v>1.1825000000000001</v>
      </c>
      <c r="T2734" s="8">
        <f>IF(Table1[[#This Row],[pledged]]=0,"no backers",Table1[[#This Row],[pledged]]/Table1[[#This Row],[backers_count]])</f>
        <v>97.191780821917803</v>
      </c>
      <c r="U2734" t="str">
        <f>LEFT(Table1[[#This Row],[Category and Sub-Category]],FIND("/",Table1[[#This Row],[Category and Sub-Category]])-1)</f>
        <v>technology</v>
      </c>
      <c r="V2734" t="str">
        <f>RIGHT(Table1[[#This Row],[Category and Sub-Category]],LEN(Table1[[#This Row],[Category and Sub-Category]])-FIND("/",Table1[[#This Row],[Category and Sub-Category]]))</f>
        <v>hardware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 s="12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>((Table1[[#This Row],[deadline]]/60)/60/24)+DATE(1970,1,1)</f>
        <v>42104.231180555551</v>
      </c>
      <c r="K2735">
        <v>1423463574</v>
      </c>
      <c r="L2735" s="11">
        <f>((Table1[[#This Row],[launched_at]]/60)/60/24)+DATE(1970,1,1)</f>
        <v>42044.272847222222</v>
      </c>
      <c r="M2735">
        <f>MONTH(Table1[[#This Row],[Date Created Conversion]])</f>
        <v>2</v>
      </c>
      <c r="N2735">
        <f>YEAR(Table1[[#This Row],[Date Created Conversion]])</f>
        <v>2015</v>
      </c>
      <c r="O2735" t="b">
        <v>0</v>
      </c>
      <c r="P2735">
        <v>119</v>
      </c>
      <c r="Q2735" t="b">
        <v>1</v>
      </c>
      <c r="R2735" t="s">
        <v>8295</v>
      </c>
      <c r="S2735" s="6">
        <f>Table1[[#This Row],[pledged]]/Table1[[#This Row],[goal]]</f>
        <v>1.07538</v>
      </c>
      <c r="T2735" s="8">
        <f>IF(Table1[[#This Row],[pledged]]=0,"no backers",Table1[[#This Row],[pledged]]/Table1[[#This Row],[backers_count]])</f>
        <v>451.84033613445376</v>
      </c>
      <c r="U2735" t="str">
        <f>LEFT(Table1[[#This Row],[Category and Sub-Category]],FIND("/",Table1[[#This Row],[Category and Sub-Category]])-1)</f>
        <v>technology</v>
      </c>
      <c r="V2735" t="str">
        <f>RIGHT(Table1[[#This Row],[Category and Sub-Category]],LEN(Table1[[#This Row],[Category and Sub-Category]])-FIND("/",Table1[[#This Row],[Category and Sub-Category]]))</f>
        <v>hardware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 s="12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>((Table1[[#This Row],[deadline]]/60)/60/24)+DATE(1970,1,1)</f>
        <v>42656.915972222225</v>
      </c>
      <c r="K2736">
        <v>1473782592</v>
      </c>
      <c r="L2736" s="11">
        <f>((Table1[[#This Row],[launched_at]]/60)/60/24)+DATE(1970,1,1)</f>
        <v>42626.668888888889</v>
      </c>
      <c r="M2736">
        <f>MONTH(Table1[[#This Row],[Date Created Conversion]])</f>
        <v>9</v>
      </c>
      <c r="N2736">
        <f>YEAR(Table1[[#This Row],[Date Created Conversion]])</f>
        <v>2016</v>
      </c>
      <c r="O2736" t="b">
        <v>0</v>
      </c>
      <c r="P2736">
        <v>163</v>
      </c>
      <c r="Q2736" t="b">
        <v>1</v>
      </c>
      <c r="R2736" t="s">
        <v>8295</v>
      </c>
      <c r="S2736" s="6">
        <f>Table1[[#This Row],[pledged]]/Table1[[#This Row],[goal]]</f>
        <v>22603</v>
      </c>
      <c r="T2736" s="8">
        <f>IF(Table1[[#This Row],[pledged]]=0,"no backers",Table1[[#This Row],[pledged]]/Table1[[#This Row],[backers_count]])</f>
        <v>138.66871165644173</v>
      </c>
      <c r="U2736" t="str">
        <f>LEFT(Table1[[#This Row],[Category and Sub-Category]],FIND("/",Table1[[#This Row],[Category and Sub-Category]])-1)</f>
        <v>technology</v>
      </c>
      <c r="V2736" t="str">
        <f>RIGHT(Table1[[#This Row],[Category and Sub-Category]],LEN(Table1[[#This Row],[Category and Sub-Category]])-FIND("/",Table1[[#This Row],[Category and Sub-Category]]))</f>
        <v>hardware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 s="12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>((Table1[[#This Row],[deadline]]/60)/60/24)+DATE(1970,1,1)</f>
        <v>41346.833333333336</v>
      </c>
      <c r="K2737">
        <v>1360551250</v>
      </c>
      <c r="L2737" s="11">
        <f>((Table1[[#This Row],[launched_at]]/60)/60/24)+DATE(1970,1,1)</f>
        <v>41316.120949074073</v>
      </c>
      <c r="M2737">
        <f>MONTH(Table1[[#This Row],[Date Created Conversion]])</f>
        <v>2</v>
      </c>
      <c r="N2737">
        <f>YEAR(Table1[[#This Row],[Date Created Conversion]])</f>
        <v>2013</v>
      </c>
      <c r="O2737" t="b">
        <v>0</v>
      </c>
      <c r="P2737">
        <v>339</v>
      </c>
      <c r="Q2737" t="b">
        <v>1</v>
      </c>
      <c r="R2737" t="s">
        <v>8295</v>
      </c>
      <c r="S2737" s="6">
        <f>Table1[[#This Row],[pledged]]/Table1[[#This Row],[goal]]</f>
        <v>9.7813466666666677</v>
      </c>
      <c r="T2737" s="8">
        <f>IF(Table1[[#This Row],[pledged]]=0,"no backers",Table1[[#This Row],[pledged]]/Table1[[#This Row],[backers_count]])</f>
        <v>21.640147492625371</v>
      </c>
      <c r="U2737" t="str">
        <f>LEFT(Table1[[#This Row],[Category and Sub-Category]],FIND("/",Table1[[#This Row],[Category and Sub-Category]])-1)</f>
        <v>technology</v>
      </c>
      <c r="V2737" t="str">
        <f>RIGHT(Table1[[#This Row],[Category and Sub-Category]],LEN(Table1[[#This Row],[Category and Sub-Category]])-FIND("/",Table1[[#This Row],[Category and Sub-Category]]))</f>
        <v>hardware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 s="12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>((Table1[[#This Row],[deadline]]/60)/60/24)+DATE(1970,1,1)</f>
        <v>41752.666354166664</v>
      </c>
      <c r="K2738">
        <v>1395676773</v>
      </c>
      <c r="L2738" s="11">
        <f>((Table1[[#This Row],[launched_at]]/60)/60/24)+DATE(1970,1,1)</f>
        <v>41722.666354166664</v>
      </c>
      <c r="M2738">
        <f>MONTH(Table1[[#This Row],[Date Created Conversion]])</f>
        <v>3</v>
      </c>
      <c r="N2738">
        <f>YEAR(Table1[[#This Row],[Date Created Conversion]])</f>
        <v>2014</v>
      </c>
      <c r="O2738" t="b">
        <v>0</v>
      </c>
      <c r="P2738">
        <v>58</v>
      </c>
      <c r="Q2738" t="b">
        <v>1</v>
      </c>
      <c r="R2738" t="s">
        <v>8295</v>
      </c>
      <c r="S2738" s="6">
        <f>Table1[[#This Row],[pledged]]/Table1[[#This Row],[goal]]</f>
        <v>1.2290000000000001</v>
      </c>
      <c r="T2738" s="8">
        <f>IF(Table1[[#This Row],[pledged]]=0,"no backers",Table1[[#This Row],[pledged]]/Table1[[#This Row],[backers_count]])</f>
        <v>169.51724137931035</v>
      </c>
      <c r="U2738" t="str">
        <f>LEFT(Table1[[#This Row],[Category and Sub-Category]],FIND("/",Table1[[#This Row],[Category and Sub-Category]])-1)</f>
        <v>technology</v>
      </c>
      <c r="V2738" t="str">
        <f>RIGHT(Table1[[#This Row],[Category and Sub-Category]],LEN(Table1[[#This Row],[Category and Sub-Category]])-FIND("/",Table1[[#This Row],[Category and Sub-Category]]))</f>
        <v>hardware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 s="12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>((Table1[[#This Row],[deadline]]/60)/60/24)+DATE(1970,1,1)</f>
        <v>41654.791666666664</v>
      </c>
      <c r="K2739">
        <v>1386108087</v>
      </c>
      <c r="L2739" s="11">
        <f>((Table1[[#This Row],[launched_at]]/60)/60/24)+DATE(1970,1,1)</f>
        <v>41611.917673611111</v>
      </c>
      <c r="M2739">
        <f>MONTH(Table1[[#This Row],[Date Created Conversion]])</f>
        <v>12</v>
      </c>
      <c r="N2739">
        <f>YEAR(Table1[[#This Row],[Date Created Conversion]])</f>
        <v>2013</v>
      </c>
      <c r="O2739" t="b">
        <v>0</v>
      </c>
      <c r="P2739">
        <v>456</v>
      </c>
      <c r="Q2739" t="b">
        <v>1</v>
      </c>
      <c r="R2739" t="s">
        <v>8295</v>
      </c>
      <c r="S2739" s="6">
        <f>Table1[[#This Row],[pledged]]/Table1[[#This Row],[goal]]</f>
        <v>2.4606080000000001</v>
      </c>
      <c r="T2739" s="8">
        <f>IF(Table1[[#This Row],[pledged]]=0,"no backers",Table1[[#This Row],[pledged]]/Table1[[#This Row],[backers_count]])</f>
        <v>161.88210526315791</v>
      </c>
      <c r="U2739" t="str">
        <f>LEFT(Table1[[#This Row],[Category and Sub-Category]],FIND("/",Table1[[#This Row],[Category and Sub-Category]])-1)</f>
        <v>technology</v>
      </c>
      <c r="V2739" t="str">
        <f>RIGHT(Table1[[#This Row],[Category and Sub-Category]],LEN(Table1[[#This Row],[Category and Sub-Category]])-FIND("/",Table1[[#This Row],[Category and Sub-Category]]))</f>
        <v>hardware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 s="12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>((Table1[[#This Row],[deadline]]/60)/60/24)+DATE(1970,1,1)</f>
        <v>42680.143564814818</v>
      </c>
      <c r="K2740">
        <v>1473218804</v>
      </c>
      <c r="L2740" s="11">
        <f>((Table1[[#This Row],[launched_at]]/60)/60/24)+DATE(1970,1,1)</f>
        <v>42620.143564814818</v>
      </c>
      <c r="M2740">
        <f>MONTH(Table1[[#This Row],[Date Created Conversion]])</f>
        <v>9</v>
      </c>
      <c r="N2740">
        <f>YEAR(Table1[[#This Row],[Date Created Conversion]])</f>
        <v>2016</v>
      </c>
      <c r="O2740" t="b">
        <v>0</v>
      </c>
      <c r="P2740">
        <v>15</v>
      </c>
      <c r="Q2740" t="b">
        <v>1</v>
      </c>
      <c r="R2740" t="s">
        <v>8295</v>
      </c>
      <c r="S2740" s="6">
        <f>Table1[[#This Row],[pledged]]/Table1[[#This Row],[goal]]</f>
        <v>1.4794</v>
      </c>
      <c r="T2740" s="8">
        <f>IF(Table1[[#This Row],[pledged]]=0,"no backers",Table1[[#This Row],[pledged]]/Table1[[#This Row],[backers_count]])</f>
        <v>493.13333333333333</v>
      </c>
      <c r="U2740" t="str">
        <f>LEFT(Table1[[#This Row],[Category and Sub-Category]],FIND("/",Table1[[#This Row],[Category and Sub-Category]])-1)</f>
        <v>technology</v>
      </c>
      <c r="V2740" t="str">
        <f>RIGHT(Table1[[#This Row],[Category and Sub-Category]],LEN(Table1[[#This Row],[Category and Sub-Category]])-FIND("/",Table1[[#This Row],[Category and Sub-Category]]))</f>
        <v>hardware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 s="12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>((Table1[[#This Row],[deadline]]/60)/60/24)+DATE(1970,1,1)</f>
        <v>41764.887928240743</v>
      </c>
      <c r="K2741">
        <v>1395436717</v>
      </c>
      <c r="L2741" s="11">
        <f>((Table1[[#This Row],[launched_at]]/60)/60/24)+DATE(1970,1,1)</f>
        <v>41719.887928240743</v>
      </c>
      <c r="M2741">
        <f>MONTH(Table1[[#This Row],[Date Created Conversion]])</f>
        <v>3</v>
      </c>
      <c r="N2741">
        <f>YEAR(Table1[[#This Row],[Date Created Conversion]])</f>
        <v>2014</v>
      </c>
      <c r="O2741" t="b">
        <v>0</v>
      </c>
      <c r="P2741">
        <v>191</v>
      </c>
      <c r="Q2741" t="b">
        <v>1</v>
      </c>
      <c r="R2741" t="s">
        <v>8295</v>
      </c>
      <c r="S2741" s="6">
        <f>Table1[[#This Row],[pledged]]/Table1[[#This Row],[goal]]</f>
        <v>3.8409090909090908</v>
      </c>
      <c r="T2741" s="8">
        <f>IF(Table1[[#This Row],[pledged]]=0,"no backers",Table1[[#This Row],[pledged]]/Table1[[#This Row],[backers_count]])</f>
        <v>22.120418848167539</v>
      </c>
      <c r="U2741" t="str">
        <f>LEFT(Table1[[#This Row],[Category and Sub-Category]],FIND("/",Table1[[#This Row],[Category and Sub-Category]])-1)</f>
        <v>technology</v>
      </c>
      <c r="V2741" t="str">
        <f>RIGHT(Table1[[#This Row],[Category and Sub-Category]],LEN(Table1[[#This Row],[Category and Sub-Category]])-FIND("/",Table1[[#This Row],[Category and Sub-Category]]))</f>
        <v>hardware</v>
      </c>
    </row>
    <row r="2742" spans="1:22" ht="43.2" x14ac:dyDescent="0.3">
      <c r="A2742">
        <v>2740</v>
      </c>
      <c r="B2742" s="3" t="s">
        <v>2740</v>
      </c>
      <c r="C2742" s="3" t="s">
        <v>6850</v>
      </c>
      <c r="D2742" s="1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>((Table1[[#This Row],[deadline]]/60)/60/24)+DATE(1970,1,1)</f>
        <v>42074.99018518519</v>
      </c>
      <c r="K2742">
        <v>1423529152</v>
      </c>
      <c r="L2742" s="11">
        <f>((Table1[[#This Row],[launched_at]]/60)/60/24)+DATE(1970,1,1)</f>
        <v>42045.031851851847</v>
      </c>
      <c r="M2742">
        <f>MONTH(Table1[[#This Row],[Date Created Conversion]])</f>
        <v>2</v>
      </c>
      <c r="N2742">
        <f>YEAR(Table1[[#This Row],[Date Created Conversion]])</f>
        <v>2015</v>
      </c>
      <c r="O2742" t="b">
        <v>0</v>
      </c>
      <c r="P2742">
        <v>17</v>
      </c>
      <c r="Q2742" t="b">
        <v>1</v>
      </c>
      <c r="R2742" t="s">
        <v>8295</v>
      </c>
      <c r="S2742" s="6">
        <f>Table1[[#This Row],[pledged]]/Table1[[#This Row],[goal]]</f>
        <v>1.0333333333333334</v>
      </c>
      <c r="T2742" s="8">
        <f>IF(Table1[[#This Row],[pledged]]=0,"no backers",Table1[[#This Row],[pledged]]/Table1[[#This Row],[backers_count]])</f>
        <v>18.235294117647058</v>
      </c>
      <c r="U2742" t="str">
        <f>LEFT(Table1[[#This Row],[Category and Sub-Category]],FIND("/",Table1[[#This Row],[Category and Sub-Category]])-1)</f>
        <v>technology</v>
      </c>
      <c r="V2742" t="str">
        <f>RIGHT(Table1[[#This Row],[Category and Sub-Category]],LEN(Table1[[#This Row],[Category and Sub-Category]])-FIND("/",Table1[[#This Row],[Category and Sub-Category]]))</f>
        <v>hardware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 s="12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>((Table1[[#This Row],[deadline]]/60)/60/24)+DATE(1970,1,1)</f>
        <v>41932.088194444441</v>
      </c>
      <c r="K2743">
        <v>1412005602</v>
      </c>
      <c r="L2743" s="11">
        <f>((Table1[[#This Row],[launched_at]]/60)/60/24)+DATE(1970,1,1)</f>
        <v>41911.657430555555</v>
      </c>
      <c r="M2743">
        <f>MONTH(Table1[[#This Row],[Date Created Conversion]])</f>
        <v>9</v>
      </c>
      <c r="N2743">
        <f>YEAR(Table1[[#This Row],[Date Created Conversion]])</f>
        <v>2014</v>
      </c>
      <c r="O2743" t="b">
        <v>0</v>
      </c>
      <c r="P2743">
        <v>4</v>
      </c>
      <c r="Q2743" t="b">
        <v>0</v>
      </c>
      <c r="R2743" t="s">
        <v>8304</v>
      </c>
      <c r="S2743" s="6">
        <f>Table1[[#This Row],[pledged]]/Table1[[#This Row],[goal]]</f>
        <v>4.3750000000000004E-3</v>
      </c>
      <c r="T2743" s="8">
        <f>IF(Table1[[#This Row],[pledged]]=0,"no backers",Table1[[#This Row],[pledged]]/Table1[[#This Row],[backers_count]])</f>
        <v>8.75</v>
      </c>
      <c r="U2743" t="str">
        <f>LEFT(Table1[[#This Row],[Category and Sub-Category]],FIND("/",Table1[[#This Row],[Category and Sub-Category]])-1)</f>
        <v>publishing</v>
      </c>
      <c r="V2743" t="str">
        <f>RIGHT(Table1[[#This Row],[Category and Sub-Category]],LEN(Table1[[#This Row],[Category and Sub-Category]])-FIND("/",Table1[[#This Row],[Category and Sub-Category]]))</f>
        <v>children's books</v>
      </c>
    </row>
    <row r="2744" spans="1:22" ht="43.2" x14ac:dyDescent="0.3">
      <c r="A2744">
        <v>2742</v>
      </c>
      <c r="B2744" s="3" t="s">
        <v>2742</v>
      </c>
      <c r="C2744" s="3" t="s">
        <v>6852</v>
      </c>
      <c r="D2744" s="12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>((Table1[[#This Row],[deadline]]/60)/60/24)+DATE(1970,1,1)</f>
        <v>41044.719756944447</v>
      </c>
      <c r="K2744">
        <v>1335892587</v>
      </c>
      <c r="L2744" s="11">
        <f>((Table1[[#This Row],[launched_at]]/60)/60/24)+DATE(1970,1,1)</f>
        <v>41030.719756944447</v>
      </c>
      <c r="M2744">
        <f>MONTH(Table1[[#This Row],[Date Created Conversion]])</f>
        <v>5</v>
      </c>
      <c r="N2744">
        <f>YEAR(Table1[[#This Row],[Date Created Conversion]])</f>
        <v>2012</v>
      </c>
      <c r="O2744" t="b">
        <v>0</v>
      </c>
      <c r="P2744">
        <v>18</v>
      </c>
      <c r="Q2744" t="b">
        <v>0</v>
      </c>
      <c r="R2744" t="s">
        <v>8304</v>
      </c>
      <c r="S2744" s="6">
        <f>Table1[[#This Row],[pledged]]/Table1[[#This Row],[goal]]</f>
        <v>0.29239999999999999</v>
      </c>
      <c r="T2744" s="8">
        <f>IF(Table1[[#This Row],[pledged]]=0,"no backers",Table1[[#This Row],[pledged]]/Table1[[#This Row],[backers_count]])</f>
        <v>40.611111111111114</v>
      </c>
      <c r="U2744" t="str">
        <f>LEFT(Table1[[#This Row],[Category and Sub-Category]],FIND("/",Table1[[#This Row],[Category and Sub-Category]])-1)</f>
        <v>publishing</v>
      </c>
      <c r="V2744" t="str">
        <f>RIGHT(Table1[[#This Row],[Category and Sub-Category]],LEN(Table1[[#This Row],[Category and Sub-Category]])-FIND("/",Table1[[#This Row],[Category and Sub-Category]]))</f>
        <v>children's books</v>
      </c>
    </row>
    <row r="2745" spans="1:22" ht="57.6" x14ac:dyDescent="0.3">
      <c r="A2745">
        <v>2743</v>
      </c>
      <c r="B2745" s="3" t="s">
        <v>2743</v>
      </c>
      <c r="C2745" s="3" t="s">
        <v>6853</v>
      </c>
      <c r="D2745" s="12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>((Table1[[#This Row],[deadline]]/60)/60/24)+DATE(1970,1,1)</f>
        <v>42662.328784722224</v>
      </c>
      <c r="K2745">
        <v>1474271607</v>
      </c>
      <c r="L2745" s="11">
        <f>((Table1[[#This Row],[launched_at]]/60)/60/24)+DATE(1970,1,1)</f>
        <v>42632.328784722224</v>
      </c>
      <c r="M2745">
        <f>MONTH(Table1[[#This Row],[Date Created Conversion]])</f>
        <v>9</v>
      </c>
      <c r="N2745">
        <f>YEAR(Table1[[#This Row],[Date Created Conversion]])</f>
        <v>2016</v>
      </c>
      <c r="O2745" t="b">
        <v>0</v>
      </c>
      <c r="P2745">
        <v>0</v>
      </c>
      <c r="Q2745" t="b">
        <v>0</v>
      </c>
      <c r="R2745" t="s">
        <v>8304</v>
      </c>
      <c r="S2745" s="6">
        <f>Table1[[#This Row],[pledged]]/Table1[[#This Row],[goal]]</f>
        <v>0</v>
      </c>
      <c r="T2745" s="8" t="str">
        <f>IF(Table1[[#This Row],[pledged]]=0,"no backers",Table1[[#This Row],[pledged]]/Table1[[#This Row],[backers_count]])</f>
        <v>no backers</v>
      </c>
      <c r="U2745" t="str">
        <f>LEFT(Table1[[#This Row],[Category and Sub-Category]],FIND("/",Table1[[#This Row],[Category and Sub-Category]])-1)</f>
        <v>publishing</v>
      </c>
      <c r="V2745" t="str">
        <f>RIGHT(Table1[[#This Row],[Category and Sub-Category]],LEN(Table1[[#This Row],[Category and Sub-Category]])-FIND("/",Table1[[#This Row],[Category and Sub-Category]]))</f>
        <v>children's books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 s="12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>((Table1[[#This Row],[deadline]]/60)/60/24)+DATE(1970,1,1)</f>
        <v>40968.062476851854</v>
      </c>
      <c r="K2746">
        <v>1327886998</v>
      </c>
      <c r="L2746" s="11">
        <f>((Table1[[#This Row],[launched_at]]/60)/60/24)+DATE(1970,1,1)</f>
        <v>40938.062476851854</v>
      </c>
      <c r="M2746">
        <f>MONTH(Table1[[#This Row],[Date Created Conversion]])</f>
        <v>1</v>
      </c>
      <c r="N2746">
        <f>YEAR(Table1[[#This Row],[Date Created Conversion]])</f>
        <v>2012</v>
      </c>
      <c r="O2746" t="b">
        <v>0</v>
      </c>
      <c r="P2746">
        <v>22</v>
      </c>
      <c r="Q2746" t="b">
        <v>0</v>
      </c>
      <c r="R2746" t="s">
        <v>8304</v>
      </c>
      <c r="S2746" s="6">
        <f>Table1[[#This Row],[pledged]]/Table1[[#This Row],[goal]]</f>
        <v>5.2187499999999998E-2</v>
      </c>
      <c r="T2746" s="8">
        <f>IF(Table1[[#This Row],[pledged]]=0,"no backers",Table1[[#This Row],[pledged]]/Table1[[#This Row],[backers_count]])</f>
        <v>37.954545454545453</v>
      </c>
      <c r="U2746" t="str">
        <f>LEFT(Table1[[#This Row],[Category and Sub-Category]],FIND("/",Table1[[#This Row],[Category and Sub-Category]])-1)</f>
        <v>publishing</v>
      </c>
      <c r="V2746" t="str">
        <f>RIGHT(Table1[[#This Row],[Category and Sub-Category]],LEN(Table1[[#This Row],[Category and Sub-Category]])-FIND("/",Table1[[#This Row],[Category and Sub-Category]]))</f>
        <v>children's books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 s="12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>((Table1[[#This Row],[deadline]]/60)/60/24)+DATE(1970,1,1)</f>
        <v>41104.988055555557</v>
      </c>
      <c r="K2747">
        <v>1337125368</v>
      </c>
      <c r="L2747" s="11">
        <f>((Table1[[#This Row],[launched_at]]/60)/60/24)+DATE(1970,1,1)</f>
        <v>41044.988055555557</v>
      </c>
      <c r="M2747">
        <f>MONTH(Table1[[#This Row],[Date Created Conversion]])</f>
        <v>5</v>
      </c>
      <c r="N2747">
        <f>YEAR(Table1[[#This Row],[Date Created Conversion]])</f>
        <v>2012</v>
      </c>
      <c r="O2747" t="b">
        <v>0</v>
      </c>
      <c r="P2747">
        <v>49</v>
      </c>
      <c r="Q2747" t="b">
        <v>0</v>
      </c>
      <c r="R2747" t="s">
        <v>8304</v>
      </c>
      <c r="S2747" s="6">
        <f>Table1[[#This Row],[pledged]]/Table1[[#This Row],[goal]]</f>
        <v>0.21887499999999999</v>
      </c>
      <c r="T2747" s="8">
        <f>IF(Table1[[#This Row],[pledged]]=0,"no backers",Table1[[#This Row],[pledged]]/Table1[[#This Row],[backers_count]])</f>
        <v>35.734693877551024</v>
      </c>
      <c r="U2747" t="str">
        <f>LEFT(Table1[[#This Row],[Category and Sub-Category]],FIND("/",Table1[[#This Row],[Category and Sub-Category]])-1)</f>
        <v>publishing</v>
      </c>
      <c r="V2747" t="str">
        <f>RIGHT(Table1[[#This Row],[Category and Sub-Category]],LEN(Table1[[#This Row],[Category and Sub-Category]])-FIND("/",Table1[[#This Row],[Category and Sub-Category]]))</f>
        <v>children's books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 s="12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>((Table1[[#This Row],[deadline]]/60)/60/24)+DATE(1970,1,1)</f>
        <v>41880.781377314815</v>
      </c>
      <c r="K2748">
        <v>1406745911</v>
      </c>
      <c r="L2748" s="11">
        <f>((Table1[[#This Row],[launched_at]]/60)/60/24)+DATE(1970,1,1)</f>
        <v>41850.781377314815</v>
      </c>
      <c r="M2748">
        <f>MONTH(Table1[[#This Row],[Date Created Conversion]])</f>
        <v>7</v>
      </c>
      <c r="N2748">
        <f>YEAR(Table1[[#This Row],[Date Created Conversion]])</f>
        <v>2014</v>
      </c>
      <c r="O2748" t="b">
        <v>0</v>
      </c>
      <c r="P2748">
        <v>19</v>
      </c>
      <c r="Q2748" t="b">
        <v>0</v>
      </c>
      <c r="R2748" t="s">
        <v>8304</v>
      </c>
      <c r="S2748" s="6">
        <f>Table1[[#This Row],[pledged]]/Table1[[#This Row],[goal]]</f>
        <v>0.26700000000000002</v>
      </c>
      <c r="T2748" s="8">
        <f>IF(Table1[[#This Row],[pledged]]=0,"no backers",Table1[[#This Row],[pledged]]/Table1[[#This Row],[backers_count]])</f>
        <v>42.157894736842103</v>
      </c>
      <c r="U2748" t="str">
        <f>LEFT(Table1[[#This Row],[Category and Sub-Category]],FIND("/",Table1[[#This Row],[Category and Sub-Category]])-1)</f>
        <v>publishing</v>
      </c>
      <c r="V2748" t="str">
        <f>RIGHT(Table1[[#This Row],[Category and Sub-Category]],LEN(Table1[[#This Row],[Category and Sub-Category]])-FIND("/",Table1[[#This Row],[Category and Sub-Category]]))</f>
        <v>children's books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 s="12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>((Table1[[#This Row],[deadline]]/60)/60/24)+DATE(1970,1,1)</f>
        <v>41076.131944444445</v>
      </c>
      <c r="K2749">
        <v>1337095997</v>
      </c>
      <c r="L2749" s="11">
        <f>((Table1[[#This Row],[launched_at]]/60)/60/24)+DATE(1970,1,1)</f>
        <v>41044.64811342593</v>
      </c>
      <c r="M2749">
        <f>MONTH(Table1[[#This Row],[Date Created Conversion]])</f>
        <v>5</v>
      </c>
      <c r="N2749">
        <f>YEAR(Table1[[#This Row],[Date Created Conversion]])</f>
        <v>2012</v>
      </c>
      <c r="O2749" t="b">
        <v>0</v>
      </c>
      <c r="P2749">
        <v>4</v>
      </c>
      <c r="Q2749" t="b">
        <v>0</v>
      </c>
      <c r="R2749" t="s">
        <v>8304</v>
      </c>
      <c r="S2749" s="6">
        <f>Table1[[#This Row],[pledged]]/Table1[[#This Row],[goal]]</f>
        <v>0.28000000000000003</v>
      </c>
      <c r="T2749" s="8">
        <f>IF(Table1[[#This Row],[pledged]]=0,"no backers",Table1[[#This Row],[pledged]]/Table1[[#This Row],[backers_count]])</f>
        <v>35</v>
      </c>
      <c r="U2749" t="str">
        <f>LEFT(Table1[[#This Row],[Category and Sub-Category]],FIND("/",Table1[[#This Row],[Category and Sub-Category]])-1)</f>
        <v>publishing</v>
      </c>
      <c r="V2749" t="str">
        <f>RIGHT(Table1[[#This Row],[Category and Sub-Category]],LEN(Table1[[#This Row],[Category and Sub-Category]])-FIND("/",Table1[[#This Row],[Category and Sub-Category]]))</f>
        <v>children's books</v>
      </c>
    </row>
    <row r="2750" spans="1:22" ht="43.2" x14ac:dyDescent="0.3">
      <c r="A2750">
        <v>2748</v>
      </c>
      <c r="B2750" s="3" t="s">
        <v>2748</v>
      </c>
      <c r="C2750" s="3" t="s">
        <v>6858</v>
      </c>
      <c r="D2750" s="12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>((Table1[[#This Row],[deadline]]/60)/60/24)+DATE(1970,1,1)</f>
        <v>42615.7106712963</v>
      </c>
      <c r="K2750">
        <v>1470243802</v>
      </c>
      <c r="L2750" s="11">
        <f>((Table1[[#This Row],[launched_at]]/60)/60/24)+DATE(1970,1,1)</f>
        <v>42585.7106712963</v>
      </c>
      <c r="M2750">
        <f>MONTH(Table1[[#This Row],[Date Created Conversion]])</f>
        <v>8</v>
      </c>
      <c r="N2750">
        <f>YEAR(Table1[[#This Row],[Date Created Conversion]])</f>
        <v>2016</v>
      </c>
      <c r="O2750" t="b">
        <v>0</v>
      </c>
      <c r="P2750">
        <v>4</v>
      </c>
      <c r="Q2750" t="b">
        <v>0</v>
      </c>
      <c r="R2750" t="s">
        <v>8304</v>
      </c>
      <c r="S2750" s="6">
        <f>Table1[[#This Row],[pledged]]/Table1[[#This Row],[goal]]</f>
        <v>1.06E-2</v>
      </c>
      <c r="T2750" s="8">
        <f>IF(Table1[[#This Row],[pledged]]=0,"no backers",Table1[[#This Row],[pledged]]/Table1[[#This Row],[backers_count]])</f>
        <v>13.25</v>
      </c>
      <c r="U2750" t="str">
        <f>LEFT(Table1[[#This Row],[Category and Sub-Category]],FIND("/",Table1[[#This Row],[Category and Sub-Category]])-1)</f>
        <v>publishing</v>
      </c>
      <c r="V2750" t="str">
        <f>RIGHT(Table1[[#This Row],[Category and Sub-Category]],LEN(Table1[[#This Row],[Category and Sub-Category]])-FIND("/",Table1[[#This Row],[Category and Sub-Category]]))</f>
        <v>children's books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 s="12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>((Table1[[#This Row],[deadline]]/60)/60/24)+DATE(1970,1,1)</f>
        <v>42098.757372685184</v>
      </c>
      <c r="K2751">
        <v>1425582637</v>
      </c>
      <c r="L2751" s="11">
        <f>((Table1[[#This Row],[launched_at]]/60)/60/24)+DATE(1970,1,1)</f>
        <v>42068.799039351856</v>
      </c>
      <c r="M2751">
        <f>MONTH(Table1[[#This Row],[Date Created Conversion]])</f>
        <v>3</v>
      </c>
      <c r="N2751">
        <f>YEAR(Table1[[#This Row],[Date Created Conversion]])</f>
        <v>2015</v>
      </c>
      <c r="O2751" t="b">
        <v>0</v>
      </c>
      <c r="P2751">
        <v>2</v>
      </c>
      <c r="Q2751" t="b">
        <v>0</v>
      </c>
      <c r="R2751" t="s">
        <v>8304</v>
      </c>
      <c r="S2751" s="6">
        <f>Table1[[#This Row],[pledged]]/Table1[[#This Row],[goal]]</f>
        <v>1.0999999999999999E-2</v>
      </c>
      <c r="T2751" s="8">
        <f>IF(Table1[[#This Row],[pledged]]=0,"no backers",Table1[[#This Row],[pledged]]/Table1[[#This Row],[backers_count]])</f>
        <v>55</v>
      </c>
      <c r="U2751" t="str">
        <f>LEFT(Table1[[#This Row],[Category and Sub-Category]],FIND("/",Table1[[#This Row],[Category and Sub-Category]])-1)</f>
        <v>publishing</v>
      </c>
      <c r="V2751" t="str">
        <f>RIGHT(Table1[[#This Row],[Category and Sub-Category]],LEN(Table1[[#This Row],[Category and Sub-Category]])-FIND("/",Table1[[#This Row],[Category and Sub-Category]]))</f>
        <v>children's books</v>
      </c>
    </row>
    <row r="2752" spans="1:22" ht="43.2" x14ac:dyDescent="0.3">
      <c r="A2752">
        <v>2750</v>
      </c>
      <c r="B2752" s="3" t="s">
        <v>2750</v>
      </c>
      <c r="C2752" s="3" t="s">
        <v>6860</v>
      </c>
      <c r="D2752" s="1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>((Table1[[#This Row],[deadline]]/60)/60/24)+DATE(1970,1,1)</f>
        <v>41090.833333333336</v>
      </c>
      <c r="K2752">
        <v>1340055345</v>
      </c>
      <c r="L2752" s="11">
        <f>((Table1[[#This Row],[launched_at]]/60)/60/24)+DATE(1970,1,1)</f>
        <v>41078.899826388886</v>
      </c>
      <c r="M2752">
        <f>MONTH(Table1[[#This Row],[Date Created Conversion]])</f>
        <v>6</v>
      </c>
      <c r="N2752">
        <f>YEAR(Table1[[#This Row],[Date Created Conversion]])</f>
        <v>2012</v>
      </c>
      <c r="O2752" t="b">
        <v>0</v>
      </c>
      <c r="P2752">
        <v>0</v>
      </c>
      <c r="Q2752" t="b">
        <v>0</v>
      </c>
      <c r="R2752" t="s">
        <v>8304</v>
      </c>
      <c r="S2752" s="6">
        <f>Table1[[#This Row],[pledged]]/Table1[[#This Row],[goal]]</f>
        <v>0</v>
      </c>
      <c r="T2752" s="8" t="str">
        <f>IF(Table1[[#This Row],[pledged]]=0,"no backers",Table1[[#This Row],[pledged]]/Table1[[#This Row],[backers_count]])</f>
        <v>no backers</v>
      </c>
      <c r="U2752" t="str">
        <f>LEFT(Table1[[#This Row],[Category and Sub-Category]],FIND("/",Table1[[#This Row],[Category and Sub-Category]])-1)</f>
        <v>publishing</v>
      </c>
      <c r="V2752" t="str">
        <f>RIGHT(Table1[[#This Row],[Category and Sub-Category]],LEN(Table1[[#This Row],[Category and Sub-Category]])-FIND("/",Table1[[#This Row],[Category and Sub-Category]]))</f>
        <v>children's books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 s="12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>((Table1[[#This Row],[deadline]]/60)/60/24)+DATE(1970,1,1)</f>
        <v>41807.887060185189</v>
      </c>
      <c r="K2753">
        <v>1397855842</v>
      </c>
      <c r="L2753" s="11">
        <f>((Table1[[#This Row],[launched_at]]/60)/60/24)+DATE(1970,1,1)</f>
        <v>41747.887060185189</v>
      </c>
      <c r="M2753">
        <f>MONTH(Table1[[#This Row],[Date Created Conversion]])</f>
        <v>4</v>
      </c>
      <c r="N2753">
        <f>YEAR(Table1[[#This Row],[Date Created Conversion]])</f>
        <v>2014</v>
      </c>
      <c r="O2753" t="b">
        <v>0</v>
      </c>
      <c r="P2753">
        <v>0</v>
      </c>
      <c r="Q2753" t="b">
        <v>0</v>
      </c>
      <c r="R2753" t="s">
        <v>8304</v>
      </c>
      <c r="S2753" s="6">
        <f>Table1[[#This Row],[pledged]]/Table1[[#This Row],[goal]]</f>
        <v>0</v>
      </c>
      <c r="T2753" s="8" t="str">
        <f>IF(Table1[[#This Row],[pledged]]=0,"no backers",Table1[[#This Row],[pledged]]/Table1[[#This Row],[backers_count]])</f>
        <v>no backers</v>
      </c>
      <c r="U2753" t="str">
        <f>LEFT(Table1[[#This Row],[Category and Sub-Category]],FIND("/",Table1[[#This Row],[Category and Sub-Category]])-1)</f>
        <v>publishing</v>
      </c>
      <c r="V2753" t="str">
        <f>RIGHT(Table1[[#This Row],[Category and Sub-Category]],LEN(Table1[[#This Row],[Category and Sub-Category]])-FIND("/",Table1[[#This Row],[Category and Sub-Category]]))</f>
        <v>children's books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 s="12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>((Table1[[#This Row],[deadline]]/60)/60/24)+DATE(1970,1,1)</f>
        <v>40895.765092592592</v>
      </c>
      <c r="K2754">
        <v>1320776504</v>
      </c>
      <c r="L2754" s="11">
        <f>((Table1[[#This Row],[launched_at]]/60)/60/24)+DATE(1970,1,1)</f>
        <v>40855.765092592592</v>
      </c>
      <c r="M2754">
        <f>MONTH(Table1[[#This Row],[Date Created Conversion]])</f>
        <v>11</v>
      </c>
      <c r="N2754">
        <f>YEAR(Table1[[#This Row],[Date Created Conversion]])</f>
        <v>2011</v>
      </c>
      <c r="O2754" t="b">
        <v>0</v>
      </c>
      <c r="P2754">
        <v>14</v>
      </c>
      <c r="Q2754" t="b">
        <v>0</v>
      </c>
      <c r="R2754" t="s">
        <v>8304</v>
      </c>
      <c r="S2754" s="6">
        <f>Table1[[#This Row],[pledged]]/Table1[[#This Row],[goal]]</f>
        <v>0.11458333333333333</v>
      </c>
      <c r="T2754" s="8">
        <f>IF(Table1[[#This Row],[pledged]]=0,"no backers",Table1[[#This Row],[pledged]]/Table1[[#This Row],[backers_count]])</f>
        <v>39.285714285714285</v>
      </c>
      <c r="U2754" t="str">
        <f>LEFT(Table1[[#This Row],[Category and Sub-Category]],FIND("/",Table1[[#This Row],[Category and Sub-Category]])-1)</f>
        <v>publishing</v>
      </c>
      <c r="V2754" t="str">
        <f>RIGHT(Table1[[#This Row],[Category and Sub-Category]],LEN(Table1[[#This Row],[Category and Sub-Category]])-FIND("/",Table1[[#This Row],[Category and Sub-Category]]))</f>
        <v>children's books</v>
      </c>
    </row>
    <row r="2755" spans="1:22" ht="43.2" x14ac:dyDescent="0.3">
      <c r="A2755">
        <v>2753</v>
      </c>
      <c r="B2755" s="3" t="s">
        <v>2753</v>
      </c>
      <c r="C2755" s="3" t="s">
        <v>6863</v>
      </c>
      <c r="D2755" s="12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>((Table1[[#This Row],[deadline]]/60)/60/24)+DATE(1970,1,1)</f>
        <v>41147.900729166664</v>
      </c>
      <c r="K2755">
        <v>1343425023</v>
      </c>
      <c r="L2755" s="11">
        <f>((Table1[[#This Row],[launched_at]]/60)/60/24)+DATE(1970,1,1)</f>
        <v>41117.900729166664</v>
      </c>
      <c r="M2755">
        <f>MONTH(Table1[[#This Row],[Date Created Conversion]])</f>
        <v>7</v>
      </c>
      <c r="N2755">
        <f>YEAR(Table1[[#This Row],[Date Created Conversion]])</f>
        <v>2012</v>
      </c>
      <c r="O2755" t="b">
        <v>0</v>
      </c>
      <c r="P2755">
        <v>8</v>
      </c>
      <c r="Q2755" t="b">
        <v>0</v>
      </c>
      <c r="R2755" t="s">
        <v>8304</v>
      </c>
      <c r="S2755" s="6">
        <f>Table1[[#This Row],[pledged]]/Table1[[#This Row],[goal]]</f>
        <v>0.19</v>
      </c>
      <c r="T2755" s="8">
        <f>IF(Table1[[#This Row],[pledged]]=0,"no backers",Table1[[#This Row],[pledged]]/Table1[[#This Row],[backers_count]])</f>
        <v>47.5</v>
      </c>
      <c r="U2755" t="str">
        <f>LEFT(Table1[[#This Row],[Category and Sub-Category]],FIND("/",Table1[[#This Row],[Category and Sub-Category]])-1)</f>
        <v>publishing</v>
      </c>
      <c r="V2755" t="str">
        <f>RIGHT(Table1[[#This Row],[Category and Sub-Category]],LEN(Table1[[#This Row],[Category and Sub-Category]])-FIND("/",Table1[[#This Row],[Category and Sub-Category]]))</f>
        <v>children's books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 s="12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>((Table1[[#This Row],[deadline]]/60)/60/24)+DATE(1970,1,1)</f>
        <v>41893.636006944449</v>
      </c>
      <c r="K2756">
        <v>1407856551</v>
      </c>
      <c r="L2756" s="11">
        <f>((Table1[[#This Row],[launched_at]]/60)/60/24)+DATE(1970,1,1)</f>
        <v>41863.636006944449</v>
      </c>
      <c r="M2756">
        <f>MONTH(Table1[[#This Row],[Date Created Conversion]])</f>
        <v>8</v>
      </c>
      <c r="N2756">
        <f>YEAR(Table1[[#This Row],[Date Created Conversion]])</f>
        <v>2014</v>
      </c>
      <c r="O2756" t="b">
        <v>0</v>
      </c>
      <c r="P2756">
        <v>0</v>
      </c>
      <c r="Q2756" t="b">
        <v>0</v>
      </c>
      <c r="R2756" t="s">
        <v>8304</v>
      </c>
      <c r="S2756" s="6">
        <f>Table1[[#This Row],[pledged]]/Table1[[#This Row],[goal]]</f>
        <v>0</v>
      </c>
      <c r="T2756" s="8" t="str">
        <f>IF(Table1[[#This Row],[pledged]]=0,"no backers",Table1[[#This Row],[pledged]]/Table1[[#This Row],[backers_count]])</f>
        <v>no backers</v>
      </c>
      <c r="U2756" t="str">
        <f>LEFT(Table1[[#This Row],[Category and Sub-Category]],FIND("/",Table1[[#This Row],[Category and Sub-Category]])-1)</f>
        <v>publishing</v>
      </c>
      <c r="V2756" t="str">
        <f>RIGHT(Table1[[#This Row],[Category and Sub-Category]],LEN(Table1[[#This Row],[Category and Sub-Category]])-FIND("/",Table1[[#This Row],[Category and Sub-Category]]))</f>
        <v>children's books</v>
      </c>
    </row>
    <row r="2757" spans="1:22" ht="43.2" x14ac:dyDescent="0.3">
      <c r="A2757">
        <v>2755</v>
      </c>
      <c r="B2757" s="3" t="s">
        <v>2755</v>
      </c>
      <c r="C2757" s="3" t="s">
        <v>6865</v>
      </c>
      <c r="D2757" s="12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>((Table1[[#This Row],[deadline]]/60)/60/24)+DATE(1970,1,1)</f>
        <v>42102.790821759263</v>
      </c>
      <c r="K2757">
        <v>1425927527</v>
      </c>
      <c r="L2757" s="11">
        <f>((Table1[[#This Row],[launched_at]]/60)/60/24)+DATE(1970,1,1)</f>
        <v>42072.790821759263</v>
      </c>
      <c r="M2757">
        <f>MONTH(Table1[[#This Row],[Date Created Conversion]])</f>
        <v>3</v>
      </c>
      <c r="N2757">
        <f>YEAR(Table1[[#This Row],[Date Created Conversion]])</f>
        <v>2015</v>
      </c>
      <c r="O2757" t="b">
        <v>0</v>
      </c>
      <c r="P2757">
        <v>15</v>
      </c>
      <c r="Q2757" t="b">
        <v>0</v>
      </c>
      <c r="R2757" t="s">
        <v>8304</v>
      </c>
      <c r="S2757" s="6">
        <f>Table1[[#This Row],[pledged]]/Table1[[#This Row],[goal]]</f>
        <v>0.52</v>
      </c>
      <c r="T2757" s="8">
        <f>IF(Table1[[#This Row],[pledged]]=0,"no backers",Table1[[#This Row],[pledged]]/Table1[[#This Row],[backers_count]])</f>
        <v>17.333333333333332</v>
      </c>
      <c r="U2757" t="str">
        <f>LEFT(Table1[[#This Row],[Category and Sub-Category]],FIND("/",Table1[[#This Row],[Category and Sub-Category]])-1)</f>
        <v>publishing</v>
      </c>
      <c r="V2757" t="str">
        <f>RIGHT(Table1[[#This Row],[Category and Sub-Category]],LEN(Table1[[#This Row],[Category and Sub-Category]])-FIND("/",Table1[[#This Row],[Category and Sub-Category]]))</f>
        <v>children's books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 s="12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>((Table1[[#This Row],[deadline]]/60)/60/24)+DATE(1970,1,1)</f>
        <v>41650.90047453704</v>
      </c>
      <c r="K2758">
        <v>1386884201</v>
      </c>
      <c r="L2758" s="11">
        <f>((Table1[[#This Row],[launched_at]]/60)/60/24)+DATE(1970,1,1)</f>
        <v>41620.90047453704</v>
      </c>
      <c r="M2758">
        <f>MONTH(Table1[[#This Row],[Date Created Conversion]])</f>
        <v>12</v>
      </c>
      <c r="N2758">
        <f>YEAR(Table1[[#This Row],[Date Created Conversion]])</f>
        <v>2013</v>
      </c>
      <c r="O2758" t="b">
        <v>0</v>
      </c>
      <c r="P2758">
        <v>33</v>
      </c>
      <c r="Q2758" t="b">
        <v>0</v>
      </c>
      <c r="R2758" t="s">
        <v>8304</v>
      </c>
      <c r="S2758" s="6">
        <f>Table1[[#This Row],[pledged]]/Table1[[#This Row],[goal]]</f>
        <v>0.1048</v>
      </c>
      <c r="T2758" s="8">
        <f>IF(Table1[[#This Row],[pledged]]=0,"no backers",Table1[[#This Row],[pledged]]/Table1[[#This Row],[backers_count]])</f>
        <v>31.757575757575758</v>
      </c>
      <c r="U2758" t="str">
        <f>LEFT(Table1[[#This Row],[Category and Sub-Category]],FIND("/",Table1[[#This Row],[Category and Sub-Category]])-1)</f>
        <v>publishing</v>
      </c>
      <c r="V2758" t="str">
        <f>RIGHT(Table1[[#This Row],[Category and Sub-Category]],LEN(Table1[[#This Row],[Category and Sub-Category]])-FIND("/",Table1[[#This Row],[Category and Sub-Category]]))</f>
        <v>children's books</v>
      </c>
    </row>
    <row r="2759" spans="1:22" ht="28.8" x14ac:dyDescent="0.3">
      <c r="A2759">
        <v>2757</v>
      </c>
      <c r="B2759" s="3" t="s">
        <v>2757</v>
      </c>
      <c r="C2759" s="3" t="s">
        <v>6867</v>
      </c>
      <c r="D2759" s="12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>((Table1[[#This Row],[deadline]]/60)/60/24)+DATE(1970,1,1)</f>
        <v>42588.65662037037</v>
      </c>
      <c r="K2759">
        <v>1469202332</v>
      </c>
      <c r="L2759" s="11">
        <f>((Table1[[#This Row],[launched_at]]/60)/60/24)+DATE(1970,1,1)</f>
        <v>42573.65662037037</v>
      </c>
      <c r="M2759">
        <f>MONTH(Table1[[#This Row],[Date Created Conversion]])</f>
        <v>7</v>
      </c>
      <c r="N2759">
        <f>YEAR(Table1[[#This Row],[Date Created Conversion]])</f>
        <v>2016</v>
      </c>
      <c r="O2759" t="b">
        <v>0</v>
      </c>
      <c r="P2759">
        <v>2</v>
      </c>
      <c r="Q2759" t="b">
        <v>0</v>
      </c>
      <c r="R2759" t="s">
        <v>8304</v>
      </c>
      <c r="S2759" s="6">
        <f>Table1[[#This Row],[pledged]]/Table1[[#This Row],[goal]]</f>
        <v>6.6666666666666671E-3</v>
      </c>
      <c r="T2759" s="8">
        <f>IF(Table1[[#This Row],[pledged]]=0,"no backers",Table1[[#This Row],[pledged]]/Table1[[#This Row],[backers_count]])</f>
        <v>5</v>
      </c>
      <c r="U2759" t="str">
        <f>LEFT(Table1[[#This Row],[Category and Sub-Category]],FIND("/",Table1[[#This Row],[Category and Sub-Category]])-1)</f>
        <v>publishing</v>
      </c>
      <c r="V2759" t="str">
        <f>RIGHT(Table1[[#This Row],[Category and Sub-Category]],LEN(Table1[[#This Row],[Category and Sub-Category]])-FIND("/",Table1[[#This Row],[Category and Sub-Category]]))</f>
        <v>children's books</v>
      </c>
    </row>
    <row r="2760" spans="1:22" ht="57.6" x14ac:dyDescent="0.3">
      <c r="A2760">
        <v>2758</v>
      </c>
      <c r="B2760" s="3" t="s">
        <v>2758</v>
      </c>
      <c r="C2760" s="3" t="s">
        <v>6868</v>
      </c>
      <c r="D2760" s="12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>((Table1[[#This Row],[deadline]]/60)/60/24)+DATE(1970,1,1)</f>
        <v>42653.441932870366</v>
      </c>
      <c r="K2760">
        <v>1474886183</v>
      </c>
      <c r="L2760" s="11">
        <f>((Table1[[#This Row],[launched_at]]/60)/60/24)+DATE(1970,1,1)</f>
        <v>42639.441932870366</v>
      </c>
      <c r="M2760">
        <f>MONTH(Table1[[#This Row],[Date Created Conversion]])</f>
        <v>9</v>
      </c>
      <c r="N2760">
        <f>YEAR(Table1[[#This Row],[Date Created Conversion]])</f>
        <v>2016</v>
      </c>
      <c r="O2760" t="b">
        <v>0</v>
      </c>
      <c r="P2760">
        <v>6</v>
      </c>
      <c r="Q2760" t="b">
        <v>0</v>
      </c>
      <c r="R2760" t="s">
        <v>8304</v>
      </c>
      <c r="S2760" s="6">
        <f>Table1[[#This Row],[pledged]]/Table1[[#This Row],[goal]]</f>
        <v>0.11700000000000001</v>
      </c>
      <c r="T2760" s="8">
        <f>IF(Table1[[#This Row],[pledged]]=0,"no backers",Table1[[#This Row],[pledged]]/Table1[[#This Row],[backers_count]])</f>
        <v>39</v>
      </c>
      <c r="U2760" t="str">
        <f>LEFT(Table1[[#This Row],[Category and Sub-Category]],FIND("/",Table1[[#This Row],[Category and Sub-Category]])-1)</f>
        <v>publishing</v>
      </c>
      <c r="V2760" t="str">
        <f>RIGHT(Table1[[#This Row],[Category and Sub-Category]],LEN(Table1[[#This Row],[Category and Sub-Category]])-FIND("/",Table1[[#This Row],[Category and Sub-Category]]))</f>
        <v>children's books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 s="12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>((Table1[[#This Row],[deadline]]/60)/60/24)+DATE(1970,1,1)</f>
        <v>42567.36650462963</v>
      </c>
      <c r="K2761">
        <v>1464943666</v>
      </c>
      <c r="L2761" s="11">
        <f>((Table1[[#This Row],[launched_at]]/60)/60/24)+DATE(1970,1,1)</f>
        <v>42524.36650462963</v>
      </c>
      <c r="M2761">
        <f>MONTH(Table1[[#This Row],[Date Created Conversion]])</f>
        <v>6</v>
      </c>
      <c r="N2761">
        <f>YEAR(Table1[[#This Row],[Date Created Conversion]])</f>
        <v>2016</v>
      </c>
      <c r="O2761" t="b">
        <v>0</v>
      </c>
      <c r="P2761">
        <v>2</v>
      </c>
      <c r="Q2761" t="b">
        <v>0</v>
      </c>
      <c r="R2761" t="s">
        <v>8304</v>
      </c>
      <c r="S2761" s="6">
        <f>Table1[[#This Row],[pledged]]/Table1[[#This Row],[goal]]</f>
        <v>0.105</v>
      </c>
      <c r="T2761" s="8">
        <f>IF(Table1[[#This Row],[pledged]]=0,"no backers",Table1[[#This Row],[pledged]]/Table1[[#This Row],[backers_count]])</f>
        <v>52.5</v>
      </c>
      <c r="U2761" t="str">
        <f>LEFT(Table1[[#This Row],[Category and Sub-Category]],FIND("/",Table1[[#This Row],[Category and Sub-Category]])-1)</f>
        <v>publishing</v>
      </c>
      <c r="V2761" t="str">
        <f>RIGHT(Table1[[#This Row],[Category and Sub-Category]],LEN(Table1[[#This Row],[Category and Sub-Category]])-FIND("/",Table1[[#This Row],[Category and Sub-Category]]))</f>
        <v>children's books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 s="1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>((Table1[[#This Row],[deadline]]/60)/60/24)+DATE(1970,1,1)</f>
        <v>41445.461319444446</v>
      </c>
      <c r="K2762">
        <v>1369134258</v>
      </c>
      <c r="L2762" s="11">
        <f>((Table1[[#This Row],[launched_at]]/60)/60/24)+DATE(1970,1,1)</f>
        <v>41415.461319444446</v>
      </c>
      <c r="M2762">
        <f>MONTH(Table1[[#This Row],[Date Created Conversion]])</f>
        <v>5</v>
      </c>
      <c r="N2762">
        <f>YEAR(Table1[[#This Row],[Date Created Conversion]])</f>
        <v>2013</v>
      </c>
      <c r="O2762" t="b">
        <v>0</v>
      </c>
      <c r="P2762">
        <v>0</v>
      </c>
      <c r="Q2762" t="b">
        <v>0</v>
      </c>
      <c r="R2762" t="s">
        <v>8304</v>
      </c>
      <c r="S2762" s="6">
        <f>Table1[[#This Row],[pledged]]/Table1[[#This Row],[goal]]</f>
        <v>0</v>
      </c>
      <c r="T2762" s="8" t="str">
        <f>IF(Table1[[#This Row],[pledged]]=0,"no backers",Table1[[#This Row],[pledged]]/Table1[[#This Row],[backers_count]])</f>
        <v>no backers</v>
      </c>
      <c r="U2762" t="str">
        <f>LEFT(Table1[[#This Row],[Category and Sub-Category]],FIND("/",Table1[[#This Row],[Category and Sub-Category]])-1)</f>
        <v>publishing</v>
      </c>
      <c r="V2762" t="str">
        <f>RIGHT(Table1[[#This Row],[Category and Sub-Category]],LEN(Table1[[#This Row],[Category and Sub-Category]])-FIND("/",Table1[[#This Row],[Category and Sub-Category]]))</f>
        <v>children's books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 s="12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>((Table1[[#This Row],[deadline]]/60)/60/24)+DATE(1970,1,1)</f>
        <v>41277.063576388886</v>
      </c>
      <c r="K2763">
        <v>1354584693</v>
      </c>
      <c r="L2763" s="11">
        <f>((Table1[[#This Row],[launched_at]]/60)/60/24)+DATE(1970,1,1)</f>
        <v>41247.063576388886</v>
      </c>
      <c r="M2763">
        <f>MONTH(Table1[[#This Row],[Date Created Conversion]])</f>
        <v>12</v>
      </c>
      <c r="N2763">
        <f>YEAR(Table1[[#This Row],[Date Created Conversion]])</f>
        <v>2012</v>
      </c>
      <c r="O2763" t="b">
        <v>0</v>
      </c>
      <c r="P2763">
        <v>4</v>
      </c>
      <c r="Q2763" t="b">
        <v>0</v>
      </c>
      <c r="R2763" t="s">
        <v>8304</v>
      </c>
      <c r="S2763" s="6">
        <f>Table1[[#This Row],[pledged]]/Table1[[#This Row],[goal]]</f>
        <v>7.1999999999999998E-3</v>
      </c>
      <c r="T2763" s="8">
        <f>IF(Table1[[#This Row],[pledged]]=0,"no backers",Table1[[#This Row],[pledged]]/Table1[[#This Row],[backers_count]])</f>
        <v>9</v>
      </c>
      <c r="U2763" t="str">
        <f>LEFT(Table1[[#This Row],[Category and Sub-Category]],FIND("/",Table1[[#This Row],[Category and Sub-Category]])-1)</f>
        <v>publishing</v>
      </c>
      <c r="V2763" t="str">
        <f>RIGHT(Table1[[#This Row],[Category and Sub-Category]],LEN(Table1[[#This Row],[Category and Sub-Category]])-FIND("/",Table1[[#This Row],[Category and Sub-Category]]))</f>
        <v>children's books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 s="12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>((Table1[[#This Row],[deadline]]/60)/60/24)+DATE(1970,1,1)</f>
        <v>40986.995312500003</v>
      </c>
      <c r="K2764">
        <v>1326934395</v>
      </c>
      <c r="L2764" s="11">
        <f>((Table1[[#This Row],[launched_at]]/60)/60/24)+DATE(1970,1,1)</f>
        <v>40927.036979166667</v>
      </c>
      <c r="M2764">
        <f>MONTH(Table1[[#This Row],[Date Created Conversion]])</f>
        <v>1</v>
      </c>
      <c r="N2764">
        <f>YEAR(Table1[[#This Row],[Date Created Conversion]])</f>
        <v>2012</v>
      </c>
      <c r="O2764" t="b">
        <v>0</v>
      </c>
      <c r="P2764">
        <v>1</v>
      </c>
      <c r="Q2764" t="b">
        <v>0</v>
      </c>
      <c r="R2764" t="s">
        <v>8304</v>
      </c>
      <c r="S2764" s="6">
        <f>Table1[[#This Row],[pledged]]/Table1[[#This Row],[goal]]</f>
        <v>7.6923076923076927E-3</v>
      </c>
      <c r="T2764" s="8">
        <f>IF(Table1[[#This Row],[pledged]]=0,"no backers",Table1[[#This Row],[pledged]]/Table1[[#This Row],[backers_count]])</f>
        <v>25</v>
      </c>
      <c r="U2764" t="str">
        <f>LEFT(Table1[[#This Row],[Category and Sub-Category]],FIND("/",Table1[[#This Row],[Category and Sub-Category]])-1)</f>
        <v>publishing</v>
      </c>
      <c r="V2764" t="str">
        <f>RIGHT(Table1[[#This Row],[Category and Sub-Category]],LEN(Table1[[#This Row],[Category and Sub-Category]])-FIND("/",Table1[[#This Row],[Category and Sub-Category]]))</f>
        <v>children's books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 s="12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>((Table1[[#This Row],[deadline]]/60)/60/24)+DATE(1970,1,1)</f>
        <v>41418.579675925925</v>
      </c>
      <c r="K2765">
        <v>1365515684</v>
      </c>
      <c r="L2765" s="11">
        <f>((Table1[[#This Row],[launched_at]]/60)/60/24)+DATE(1970,1,1)</f>
        <v>41373.579675925925</v>
      </c>
      <c r="M2765">
        <f>MONTH(Table1[[#This Row],[Date Created Conversion]])</f>
        <v>4</v>
      </c>
      <c r="N2765">
        <f>YEAR(Table1[[#This Row],[Date Created Conversion]])</f>
        <v>2013</v>
      </c>
      <c r="O2765" t="b">
        <v>0</v>
      </c>
      <c r="P2765">
        <v>3</v>
      </c>
      <c r="Q2765" t="b">
        <v>0</v>
      </c>
      <c r="R2765" t="s">
        <v>8304</v>
      </c>
      <c r="S2765" s="6">
        <f>Table1[[#This Row],[pledged]]/Table1[[#This Row],[goal]]</f>
        <v>2.2842639593908631E-3</v>
      </c>
      <c r="T2765" s="8">
        <f>IF(Table1[[#This Row],[pledged]]=0,"no backers",Table1[[#This Row],[pledged]]/Table1[[#This Row],[backers_count]])</f>
        <v>30</v>
      </c>
      <c r="U2765" t="str">
        <f>LEFT(Table1[[#This Row],[Category and Sub-Category]],FIND("/",Table1[[#This Row],[Category and Sub-Category]])-1)</f>
        <v>publishing</v>
      </c>
      <c r="V2765" t="str">
        <f>RIGHT(Table1[[#This Row],[Category and Sub-Category]],LEN(Table1[[#This Row],[Category and Sub-Category]])-FIND("/",Table1[[#This Row],[Category and Sub-Category]]))</f>
        <v>children's books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 s="12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>((Table1[[#This Row],[deadline]]/60)/60/24)+DATE(1970,1,1)</f>
        <v>41059.791666666664</v>
      </c>
      <c r="K2766">
        <v>1335855631</v>
      </c>
      <c r="L2766" s="11">
        <f>((Table1[[#This Row],[launched_at]]/60)/60/24)+DATE(1970,1,1)</f>
        <v>41030.292025462964</v>
      </c>
      <c r="M2766">
        <f>MONTH(Table1[[#This Row],[Date Created Conversion]])</f>
        <v>5</v>
      </c>
      <c r="N2766">
        <f>YEAR(Table1[[#This Row],[Date Created Conversion]])</f>
        <v>2012</v>
      </c>
      <c r="O2766" t="b">
        <v>0</v>
      </c>
      <c r="P2766">
        <v>4</v>
      </c>
      <c r="Q2766" t="b">
        <v>0</v>
      </c>
      <c r="R2766" t="s">
        <v>8304</v>
      </c>
      <c r="S2766" s="6">
        <f>Table1[[#This Row],[pledged]]/Table1[[#This Row],[goal]]</f>
        <v>1.125E-2</v>
      </c>
      <c r="T2766" s="8">
        <f>IF(Table1[[#This Row],[pledged]]=0,"no backers",Table1[[#This Row],[pledged]]/Table1[[#This Row],[backers_count]])</f>
        <v>11.25</v>
      </c>
      <c r="U2766" t="str">
        <f>LEFT(Table1[[#This Row],[Category and Sub-Category]],FIND("/",Table1[[#This Row],[Category and Sub-Category]])-1)</f>
        <v>publishing</v>
      </c>
      <c r="V2766" t="str">
        <f>RIGHT(Table1[[#This Row],[Category and Sub-Category]],LEN(Table1[[#This Row],[Category and Sub-Category]])-FIND("/",Table1[[#This Row],[Category and Sub-Category]]))</f>
        <v>children's books</v>
      </c>
    </row>
    <row r="2767" spans="1:22" ht="43.2" x14ac:dyDescent="0.3">
      <c r="A2767">
        <v>2765</v>
      </c>
      <c r="B2767" s="3" t="s">
        <v>2765</v>
      </c>
      <c r="C2767" s="3" t="s">
        <v>6875</v>
      </c>
      <c r="D2767" s="12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>((Table1[[#This Row],[deadline]]/60)/60/24)+DATE(1970,1,1)</f>
        <v>41210.579027777778</v>
      </c>
      <c r="K2767">
        <v>1350050028</v>
      </c>
      <c r="L2767" s="11">
        <f>((Table1[[#This Row],[launched_at]]/60)/60/24)+DATE(1970,1,1)</f>
        <v>41194.579027777778</v>
      </c>
      <c r="M2767">
        <f>MONTH(Table1[[#This Row],[Date Created Conversion]])</f>
        <v>10</v>
      </c>
      <c r="N2767">
        <f>YEAR(Table1[[#This Row],[Date Created Conversion]])</f>
        <v>2012</v>
      </c>
      <c r="O2767" t="b">
        <v>0</v>
      </c>
      <c r="P2767">
        <v>0</v>
      </c>
      <c r="Q2767" t="b">
        <v>0</v>
      </c>
      <c r="R2767" t="s">
        <v>8304</v>
      </c>
      <c r="S2767" s="6">
        <f>Table1[[#This Row],[pledged]]/Table1[[#This Row],[goal]]</f>
        <v>0</v>
      </c>
      <c r="T2767" s="8" t="str">
        <f>IF(Table1[[#This Row],[pledged]]=0,"no backers",Table1[[#This Row],[pledged]]/Table1[[#This Row],[backers_count]])</f>
        <v>no backers</v>
      </c>
      <c r="U2767" t="str">
        <f>LEFT(Table1[[#This Row],[Category and Sub-Category]],FIND("/",Table1[[#This Row],[Category and Sub-Category]])-1)</f>
        <v>publishing</v>
      </c>
      <c r="V2767" t="str">
        <f>RIGHT(Table1[[#This Row],[Category and Sub-Category]],LEN(Table1[[#This Row],[Category and Sub-Category]])-FIND("/",Table1[[#This Row],[Category and Sub-Category]]))</f>
        <v>children's books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 s="12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>((Table1[[#This Row],[deadline]]/60)/60/24)+DATE(1970,1,1)</f>
        <v>40766.668032407404</v>
      </c>
      <c r="K2768">
        <v>1310486518</v>
      </c>
      <c r="L2768" s="11">
        <f>((Table1[[#This Row],[launched_at]]/60)/60/24)+DATE(1970,1,1)</f>
        <v>40736.668032407404</v>
      </c>
      <c r="M2768">
        <f>MONTH(Table1[[#This Row],[Date Created Conversion]])</f>
        <v>7</v>
      </c>
      <c r="N2768">
        <f>YEAR(Table1[[#This Row],[Date Created Conversion]])</f>
        <v>2011</v>
      </c>
      <c r="O2768" t="b">
        <v>0</v>
      </c>
      <c r="P2768">
        <v>4</v>
      </c>
      <c r="Q2768" t="b">
        <v>0</v>
      </c>
      <c r="R2768" t="s">
        <v>8304</v>
      </c>
      <c r="S2768" s="6">
        <f>Table1[[#This Row],[pledged]]/Table1[[#This Row],[goal]]</f>
        <v>0.02</v>
      </c>
      <c r="T2768" s="8">
        <f>IF(Table1[[#This Row],[pledged]]=0,"no backers",Table1[[#This Row],[pledged]]/Table1[[#This Row],[backers_count]])</f>
        <v>25</v>
      </c>
      <c r="U2768" t="str">
        <f>LEFT(Table1[[#This Row],[Category and Sub-Category]],FIND("/",Table1[[#This Row],[Category and Sub-Category]])-1)</f>
        <v>publishing</v>
      </c>
      <c r="V2768" t="str">
        <f>RIGHT(Table1[[#This Row],[Category and Sub-Category]],LEN(Table1[[#This Row],[Category and Sub-Category]])-FIND("/",Table1[[#This Row],[Category and Sub-Category]]))</f>
        <v>children's books</v>
      </c>
    </row>
    <row r="2769" spans="1:22" ht="43.2" x14ac:dyDescent="0.3">
      <c r="A2769">
        <v>2767</v>
      </c>
      <c r="B2769" s="3" t="s">
        <v>2767</v>
      </c>
      <c r="C2769" s="3" t="s">
        <v>6877</v>
      </c>
      <c r="D2769" s="12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>((Table1[[#This Row],[deadline]]/60)/60/24)+DATE(1970,1,1)</f>
        <v>42232.958912037036</v>
      </c>
      <c r="K2769">
        <v>1434582050</v>
      </c>
      <c r="L2769" s="11">
        <f>((Table1[[#This Row],[launched_at]]/60)/60/24)+DATE(1970,1,1)</f>
        <v>42172.958912037036</v>
      </c>
      <c r="M2769">
        <f>MONTH(Table1[[#This Row],[Date Created Conversion]])</f>
        <v>6</v>
      </c>
      <c r="N2769">
        <f>YEAR(Table1[[#This Row],[Date Created Conversion]])</f>
        <v>2015</v>
      </c>
      <c r="O2769" t="b">
        <v>0</v>
      </c>
      <c r="P2769">
        <v>3</v>
      </c>
      <c r="Q2769" t="b">
        <v>0</v>
      </c>
      <c r="R2769" t="s">
        <v>8304</v>
      </c>
      <c r="S2769" s="6">
        <f>Table1[[#This Row],[pledged]]/Table1[[#This Row],[goal]]</f>
        <v>8.5000000000000006E-3</v>
      </c>
      <c r="T2769" s="8">
        <f>IF(Table1[[#This Row],[pledged]]=0,"no backers",Table1[[#This Row],[pledged]]/Table1[[#This Row],[backers_count]])</f>
        <v>11.333333333333334</v>
      </c>
      <c r="U2769" t="str">
        <f>LEFT(Table1[[#This Row],[Category and Sub-Category]],FIND("/",Table1[[#This Row],[Category and Sub-Category]])-1)</f>
        <v>publishing</v>
      </c>
      <c r="V2769" t="str">
        <f>RIGHT(Table1[[#This Row],[Category and Sub-Category]],LEN(Table1[[#This Row],[Category and Sub-Category]])-FIND("/",Table1[[#This Row],[Category and Sub-Category]]))</f>
        <v>children's books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 s="12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>((Table1[[#This Row],[deadline]]/60)/60/24)+DATE(1970,1,1)</f>
        <v>40997.573182870372</v>
      </c>
      <c r="K2770">
        <v>1330440323</v>
      </c>
      <c r="L2770" s="11">
        <f>((Table1[[#This Row],[launched_at]]/60)/60/24)+DATE(1970,1,1)</f>
        <v>40967.614849537036</v>
      </c>
      <c r="M2770">
        <f>MONTH(Table1[[#This Row],[Date Created Conversion]])</f>
        <v>2</v>
      </c>
      <c r="N2770">
        <f>YEAR(Table1[[#This Row],[Date Created Conversion]])</f>
        <v>2012</v>
      </c>
      <c r="O2770" t="b">
        <v>0</v>
      </c>
      <c r="P2770">
        <v>34</v>
      </c>
      <c r="Q2770" t="b">
        <v>0</v>
      </c>
      <c r="R2770" t="s">
        <v>8304</v>
      </c>
      <c r="S2770" s="6">
        <f>Table1[[#This Row],[pledged]]/Table1[[#This Row],[goal]]</f>
        <v>0.14314285714285716</v>
      </c>
      <c r="T2770" s="8">
        <f>IF(Table1[[#This Row],[pledged]]=0,"no backers",Table1[[#This Row],[pledged]]/Table1[[#This Row],[backers_count]])</f>
        <v>29.470588235294116</v>
      </c>
      <c r="U2770" t="str">
        <f>LEFT(Table1[[#This Row],[Category and Sub-Category]],FIND("/",Table1[[#This Row],[Category and Sub-Category]])-1)</f>
        <v>publishing</v>
      </c>
      <c r="V2770" t="str">
        <f>RIGHT(Table1[[#This Row],[Category and Sub-Category]],LEN(Table1[[#This Row],[Category and Sub-Category]])-FIND("/",Table1[[#This Row],[Category and Sub-Category]]))</f>
        <v>children's books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 s="12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>((Table1[[#This Row],[deadline]]/60)/60/24)+DATE(1970,1,1)</f>
        <v>41795.826273148145</v>
      </c>
      <c r="K2771">
        <v>1397677790</v>
      </c>
      <c r="L2771" s="11">
        <f>((Table1[[#This Row],[launched_at]]/60)/60/24)+DATE(1970,1,1)</f>
        <v>41745.826273148145</v>
      </c>
      <c r="M2771">
        <f>MONTH(Table1[[#This Row],[Date Created Conversion]])</f>
        <v>4</v>
      </c>
      <c r="N2771">
        <f>YEAR(Table1[[#This Row],[Date Created Conversion]])</f>
        <v>2014</v>
      </c>
      <c r="O2771" t="b">
        <v>0</v>
      </c>
      <c r="P2771">
        <v>2</v>
      </c>
      <c r="Q2771" t="b">
        <v>0</v>
      </c>
      <c r="R2771" t="s">
        <v>8304</v>
      </c>
      <c r="S2771" s="6">
        <f>Table1[[#This Row],[pledged]]/Table1[[#This Row],[goal]]</f>
        <v>2.5000000000000001E-3</v>
      </c>
      <c r="T2771" s="8">
        <f>IF(Table1[[#This Row],[pledged]]=0,"no backers",Table1[[#This Row],[pledged]]/Table1[[#This Row],[backers_count]])</f>
        <v>1</v>
      </c>
      <c r="U2771" t="str">
        <f>LEFT(Table1[[#This Row],[Category and Sub-Category]],FIND("/",Table1[[#This Row],[Category and Sub-Category]])-1)</f>
        <v>publishing</v>
      </c>
      <c r="V2771" t="str">
        <f>RIGHT(Table1[[#This Row],[Category and Sub-Category]],LEN(Table1[[#This Row],[Category and Sub-Category]])-FIND("/",Table1[[#This Row],[Category and Sub-Category]]))</f>
        <v>children's books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 s="1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>((Table1[[#This Row],[deadline]]/60)/60/24)+DATE(1970,1,1)</f>
        <v>41716.663541666669</v>
      </c>
      <c r="K2772">
        <v>1392569730</v>
      </c>
      <c r="L2772" s="11">
        <f>((Table1[[#This Row],[launched_at]]/60)/60/24)+DATE(1970,1,1)</f>
        <v>41686.705208333333</v>
      </c>
      <c r="M2772">
        <f>MONTH(Table1[[#This Row],[Date Created Conversion]])</f>
        <v>2</v>
      </c>
      <c r="N2772">
        <f>YEAR(Table1[[#This Row],[Date Created Conversion]])</f>
        <v>2014</v>
      </c>
      <c r="O2772" t="b">
        <v>0</v>
      </c>
      <c r="P2772">
        <v>33</v>
      </c>
      <c r="Q2772" t="b">
        <v>0</v>
      </c>
      <c r="R2772" t="s">
        <v>8304</v>
      </c>
      <c r="S2772" s="6">
        <f>Table1[[#This Row],[pledged]]/Table1[[#This Row],[goal]]</f>
        <v>0.1041125</v>
      </c>
      <c r="T2772" s="8">
        <f>IF(Table1[[#This Row],[pledged]]=0,"no backers",Table1[[#This Row],[pledged]]/Table1[[#This Row],[backers_count]])</f>
        <v>63.098484848484851</v>
      </c>
      <c r="U2772" t="str">
        <f>LEFT(Table1[[#This Row],[Category and Sub-Category]],FIND("/",Table1[[#This Row],[Category and Sub-Category]])-1)</f>
        <v>publishing</v>
      </c>
      <c r="V2772" t="str">
        <f>RIGHT(Table1[[#This Row],[Category and Sub-Category]],LEN(Table1[[#This Row],[Category and Sub-Category]])-FIND("/",Table1[[#This Row],[Category and Sub-Category]]))</f>
        <v>children's books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 s="12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>((Table1[[#This Row],[deadline]]/60)/60/24)+DATE(1970,1,1)</f>
        <v>41306.708333333336</v>
      </c>
      <c r="K2773">
        <v>1355489140</v>
      </c>
      <c r="L2773" s="11">
        <f>((Table1[[#This Row],[launched_at]]/60)/60/24)+DATE(1970,1,1)</f>
        <v>41257.531712962962</v>
      </c>
      <c r="M2773">
        <f>MONTH(Table1[[#This Row],[Date Created Conversion]])</f>
        <v>12</v>
      </c>
      <c r="N2773">
        <f>YEAR(Table1[[#This Row],[Date Created Conversion]])</f>
        <v>2012</v>
      </c>
      <c r="O2773" t="b">
        <v>0</v>
      </c>
      <c r="P2773">
        <v>0</v>
      </c>
      <c r="Q2773" t="b">
        <v>0</v>
      </c>
      <c r="R2773" t="s">
        <v>8304</v>
      </c>
      <c r="S2773" s="6">
        <f>Table1[[#This Row],[pledged]]/Table1[[#This Row],[goal]]</f>
        <v>0</v>
      </c>
      <c r="T2773" s="8" t="str">
        <f>IF(Table1[[#This Row],[pledged]]=0,"no backers",Table1[[#This Row],[pledged]]/Table1[[#This Row],[backers_count]])</f>
        <v>no backers</v>
      </c>
      <c r="U2773" t="str">
        <f>LEFT(Table1[[#This Row],[Category and Sub-Category]],FIND("/",Table1[[#This Row],[Category and Sub-Category]])-1)</f>
        <v>publishing</v>
      </c>
      <c r="V2773" t="str">
        <f>RIGHT(Table1[[#This Row],[Category and Sub-Category]],LEN(Table1[[#This Row],[Category and Sub-Category]])-FIND("/",Table1[[#This Row],[Category and Sub-Category]]))</f>
        <v>children's books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 s="12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>((Table1[[#This Row],[deadline]]/60)/60/24)+DATE(1970,1,1)</f>
        <v>41552.869143518517</v>
      </c>
      <c r="K2774">
        <v>1379710294</v>
      </c>
      <c r="L2774" s="11">
        <f>((Table1[[#This Row],[launched_at]]/60)/60/24)+DATE(1970,1,1)</f>
        <v>41537.869143518517</v>
      </c>
      <c r="M2774">
        <f>MONTH(Table1[[#This Row],[Date Created Conversion]])</f>
        <v>9</v>
      </c>
      <c r="N2774">
        <f>YEAR(Table1[[#This Row],[Date Created Conversion]])</f>
        <v>2013</v>
      </c>
      <c r="O2774" t="b">
        <v>0</v>
      </c>
      <c r="P2774">
        <v>0</v>
      </c>
      <c r="Q2774" t="b">
        <v>0</v>
      </c>
      <c r="R2774" t="s">
        <v>8304</v>
      </c>
      <c r="S2774" s="6">
        <f>Table1[[#This Row],[pledged]]/Table1[[#This Row],[goal]]</f>
        <v>0</v>
      </c>
      <c r="T2774" s="8" t="str">
        <f>IF(Table1[[#This Row],[pledged]]=0,"no backers",Table1[[#This Row],[pledged]]/Table1[[#This Row],[backers_count]])</f>
        <v>no backers</v>
      </c>
      <c r="U2774" t="str">
        <f>LEFT(Table1[[#This Row],[Category and Sub-Category]],FIND("/",Table1[[#This Row],[Category and Sub-Category]])-1)</f>
        <v>publishing</v>
      </c>
      <c r="V2774" t="str">
        <f>RIGHT(Table1[[#This Row],[Category and Sub-Category]],LEN(Table1[[#This Row],[Category and Sub-Category]])-FIND("/",Table1[[#This Row],[Category and Sub-Category]]))</f>
        <v>children's books</v>
      </c>
    </row>
    <row r="2775" spans="1:22" ht="43.2" x14ac:dyDescent="0.3">
      <c r="A2775">
        <v>2773</v>
      </c>
      <c r="B2775" s="3" t="s">
        <v>2773</v>
      </c>
      <c r="C2775" s="3" t="s">
        <v>6883</v>
      </c>
      <c r="D2775" s="12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>((Table1[[#This Row],[deadline]]/60)/60/24)+DATE(1970,1,1)</f>
        <v>42484.86482638889</v>
      </c>
      <c r="K2775">
        <v>1460666721</v>
      </c>
      <c r="L2775" s="11">
        <f>((Table1[[#This Row],[launched_at]]/60)/60/24)+DATE(1970,1,1)</f>
        <v>42474.86482638889</v>
      </c>
      <c r="M2775">
        <f>MONTH(Table1[[#This Row],[Date Created Conversion]])</f>
        <v>4</v>
      </c>
      <c r="N2775">
        <f>YEAR(Table1[[#This Row],[Date Created Conversion]])</f>
        <v>2016</v>
      </c>
      <c r="O2775" t="b">
        <v>0</v>
      </c>
      <c r="P2775">
        <v>1</v>
      </c>
      <c r="Q2775" t="b">
        <v>0</v>
      </c>
      <c r="R2775" t="s">
        <v>8304</v>
      </c>
      <c r="S2775" s="6">
        <f>Table1[[#This Row],[pledged]]/Table1[[#This Row],[goal]]</f>
        <v>1.8867924528301887E-3</v>
      </c>
      <c r="T2775" s="8">
        <f>IF(Table1[[#This Row],[pledged]]=0,"no backers",Table1[[#This Row],[pledged]]/Table1[[#This Row],[backers_count]])</f>
        <v>1</v>
      </c>
      <c r="U2775" t="str">
        <f>LEFT(Table1[[#This Row],[Category and Sub-Category]],FIND("/",Table1[[#This Row],[Category and Sub-Category]])-1)</f>
        <v>publishing</v>
      </c>
      <c r="V2775" t="str">
        <f>RIGHT(Table1[[#This Row],[Category and Sub-Category]],LEN(Table1[[#This Row],[Category and Sub-Category]])-FIND("/",Table1[[#This Row],[Category and Sub-Category]]))</f>
        <v>children's books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 s="12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>((Table1[[#This Row],[deadline]]/60)/60/24)+DATE(1970,1,1)</f>
        <v>41341.126481481479</v>
      </c>
      <c r="K2776">
        <v>1360119728</v>
      </c>
      <c r="L2776" s="11">
        <f>((Table1[[#This Row],[launched_at]]/60)/60/24)+DATE(1970,1,1)</f>
        <v>41311.126481481479</v>
      </c>
      <c r="M2776">
        <f>MONTH(Table1[[#This Row],[Date Created Conversion]])</f>
        <v>2</v>
      </c>
      <c r="N2776">
        <f>YEAR(Table1[[#This Row],[Date Created Conversion]])</f>
        <v>2013</v>
      </c>
      <c r="O2776" t="b">
        <v>0</v>
      </c>
      <c r="P2776">
        <v>13</v>
      </c>
      <c r="Q2776" t="b">
        <v>0</v>
      </c>
      <c r="R2776" t="s">
        <v>8304</v>
      </c>
      <c r="S2776" s="6">
        <f>Table1[[#This Row],[pledged]]/Table1[[#This Row],[goal]]</f>
        <v>0.14249999999999999</v>
      </c>
      <c r="T2776" s="8">
        <f>IF(Table1[[#This Row],[pledged]]=0,"no backers",Table1[[#This Row],[pledged]]/Table1[[#This Row],[backers_count]])</f>
        <v>43.846153846153847</v>
      </c>
      <c r="U2776" t="str">
        <f>LEFT(Table1[[#This Row],[Category and Sub-Category]],FIND("/",Table1[[#This Row],[Category and Sub-Category]])-1)</f>
        <v>publishing</v>
      </c>
      <c r="V2776" t="str">
        <f>RIGHT(Table1[[#This Row],[Category and Sub-Category]],LEN(Table1[[#This Row],[Category and Sub-Category]])-FIND("/",Table1[[#This Row],[Category and Sub-Category]]))</f>
        <v>children's books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 s="12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>((Table1[[#This Row],[deadline]]/60)/60/24)+DATE(1970,1,1)</f>
        <v>40893.013356481482</v>
      </c>
      <c r="K2777">
        <v>1321402754</v>
      </c>
      <c r="L2777" s="11">
        <f>((Table1[[#This Row],[launched_at]]/60)/60/24)+DATE(1970,1,1)</f>
        <v>40863.013356481482</v>
      </c>
      <c r="M2777">
        <f>MONTH(Table1[[#This Row],[Date Created Conversion]])</f>
        <v>11</v>
      </c>
      <c r="N2777">
        <f>YEAR(Table1[[#This Row],[Date Created Conversion]])</f>
        <v>2011</v>
      </c>
      <c r="O2777" t="b">
        <v>0</v>
      </c>
      <c r="P2777">
        <v>2</v>
      </c>
      <c r="Q2777" t="b">
        <v>0</v>
      </c>
      <c r="R2777" t="s">
        <v>8304</v>
      </c>
      <c r="S2777" s="6">
        <f>Table1[[#This Row],[pledged]]/Table1[[#This Row],[goal]]</f>
        <v>0.03</v>
      </c>
      <c r="T2777" s="8">
        <f>IF(Table1[[#This Row],[pledged]]=0,"no backers",Table1[[#This Row],[pledged]]/Table1[[#This Row],[backers_count]])</f>
        <v>75</v>
      </c>
      <c r="U2777" t="str">
        <f>LEFT(Table1[[#This Row],[Category and Sub-Category]],FIND("/",Table1[[#This Row],[Category and Sub-Category]])-1)</f>
        <v>publishing</v>
      </c>
      <c r="V2777" t="str">
        <f>RIGHT(Table1[[#This Row],[Category and Sub-Category]],LEN(Table1[[#This Row],[Category and Sub-Category]])-FIND("/",Table1[[#This Row],[Category and Sub-Category]]))</f>
        <v>children's books</v>
      </c>
    </row>
    <row r="2778" spans="1:22" ht="57.6" x14ac:dyDescent="0.3">
      <c r="A2778">
        <v>2776</v>
      </c>
      <c r="B2778" s="3" t="s">
        <v>2776</v>
      </c>
      <c r="C2778" s="3" t="s">
        <v>6886</v>
      </c>
      <c r="D2778" s="12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>((Table1[[#This Row],[deadline]]/60)/60/24)+DATE(1970,1,1)</f>
        <v>42167.297175925924</v>
      </c>
      <c r="K2778">
        <v>1431414476</v>
      </c>
      <c r="L2778" s="11">
        <f>((Table1[[#This Row],[launched_at]]/60)/60/24)+DATE(1970,1,1)</f>
        <v>42136.297175925924</v>
      </c>
      <c r="M2778">
        <f>MONTH(Table1[[#This Row],[Date Created Conversion]])</f>
        <v>5</v>
      </c>
      <c r="N2778">
        <f>YEAR(Table1[[#This Row],[Date Created Conversion]])</f>
        <v>2015</v>
      </c>
      <c r="O2778" t="b">
        <v>0</v>
      </c>
      <c r="P2778">
        <v>36</v>
      </c>
      <c r="Q2778" t="b">
        <v>0</v>
      </c>
      <c r="R2778" t="s">
        <v>8304</v>
      </c>
      <c r="S2778" s="6">
        <f>Table1[[#This Row],[pledged]]/Table1[[#This Row],[goal]]</f>
        <v>7.8809523809523815E-2</v>
      </c>
      <c r="T2778" s="8">
        <f>IF(Table1[[#This Row],[pledged]]=0,"no backers",Table1[[#This Row],[pledged]]/Table1[[#This Row],[backers_count]])</f>
        <v>45.972222222222221</v>
      </c>
      <c r="U2778" t="str">
        <f>LEFT(Table1[[#This Row],[Category and Sub-Category]],FIND("/",Table1[[#This Row],[Category and Sub-Category]])-1)</f>
        <v>publishing</v>
      </c>
      <c r="V2778" t="str">
        <f>RIGHT(Table1[[#This Row],[Category and Sub-Category]],LEN(Table1[[#This Row],[Category and Sub-Category]])-FIND("/",Table1[[#This Row],[Category and Sub-Category]]))</f>
        <v>children's books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 s="12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>((Table1[[#This Row],[deadline]]/60)/60/24)+DATE(1970,1,1)</f>
        <v>42202.669027777782</v>
      </c>
      <c r="K2779">
        <v>1434557004</v>
      </c>
      <c r="L2779" s="11">
        <f>((Table1[[#This Row],[launched_at]]/60)/60/24)+DATE(1970,1,1)</f>
        <v>42172.669027777782</v>
      </c>
      <c r="M2779">
        <f>MONTH(Table1[[#This Row],[Date Created Conversion]])</f>
        <v>6</v>
      </c>
      <c r="N2779">
        <f>YEAR(Table1[[#This Row],[Date Created Conversion]])</f>
        <v>2015</v>
      </c>
      <c r="O2779" t="b">
        <v>0</v>
      </c>
      <c r="P2779">
        <v>1</v>
      </c>
      <c r="Q2779" t="b">
        <v>0</v>
      </c>
      <c r="R2779" t="s">
        <v>8304</v>
      </c>
      <c r="S2779" s="6">
        <f>Table1[[#This Row],[pledged]]/Table1[[#This Row],[goal]]</f>
        <v>3.3333333333333335E-3</v>
      </c>
      <c r="T2779" s="8">
        <f>IF(Table1[[#This Row],[pledged]]=0,"no backers",Table1[[#This Row],[pledged]]/Table1[[#This Row],[backers_count]])</f>
        <v>10</v>
      </c>
      <c r="U2779" t="str">
        <f>LEFT(Table1[[#This Row],[Category and Sub-Category]],FIND("/",Table1[[#This Row],[Category and Sub-Category]])-1)</f>
        <v>publishing</v>
      </c>
      <c r="V2779" t="str">
        <f>RIGHT(Table1[[#This Row],[Category and Sub-Category]],LEN(Table1[[#This Row],[Category and Sub-Category]])-FIND("/",Table1[[#This Row],[Category and Sub-Category]]))</f>
        <v>children's books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 s="12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>((Table1[[#This Row],[deadline]]/60)/60/24)+DATE(1970,1,1)</f>
        <v>41876.978078703702</v>
      </c>
      <c r="K2780">
        <v>1406417306</v>
      </c>
      <c r="L2780" s="11">
        <f>((Table1[[#This Row],[launched_at]]/60)/60/24)+DATE(1970,1,1)</f>
        <v>41846.978078703702</v>
      </c>
      <c r="M2780">
        <f>MONTH(Table1[[#This Row],[Date Created Conversion]])</f>
        <v>7</v>
      </c>
      <c r="N2780">
        <f>YEAR(Table1[[#This Row],[Date Created Conversion]])</f>
        <v>2014</v>
      </c>
      <c r="O2780" t="b">
        <v>0</v>
      </c>
      <c r="P2780">
        <v>15</v>
      </c>
      <c r="Q2780" t="b">
        <v>0</v>
      </c>
      <c r="R2780" t="s">
        <v>8304</v>
      </c>
      <c r="S2780" s="6">
        <f>Table1[[#This Row],[pledged]]/Table1[[#This Row],[goal]]</f>
        <v>0.25545454545454543</v>
      </c>
      <c r="T2780" s="8">
        <f>IF(Table1[[#This Row],[pledged]]=0,"no backers",Table1[[#This Row],[pledged]]/Table1[[#This Row],[backers_count]])</f>
        <v>93.666666666666671</v>
      </c>
      <c r="U2780" t="str">
        <f>LEFT(Table1[[#This Row],[Category and Sub-Category]],FIND("/",Table1[[#This Row],[Category and Sub-Category]])-1)</f>
        <v>publishing</v>
      </c>
      <c r="V2780" t="str">
        <f>RIGHT(Table1[[#This Row],[Category and Sub-Category]],LEN(Table1[[#This Row],[Category and Sub-Category]])-FIND("/",Table1[[#This Row],[Category and Sub-Category]]))</f>
        <v>children's books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 s="12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>((Table1[[#This Row],[deadline]]/60)/60/24)+DATE(1970,1,1)</f>
        <v>42330.627557870372</v>
      </c>
      <c r="K2781">
        <v>1445609021</v>
      </c>
      <c r="L2781" s="11">
        <f>((Table1[[#This Row],[launched_at]]/60)/60/24)+DATE(1970,1,1)</f>
        <v>42300.585891203707</v>
      </c>
      <c r="M2781">
        <f>MONTH(Table1[[#This Row],[Date Created Conversion]])</f>
        <v>10</v>
      </c>
      <c r="N2781">
        <f>YEAR(Table1[[#This Row],[Date Created Conversion]])</f>
        <v>2015</v>
      </c>
      <c r="O2781" t="b">
        <v>0</v>
      </c>
      <c r="P2781">
        <v>1</v>
      </c>
      <c r="Q2781" t="b">
        <v>0</v>
      </c>
      <c r="R2781" t="s">
        <v>8304</v>
      </c>
      <c r="S2781" s="6">
        <f>Table1[[#This Row],[pledged]]/Table1[[#This Row],[goal]]</f>
        <v>2.12E-2</v>
      </c>
      <c r="T2781" s="8">
        <f>IF(Table1[[#This Row],[pledged]]=0,"no backers",Table1[[#This Row],[pledged]]/Table1[[#This Row],[backers_count]])</f>
        <v>53</v>
      </c>
      <c r="U2781" t="str">
        <f>LEFT(Table1[[#This Row],[Category and Sub-Category]],FIND("/",Table1[[#This Row],[Category and Sub-Category]])-1)</f>
        <v>publishing</v>
      </c>
      <c r="V2781" t="str">
        <f>RIGHT(Table1[[#This Row],[Category and Sub-Category]],LEN(Table1[[#This Row],[Category and Sub-Category]])-FIND("/",Table1[[#This Row],[Category and Sub-Category]]))</f>
        <v>children's books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 s="1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>((Table1[[#This Row],[deadline]]/60)/60/24)+DATE(1970,1,1)</f>
        <v>42804.447777777779</v>
      </c>
      <c r="K2782">
        <v>1486550688</v>
      </c>
      <c r="L2782" s="11">
        <f>((Table1[[#This Row],[launched_at]]/60)/60/24)+DATE(1970,1,1)</f>
        <v>42774.447777777779</v>
      </c>
      <c r="M2782">
        <f>MONTH(Table1[[#This Row],[Date Created Conversion]])</f>
        <v>2</v>
      </c>
      <c r="N2782">
        <f>YEAR(Table1[[#This Row],[Date Created Conversion]])</f>
        <v>2017</v>
      </c>
      <c r="O2782" t="b">
        <v>0</v>
      </c>
      <c r="P2782">
        <v>0</v>
      </c>
      <c r="Q2782" t="b">
        <v>0</v>
      </c>
      <c r="R2782" t="s">
        <v>8304</v>
      </c>
      <c r="S2782" s="6">
        <f>Table1[[#This Row],[pledged]]/Table1[[#This Row],[goal]]</f>
        <v>0</v>
      </c>
      <c r="T2782" s="8" t="str">
        <f>IF(Table1[[#This Row],[pledged]]=0,"no backers",Table1[[#This Row],[pledged]]/Table1[[#This Row],[backers_count]])</f>
        <v>no backers</v>
      </c>
      <c r="U2782" t="str">
        <f>LEFT(Table1[[#This Row],[Category and Sub-Category]],FIND("/",Table1[[#This Row],[Category and Sub-Category]])-1)</f>
        <v>publishing</v>
      </c>
      <c r="V2782" t="str">
        <f>RIGHT(Table1[[#This Row],[Category and Sub-Category]],LEN(Table1[[#This Row],[Category and Sub-Category]])-FIND("/",Table1[[#This Row],[Category and Sub-Category]]))</f>
        <v>children's books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 s="12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>((Table1[[#This Row],[deadline]]/60)/60/24)+DATE(1970,1,1)</f>
        <v>42047.291666666672</v>
      </c>
      <c r="K2783">
        <v>1421274954</v>
      </c>
      <c r="L2783" s="11">
        <f>((Table1[[#This Row],[launched_at]]/60)/60/24)+DATE(1970,1,1)</f>
        <v>42018.94159722222</v>
      </c>
      <c r="M2783">
        <f>MONTH(Table1[[#This Row],[Date Created Conversion]])</f>
        <v>1</v>
      </c>
      <c r="N2783">
        <f>YEAR(Table1[[#This Row],[Date Created Conversion]])</f>
        <v>2015</v>
      </c>
      <c r="O2783" t="b">
        <v>0</v>
      </c>
      <c r="P2783">
        <v>28</v>
      </c>
      <c r="Q2783" t="b">
        <v>1</v>
      </c>
      <c r="R2783" t="s">
        <v>8271</v>
      </c>
      <c r="S2783" s="6">
        <f>Table1[[#This Row],[pledged]]/Table1[[#This Row],[goal]]</f>
        <v>1.0528</v>
      </c>
      <c r="T2783" s="8">
        <f>IF(Table1[[#This Row],[pledged]]=0,"no backers",Table1[[#This Row],[pledged]]/Table1[[#This Row],[backers_count]])</f>
        <v>47</v>
      </c>
      <c r="U2783" t="str">
        <f>LEFT(Table1[[#This Row],[Category and Sub-Category]],FIND("/",Table1[[#This Row],[Category and Sub-Category]])-1)</f>
        <v>theater</v>
      </c>
      <c r="V2783" t="str">
        <f>RIGHT(Table1[[#This Row],[Category and Sub-Category]],LEN(Table1[[#This Row],[Category and Sub-Category]])-FIND("/",Table1[[#This Row],[Category and Sub-Category]]))</f>
        <v>plays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 s="12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>((Table1[[#This Row],[deadline]]/60)/60/24)+DATE(1970,1,1)</f>
        <v>42052.207638888889</v>
      </c>
      <c r="K2784">
        <v>1421964718</v>
      </c>
      <c r="L2784" s="11">
        <f>((Table1[[#This Row],[launched_at]]/60)/60/24)+DATE(1970,1,1)</f>
        <v>42026.924976851849</v>
      </c>
      <c r="M2784">
        <f>MONTH(Table1[[#This Row],[Date Created Conversion]])</f>
        <v>1</v>
      </c>
      <c r="N2784">
        <f>YEAR(Table1[[#This Row],[Date Created Conversion]])</f>
        <v>2015</v>
      </c>
      <c r="O2784" t="b">
        <v>0</v>
      </c>
      <c r="P2784">
        <v>18</v>
      </c>
      <c r="Q2784" t="b">
        <v>1</v>
      </c>
      <c r="R2784" t="s">
        <v>8271</v>
      </c>
      <c r="S2784" s="6">
        <f>Table1[[#This Row],[pledged]]/Table1[[#This Row],[goal]]</f>
        <v>1.2</v>
      </c>
      <c r="T2784" s="8">
        <f>IF(Table1[[#This Row],[pledged]]=0,"no backers",Table1[[#This Row],[pledged]]/Table1[[#This Row],[backers_count]])</f>
        <v>66.666666666666671</v>
      </c>
      <c r="U2784" t="str">
        <f>LEFT(Table1[[#This Row],[Category and Sub-Category]],FIND("/",Table1[[#This Row],[Category and Sub-Category]])-1)</f>
        <v>theater</v>
      </c>
      <c r="V2784" t="str">
        <f>RIGHT(Table1[[#This Row],[Category and Sub-Category]],LEN(Table1[[#This Row],[Category and Sub-Category]])-FIND("/",Table1[[#This Row],[Category and Sub-Category]]))</f>
        <v>plays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 s="12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>((Table1[[#This Row],[deadline]]/60)/60/24)+DATE(1970,1,1)</f>
        <v>42117.535254629634</v>
      </c>
      <c r="K2785">
        <v>1428583846</v>
      </c>
      <c r="L2785" s="11">
        <f>((Table1[[#This Row],[launched_at]]/60)/60/24)+DATE(1970,1,1)</f>
        <v>42103.535254629634</v>
      </c>
      <c r="M2785">
        <f>MONTH(Table1[[#This Row],[Date Created Conversion]])</f>
        <v>4</v>
      </c>
      <c r="N2785">
        <f>YEAR(Table1[[#This Row],[Date Created Conversion]])</f>
        <v>2015</v>
      </c>
      <c r="O2785" t="b">
        <v>0</v>
      </c>
      <c r="P2785">
        <v>61</v>
      </c>
      <c r="Q2785" t="b">
        <v>1</v>
      </c>
      <c r="R2785" t="s">
        <v>8271</v>
      </c>
      <c r="S2785" s="6">
        <f>Table1[[#This Row],[pledged]]/Table1[[#This Row],[goal]]</f>
        <v>1.145</v>
      </c>
      <c r="T2785" s="8">
        <f>IF(Table1[[#This Row],[pledged]]=0,"no backers",Table1[[#This Row],[pledged]]/Table1[[#This Row],[backers_count]])</f>
        <v>18.770491803278688</v>
      </c>
      <c r="U2785" t="str">
        <f>LEFT(Table1[[#This Row],[Category and Sub-Category]],FIND("/",Table1[[#This Row],[Category and Sub-Category]])-1)</f>
        <v>theater</v>
      </c>
      <c r="V2785" t="str">
        <f>RIGHT(Table1[[#This Row],[Category and Sub-Category]],LEN(Table1[[#This Row],[Category and Sub-Category]])-FIND("/",Table1[[#This Row],[Category and Sub-Category]]))</f>
        <v>plays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 s="12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>((Table1[[#This Row],[deadline]]/60)/60/24)+DATE(1970,1,1)</f>
        <v>41941.787534722222</v>
      </c>
      <c r="K2786">
        <v>1412794443</v>
      </c>
      <c r="L2786" s="11">
        <f>((Table1[[#This Row],[launched_at]]/60)/60/24)+DATE(1970,1,1)</f>
        <v>41920.787534722222</v>
      </c>
      <c r="M2786">
        <f>MONTH(Table1[[#This Row],[Date Created Conversion]])</f>
        <v>10</v>
      </c>
      <c r="N2786">
        <f>YEAR(Table1[[#This Row],[Date Created Conversion]])</f>
        <v>2014</v>
      </c>
      <c r="O2786" t="b">
        <v>0</v>
      </c>
      <c r="P2786">
        <v>108</v>
      </c>
      <c r="Q2786" t="b">
        <v>1</v>
      </c>
      <c r="R2786" t="s">
        <v>8271</v>
      </c>
      <c r="S2786" s="6">
        <f>Table1[[#This Row],[pledged]]/Table1[[#This Row],[goal]]</f>
        <v>1.19</v>
      </c>
      <c r="T2786" s="8">
        <f>IF(Table1[[#This Row],[pledged]]=0,"no backers",Table1[[#This Row],[pledged]]/Table1[[#This Row],[backers_count]])</f>
        <v>66.111111111111114</v>
      </c>
      <c r="U2786" t="str">
        <f>LEFT(Table1[[#This Row],[Category and Sub-Category]],FIND("/",Table1[[#This Row],[Category and Sub-Category]])-1)</f>
        <v>theater</v>
      </c>
      <c r="V2786" t="str">
        <f>RIGHT(Table1[[#This Row],[Category and Sub-Category]],LEN(Table1[[#This Row],[Category and Sub-Category]])-FIND("/",Table1[[#This Row],[Category and Sub-Category]]))</f>
        <v>plays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 s="12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>((Table1[[#This Row],[deadline]]/60)/60/24)+DATE(1970,1,1)</f>
        <v>42587.875</v>
      </c>
      <c r="K2787">
        <v>1467865967</v>
      </c>
      <c r="L2787" s="11">
        <f>((Table1[[#This Row],[launched_at]]/60)/60/24)+DATE(1970,1,1)</f>
        <v>42558.189432870371</v>
      </c>
      <c r="M2787">
        <f>MONTH(Table1[[#This Row],[Date Created Conversion]])</f>
        <v>7</v>
      </c>
      <c r="N2787">
        <f>YEAR(Table1[[#This Row],[Date Created Conversion]])</f>
        <v>2016</v>
      </c>
      <c r="O2787" t="b">
        <v>0</v>
      </c>
      <c r="P2787">
        <v>142</v>
      </c>
      <c r="Q2787" t="b">
        <v>1</v>
      </c>
      <c r="R2787" t="s">
        <v>8271</v>
      </c>
      <c r="S2787" s="6">
        <f>Table1[[#This Row],[pledged]]/Table1[[#This Row],[goal]]</f>
        <v>1.0468</v>
      </c>
      <c r="T2787" s="8">
        <f>IF(Table1[[#This Row],[pledged]]=0,"no backers",Table1[[#This Row],[pledged]]/Table1[[#This Row],[backers_count]])</f>
        <v>36.859154929577464</v>
      </c>
      <c r="U2787" t="str">
        <f>LEFT(Table1[[#This Row],[Category and Sub-Category]],FIND("/",Table1[[#This Row],[Category and Sub-Category]])-1)</f>
        <v>theater</v>
      </c>
      <c r="V2787" t="str">
        <f>RIGHT(Table1[[#This Row],[Category and Sub-Category]],LEN(Table1[[#This Row],[Category and Sub-Category]])-FIND("/",Table1[[#This Row],[Category and Sub-Category]]))</f>
        <v>plays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 s="12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>((Table1[[#This Row],[deadline]]/60)/60/24)+DATE(1970,1,1)</f>
        <v>41829.569212962961</v>
      </c>
      <c r="K2788">
        <v>1403703580</v>
      </c>
      <c r="L2788" s="11">
        <f>((Table1[[#This Row],[launched_at]]/60)/60/24)+DATE(1970,1,1)</f>
        <v>41815.569212962961</v>
      </c>
      <c r="M2788">
        <f>MONTH(Table1[[#This Row],[Date Created Conversion]])</f>
        <v>6</v>
      </c>
      <c r="N2788">
        <f>YEAR(Table1[[#This Row],[Date Created Conversion]])</f>
        <v>2014</v>
      </c>
      <c r="O2788" t="b">
        <v>0</v>
      </c>
      <c r="P2788">
        <v>74</v>
      </c>
      <c r="Q2788" t="b">
        <v>1</v>
      </c>
      <c r="R2788" t="s">
        <v>8271</v>
      </c>
      <c r="S2788" s="6">
        <f>Table1[[#This Row],[pledged]]/Table1[[#This Row],[goal]]</f>
        <v>1.1783999999999999</v>
      </c>
      <c r="T2788" s="8">
        <f>IF(Table1[[#This Row],[pledged]]=0,"no backers",Table1[[#This Row],[pledged]]/Table1[[#This Row],[backers_count]])</f>
        <v>39.810810810810814</v>
      </c>
      <c r="U2788" t="str">
        <f>LEFT(Table1[[#This Row],[Category and Sub-Category]],FIND("/",Table1[[#This Row],[Category and Sub-Category]])-1)</f>
        <v>theater</v>
      </c>
      <c r="V2788" t="str">
        <f>RIGHT(Table1[[#This Row],[Category and Sub-Category]],LEN(Table1[[#This Row],[Category and Sub-Category]])-FIND("/",Table1[[#This Row],[Category and Sub-Category]]))</f>
        <v>plays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 s="12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>((Table1[[#This Row],[deadline]]/60)/60/24)+DATE(1970,1,1)</f>
        <v>41838.198518518519</v>
      </c>
      <c r="K2789">
        <v>1403066752</v>
      </c>
      <c r="L2789" s="11">
        <f>((Table1[[#This Row],[launched_at]]/60)/60/24)+DATE(1970,1,1)</f>
        <v>41808.198518518519</v>
      </c>
      <c r="M2789">
        <f>MONTH(Table1[[#This Row],[Date Created Conversion]])</f>
        <v>6</v>
      </c>
      <c r="N2789">
        <f>YEAR(Table1[[#This Row],[Date Created Conversion]])</f>
        <v>2014</v>
      </c>
      <c r="O2789" t="b">
        <v>0</v>
      </c>
      <c r="P2789">
        <v>38</v>
      </c>
      <c r="Q2789" t="b">
        <v>1</v>
      </c>
      <c r="R2789" t="s">
        <v>8271</v>
      </c>
      <c r="S2789" s="6">
        <f>Table1[[#This Row],[pledged]]/Table1[[#This Row],[goal]]</f>
        <v>1.1970000000000001</v>
      </c>
      <c r="T2789" s="8">
        <f>IF(Table1[[#This Row],[pledged]]=0,"no backers",Table1[[#This Row],[pledged]]/Table1[[#This Row],[backers_count]])</f>
        <v>31.5</v>
      </c>
      <c r="U2789" t="str">
        <f>LEFT(Table1[[#This Row],[Category and Sub-Category]],FIND("/",Table1[[#This Row],[Category and Sub-Category]])-1)</f>
        <v>theater</v>
      </c>
      <c r="V2789" t="str">
        <f>RIGHT(Table1[[#This Row],[Category and Sub-Category]],LEN(Table1[[#This Row],[Category and Sub-Category]])-FIND("/",Table1[[#This Row],[Category and Sub-Category]]))</f>
        <v>plays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 s="12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>((Table1[[#This Row],[deadline]]/60)/60/24)+DATE(1970,1,1)</f>
        <v>42580.701886574068</v>
      </c>
      <c r="K2790">
        <v>1467219043</v>
      </c>
      <c r="L2790" s="11">
        <f>((Table1[[#This Row],[launched_at]]/60)/60/24)+DATE(1970,1,1)</f>
        <v>42550.701886574068</v>
      </c>
      <c r="M2790">
        <f>MONTH(Table1[[#This Row],[Date Created Conversion]])</f>
        <v>6</v>
      </c>
      <c r="N2790">
        <f>YEAR(Table1[[#This Row],[Date Created Conversion]])</f>
        <v>2016</v>
      </c>
      <c r="O2790" t="b">
        <v>0</v>
      </c>
      <c r="P2790">
        <v>20</v>
      </c>
      <c r="Q2790" t="b">
        <v>1</v>
      </c>
      <c r="R2790" t="s">
        <v>8271</v>
      </c>
      <c r="S2790" s="6">
        <f>Table1[[#This Row],[pledged]]/Table1[[#This Row],[goal]]</f>
        <v>1.0249999999999999</v>
      </c>
      <c r="T2790" s="8">
        <f>IF(Table1[[#This Row],[pledged]]=0,"no backers",Table1[[#This Row],[pledged]]/Table1[[#This Row],[backers_count]])</f>
        <v>102.5</v>
      </c>
      <c r="U2790" t="str">
        <f>LEFT(Table1[[#This Row],[Category and Sub-Category]],FIND("/",Table1[[#This Row],[Category and Sub-Category]])-1)</f>
        <v>theater</v>
      </c>
      <c r="V2790" t="str">
        <f>RIGHT(Table1[[#This Row],[Category and Sub-Category]],LEN(Table1[[#This Row],[Category and Sub-Category]])-FIND("/",Table1[[#This Row],[Category and Sub-Category]]))</f>
        <v>plays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 s="12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>((Table1[[#This Row],[deadline]]/60)/60/24)+DATE(1970,1,1)</f>
        <v>42075.166666666672</v>
      </c>
      <c r="K2791">
        <v>1424477934</v>
      </c>
      <c r="L2791" s="11">
        <f>((Table1[[#This Row],[launched_at]]/60)/60/24)+DATE(1970,1,1)</f>
        <v>42056.013124999998</v>
      </c>
      <c r="M2791">
        <f>MONTH(Table1[[#This Row],[Date Created Conversion]])</f>
        <v>2</v>
      </c>
      <c r="N2791">
        <f>YEAR(Table1[[#This Row],[Date Created Conversion]])</f>
        <v>2015</v>
      </c>
      <c r="O2791" t="b">
        <v>0</v>
      </c>
      <c r="P2791">
        <v>24</v>
      </c>
      <c r="Q2791" t="b">
        <v>1</v>
      </c>
      <c r="R2791" t="s">
        <v>8271</v>
      </c>
      <c r="S2791" s="6">
        <f>Table1[[#This Row],[pledged]]/Table1[[#This Row],[goal]]</f>
        <v>1.0116666666666667</v>
      </c>
      <c r="T2791" s="8">
        <f>IF(Table1[[#This Row],[pledged]]=0,"no backers",Table1[[#This Row],[pledged]]/Table1[[#This Row],[backers_count]])</f>
        <v>126.45833333333333</v>
      </c>
      <c r="U2791" t="str">
        <f>LEFT(Table1[[#This Row],[Category and Sub-Category]],FIND("/",Table1[[#This Row],[Category and Sub-Category]])-1)</f>
        <v>theater</v>
      </c>
      <c r="V2791" t="str">
        <f>RIGHT(Table1[[#This Row],[Category and Sub-Category]],LEN(Table1[[#This Row],[Category and Sub-Category]])-FIND("/",Table1[[#This Row],[Category and Sub-Category]]))</f>
        <v>plays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 s="1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>((Table1[[#This Row],[deadline]]/60)/60/24)+DATE(1970,1,1)</f>
        <v>42046.938692129625</v>
      </c>
      <c r="K2792">
        <v>1421101903</v>
      </c>
      <c r="L2792" s="11">
        <f>((Table1[[#This Row],[launched_at]]/60)/60/24)+DATE(1970,1,1)</f>
        <v>42016.938692129625</v>
      </c>
      <c r="M2792">
        <f>MONTH(Table1[[#This Row],[Date Created Conversion]])</f>
        <v>1</v>
      </c>
      <c r="N2792">
        <f>YEAR(Table1[[#This Row],[Date Created Conversion]])</f>
        <v>2015</v>
      </c>
      <c r="O2792" t="b">
        <v>0</v>
      </c>
      <c r="P2792">
        <v>66</v>
      </c>
      <c r="Q2792" t="b">
        <v>1</v>
      </c>
      <c r="R2792" t="s">
        <v>8271</v>
      </c>
      <c r="S2792" s="6">
        <f>Table1[[#This Row],[pledged]]/Table1[[#This Row],[goal]]</f>
        <v>1.0533333333333332</v>
      </c>
      <c r="T2792" s="8">
        <f>IF(Table1[[#This Row],[pledged]]=0,"no backers",Table1[[#This Row],[pledged]]/Table1[[#This Row],[backers_count]])</f>
        <v>47.878787878787875</v>
      </c>
      <c r="U2792" t="str">
        <f>LEFT(Table1[[#This Row],[Category and Sub-Category]],FIND("/",Table1[[#This Row],[Category and Sub-Category]])-1)</f>
        <v>theater</v>
      </c>
      <c r="V2792" t="str">
        <f>RIGHT(Table1[[#This Row],[Category and Sub-Category]],LEN(Table1[[#This Row],[Category and Sub-Category]])-FIND("/",Table1[[#This Row],[Category and Sub-Category]]))</f>
        <v>plays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 s="12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>((Table1[[#This Row],[deadline]]/60)/60/24)+DATE(1970,1,1)</f>
        <v>42622.166666666672</v>
      </c>
      <c r="K2793">
        <v>1470778559</v>
      </c>
      <c r="L2793" s="11">
        <f>((Table1[[#This Row],[launched_at]]/60)/60/24)+DATE(1970,1,1)</f>
        <v>42591.899988425925</v>
      </c>
      <c r="M2793">
        <f>MONTH(Table1[[#This Row],[Date Created Conversion]])</f>
        <v>8</v>
      </c>
      <c r="N2793">
        <f>YEAR(Table1[[#This Row],[Date Created Conversion]])</f>
        <v>2016</v>
      </c>
      <c r="O2793" t="b">
        <v>0</v>
      </c>
      <c r="P2793">
        <v>28</v>
      </c>
      <c r="Q2793" t="b">
        <v>1</v>
      </c>
      <c r="R2793" t="s">
        <v>8271</v>
      </c>
      <c r="S2793" s="6">
        <f>Table1[[#This Row],[pledged]]/Table1[[#This Row],[goal]]</f>
        <v>1.0249999999999999</v>
      </c>
      <c r="T2793" s="8">
        <f>IF(Table1[[#This Row],[pledged]]=0,"no backers",Table1[[#This Row],[pledged]]/Table1[[#This Row],[backers_count]])</f>
        <v>73.214285714285708</v>
      </c>
      <c r="U2793" t="str">
        <f>LEFT(Table1[[#This Row],[Category and Sub-Category]],FIND("/",Table1[[#This Row],[Category and Sub-Category]])-1)</f>
        <v>theater</v>
      </c>
      <c r="V2793" t="str">
        <f>RIGHT(Table1[[#This Row],[Category and Sub-Category]],LEN(Table1[[#This Row],[Category and Sub-Category]])-FIND("/",Table1[[#This Row],[Category and Sub-Category]]))</f>
        <v>plays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 s="12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>((Table1[[#This Row],[deadline]]/60)/60/24)+DATE(1970,1,1)</f>
        <v>42228.231006944443</v>
      </c>
      <c r="K2794">
        <v>1435469559</v>
      </c>
      <c r="L2794" s="11">
        <f>((Table1[[#This Row],[launched_at]]/60)/60/24)+DATE(1970,1,1)</f>
        <v>42183.231006944443</v>
      </c>
      <c r="M2794">
        <f>MONTH(Table1[[#This Row],[Date Created Conversion]])</f>
        <v>6</v>
      </c>
      <c r="N2794">
        <f>YEAR(Table1[[#This Row],[Date Created Conversion]])</f>
        <v>2015</v>
      </c>
      <c r="O2794" t="b">
        <v>0</v>
      </c>
      <c r="P2794">
        <v>24</v>
      </c>
      <c r="Q2794" t="b">
        <v>1</v>
      </c>
      <c r="R2794" t="s">
        <v>8271</v>
      </c>
      <c r="S2794" s="6">
        <f>Table1[[#This Row],[pledged]]/Table1[[#This Row],[goal]]</f>
        <v>1.0760000000000001</v>
      </c>
      <c r="T2794" s="8">
        <f>IF(Table1[[#This Row],[pledged]]=0,"no backers",Table1[[#This Row],[pledged]]/Table1[[#This Row],[backers_count]])</f>
        <v>89.666666666666671</v>
      </c>
      <c r="U2794" t="str">
        <f>LEFT(Table1[[#This Row],[Category and Sub-Category]],FIND("/",Table1[[#This Row],[Category and Sub-Category]])-1)</f>
        <v>theater</v>
      </c>
      <c r="V2794" t="str">
        <f>RIGHT(Table1[[#This Row],[Category and Sub-Category]],LEN(Table1[[#This Row],[Category and Sub-Category]])-FIND("/",Table1[[#This Row],[Category and Sub-Category]]))</f>
        <v>plays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 s="12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>((Table1[[#This Row],[deadline]]/60)/60/24)+DATE(1970,1,1)</f>
        <v>42206.419039351851</v>
      </c>
      <c r="K2795">
        <v>1434881005</v>
      </c>
      <c r="L2795" s="11">
        <f>((Table1[[#This Row],[launched_at]]/60)/60/24)+DATE(1970,1,1)</f>
        <v>42176.419039351851</v>
      </c>
      <c r="M2795">
        <f>MONTH(Table1[[#This Row],[Date Created Conversion]])</f>
        <v>6</v>
      </c>
      <c r="N2795">
        <f>YEAR(Table1[[#This Row],[Date Created Conversion]])</f>
        <v>2015</v>
      </c>
      <c r="O2795" t="b">
        <v>0</v>
      </c>
      <c r="P2795">
        <v>73</v>
      </c>
      <c r="Q2795" t="b">
        <v>1</v>
      </c>
      <c r="R2795" t="s">
        <v>8271</v>
      </c>
      <c r="S2795" s="6">
        <f>Table1[[#This Row],[pledged]]/Table1[[#This Row],[goal]]</f>
        <v>1.105675</v>
      </c>
      <c r="T2795" s="8">
        <f>IF(Table1[[#This Row],[pledged]]=0,"no backers",Table1[[#This Row],[pledged]]/Table1[[#This Row],[backers_count]])</f>
        <v>151.4623287671233</v>
      </c>
      <c r="U2795" t="str">
        <f>LEFT(Table1[[#This Row],[Category and Sub-Category]],FIND("/",Table1[[#This Row],[Category and Sub-Category]])-1)</f>
        <v>theater</v>
      </c>
      <c r="V2795" t="str">
        <f>RIGHT(Table1[[#This Row],[Category and Sub-Category]],LEN(Table1[[#This Row],[Category and Sub-Category]])-FIND("/",Table1[[#This Row],[Category and Sub-Category]]))</f>
        <v>plays</v>
      </c>
    </row>
    <row r="2796" spans="1:22" ht="57.6" x14ac:dyDescent="0.3">
      <c r="A2796">
        <v>2794</v>
      </c>
      <c r="B2796" s="3" t="s">
        <v>2794</v>
      </c>
      <c r="C2796" s="3" t="s">
        <v>6904</v>
      </c>
      <c r="D2796" s="12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>((Table1[[#This Row],[deadline]]/60)/60/24)+DATE(1970,1,1)</f>
        <v>42432.791666666672</v>
      </c>
      <c r="K2796">
        <v>1455640559</v>
      </c>
      <c r="L2796" s="11">
        <f>((Table1[[#This Row],[launched_at]]/60)/60/24)+DATE(1970,1,1)</f>
        <v>42416.691655092596</v>
      </c>
      <c r="M2796">
        <f>MONTH(Table1[[#This Row],[Date Created Conversion]])</f>
        <v>2</v>
      </c>
      <c r="N2796">
        <f>YEAR(Table1[[#This Row],[Date Created Conversion]])</f>
        <v>2016</v>
      </c>
      <c r="O2796" t="b">
        <v>0</v>
      </c>
      <c r="P2796">
        <v>3</v>
      </c>
      <c r="Q2796" t="b">
        <v>1</v>
      </c>
      <c r="R2796" t="s">
        <v>8271</v>
      </c>
      <c r="S2796" s="6">
        <f>Table1[[#This Row],[pledged]]/Table1[[#This Row],[goal]]</f>
        <v>1.5</v>
      </c>
      <c r="T2796" s="8">
        <f>IF(Table1[[#This Row],[pledged]]=0,"no backers",Table1[[#This Row],[pledged]]/Table1[[#This Row],[backers_count]])</f>
        <v>25</v>
      </c>
      <c r="U2796" t="str">
        <f>LEFT(Table1[[#This Row],[Category and Sub-Category]],FIND("/",Table1[[#This Row],[Category and Sub-Category]])-1)</f>
        <v>theater</v>
      </c>
      <c r="V2796" t="str">
        <f>RIGHT(Table1[[#This Row],[Category and Sub-Category]],LEN(Table1[[#This Row],[Category and Sub-Category]])-FIND("/",Table1[[#This Row],[Category and Sub-Category]]))</f>
        <v>plays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 s="12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>((Table1[[#This Row],[deadline]]/60)/60/24)+DATE(1970,1,1)</f>
        <v>41796.958333333336</v>
      </c>
      <c r="K2797">
        <v>1400675841</v>
      </c>
      <c r="L2797" s="11">
        <f>((Table1[[#This Row],[launched_at]]/60)/60/24)+DATE(1970,1,1)</f>
        <v>41780.525937500002</v>
      </c>
      <c r="M2797">
        <f>MONTH(Table1[[#This Row],[Date Created Conversion]])</f>
        <v>5</v>
      </c>
      <c r="N2797">
        <f>YEAR(Table1[[#This Row],[Date Created Conversion]])</f>
        <v>2014</v>
      </c>
      <c r="O2797" t="b">
        <v>0</v>
      </c>
      <c r="P2797">
        <v>20</v>
      </c>
      <c r="Q2797" t="b">
        <v>1</v>
      </c>
      <c r="R2797" t="s">
        <v>8271</v>
      </c>
      <c r="S2797" s="6">
        <f>Table1[[#This Row],[pledged]]/Table1[[#This Row],[goal]]</f>
        <v>1.0428571428571429</v>
      </c>
      <c r="T2797" s="8">
        <f>IF(Table1[[#This Row],[pledged]]=0,"no backers",Table1[[#This Row],[pledged]]/Table1[[#This Row],[backers_count]])</f>
        <v>36.5</v>
      </c>
      <c r="U2797" t="str">
        <f>LEFT(Table1[[#This Row],[Category and Sub-Category]],FIND("/",Table1[[#This Row],[Category and Sub-Category]])-1)</f>
        <v>theater</v>
      </c>
      <c r="V2797" t="str">
        <f>RIGHT(Table1[[#This Row],[Category and Sub-Category]],LEN(Table1[[#This Row],[Category and Sub-Category]])-FIND("/",Table1[[#This Row],[Category and Sub-Category]]))</f>
        <v>plays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 s="12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>((Table1[[#This Row],[deadline]]/60)/60/24)+DATE(1970,1,1)</f>
        <v>41825.528101851851</v>
      </c>
      <c r="K2798">
        <v>1401972028</v>
      </c>
      <c r="L2798" s="11">
        <f>((Table1[[#This Row],[launched_at]]/60)/60/24)+DATE(1970,1,1)</f>
        <v>41795.528101851851</v>
      </c>
      <c r="M2798">
        <f>MONTH(Table1[[#This Row],[Date Created Conversion]])</f>
        <v>6</v>
      </c>
      <c r="N2798">
        <f>YEAR(Table1[[#This Row],[Date Created Conversion]])</f>
        <v>2014</v>
      </c>
      <c r="O2798" t="b">
        <v>0</v>
      </c>
      <c r="P2798">
        <v>21</v>
      </c>
      <c r="Q2798" t="b">
        <v>1</v>
      </c>
      <c r="R2798" t="s">
        <v>8271</v>
      </c>
      <c r="S2798" s="6">
        <f>Table1[[#This Row],[pledged]]/Table1[[#This Row],[goal]]</f>
        <v>1.155</v>
      </c>
      <c r="T2798" s="8">
        <f>IF(Table1[[#This Row],[pledged]]=0,"no backers",Table1[[#This Row],[pledged]]/Table1[[#This Row],[backers_count]])</f>
        <v>44</v>
      </c>
      <c r="U2798" t="str">
        <f>LEFT(Table1[[#This Row],[Category and Sub-Category]],FIND("/",Table1[[#This Row],[Category and Sub-Category]])-1)</f>
        <v>theater</v>
      </c>
      <c r="V2798" t="str">
        <f>RIGHT(Table1[[#This Row],[Category and Sub-Category]],LEN(Table1[[#This Row],[Category and Sub-Category]])-FIND("/",Table1[[#This Row],[Category and Sub-Category]]))</f>
        <v>plays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 s="12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>((Table1[[#This Row],[deadline]]/60)/60/24)+DATE(1970,1,1)</f>
        <v>41828.94027777778</v>
      </c>
      <c r="K2799">
        <v>1402266840</v>
      </c>
      <c r="L2799" s="11">
        <f>((Table1[[#This Row],[launched_at]]/60)/60/24)+DATE(1970,1,1)</f>
        <v>41798.94027777778</v>
      </c>
      <c r="M2799">
        <f>MONTH(Table1[[#This Row],[Date Created Conversion]])</f>
        <v>6</v>
      </c>
      <c r="N2799">
        <f>YEAR(Table1[[#This Row],[Date Created Conversion]])</f>
        <v>2014</v>
      </c>
      <c r="O2799" t="b">
        <v>0</v>
      </c>
      <c r="P2799">
        <v>94</v>
      </c>
      <c r="Q2799" t="b">
        <v>1</v>
      </c>
      <c r="R2799" t="s">
        <v>8271</v>
      </c>
      <c r="S2799" s="6">
        <f>Table1[[#This Row],[pledged]]/Table1[[#This Row],[goal]]</f>
        <v>1.02645125</v>
      </c>
      <c r="T2799" s="8">
        <f>IF(Table1[[#This Row],[pledged]]=0,"no backers",Table1[[#This Row],[pledged]]/Table1[[#This Row],[backers_count]])</f>
        <v>87.357553191489373</v>
      </c>
      <c r="U2799" t="str">
        <f>LEFT(Table1[[#This Row],[Category and Sub-Category]],FIND("/",Table1[[#This Row],[Category and Sub-Category]])-1)</f>
        <v>theater</v>
      </c>
      <c r="V2799" t="str">
        <f>RIGHT(Table1[[#This Row],[Category and Sub-Category]],LEN(Table1[[#This Row],[Category and Sub-Category]])-FIND("/",Table1[[#This Row],[Category and Sub-Category]]))</f>
        <v>plays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 s="12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>((Table1[[#This Row],[deadline]]/60)/60/24)+DATE(1970,1,1)</f>
        <v>42216.666666666672</v>
      </c>
      <c r="K2800">
        <v>1437063121</v>
      </c>
      <c r="L2800" s="11">
        <f>((Table1[[#This Row],[launched_at]]/60)/60/24)+DATE(1970,1,1)</f>
        <v>42201.675011574072</v>
      </c>
      <c r="M2800">
        <f>MONTH(Table1[[#This Row],[Date Created Conversion]])</f>
        <v>7</v>
      </c>
      <c r="N2800">
        <f>YEAR(Table1[[#This Row],[Date Created Conversion]])</f>
        <v>2015</v>
      </c>
      <c r="O2800" t="b">
        <v>0</v>
      </c>
      <c r="P2800">
        <v>139</v>
      </c>
      <c r="Q2800" t="b">
        <v>1</v>
      </c>
      <c r="R2800" t="s">
        <v>8271</v>
      </c>
      <c r="S2800" s="6">
        <f>Table1[[#This Row],[pledged]]/Table1[[#This Row],[goal]]</f>
        <v>1.014</v>
      </c>
      <c r="T2800" s="8">
        <f>IF(Table1[[#This Row],[pledged]]=0,"no backers",Table1[[#This Row],[pledged]]/Table1[[#This Row],[backers_count]])</f>
        <v>36.474820143884891</v>
      </c>
      <c r="U2800" t="str">
        <f>LEFT(Table1[[#This Row],[Category and Sub-Category]],FIND("/",Table1[[#This Row],[Category and Sub-Category]])-1)</f>
        <v>theater</v>
      </c>
      <c r="V2800" t="str">
        <f>RIGHT(Table1[[#This Row],[Category and Sub-Category]],LEN(Table1[[#This Row],[Category and Sub-Category]])-FIND("/",Table1[[#This Row],[Category and Sub-Category]]))</f>
        <v>plays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 s="12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>((Table1[[#This Row],[deadline]]/60)/60/24)+DATE(1970,1,1)</f>
        <v>42538.666666666672</v>
      </c>
      <c r="K2801">
        <v>1463466070</v>
      </c>
      <c r="L2801" s="11">
        <f>((Table1[[#This Row],[launched_at]]/60)/60/24)+DATE(1970,1,1)</f>
        <v>42507.264699074076</v>
      </c>
      <c r="M2801">
        <f>MONTH(Table1[[#This Row],[Date Created Conversion]])</f>
        <v>5</v>
      </c>
      <c r="N2801">
        <f>YEAR(Table1[[#This Row],[Date Created Conversion]])</f>
        <v>2016</v>
      </c>
      <c r="O2801" t="b">
        <v>0</v>
      </c>
      <c r="P2801">
        <v>130</v>
      </c>
      <c r="Q2801" t="b">
        <v>1</v>
      </c>
      <c r="R2801" t="s">
        <v>8271</v>
      </c>
      <c r="S2801" s="6">
        <f>Table1[[#This Row],[pledged]]/Table1[[#This Row],[goal]]</f>
        <v>1.1663479999999999</v>
      </c>
      <c r="T2801" s="8">
        <f>IF(Table1[[#This Row],[pledged]]=0,"no backers",Table1[[#This Row],[pledged]]/Table1[[#This Row],[backers_count]])</f>
        <v>44.859538461538463</v>
      </c>
      <c r="U2801" t="str">
        <f>LEFT(Table1[[#This Row],[Category and Sub-Category]],FIND("/",Table1[[#This Row],[Category and Sub-Category]])-1)</f>
        <v>theater</v>
      </c>
      <c r="V2801" t="str">
        <f>RIGHT(Table1[[#This Row],[Category and Sub-Category]],LEN(Table1[[#This Row],[Category and Sub-Category]])-FIND("/",Table1[[#This Row],[Category and Sub-Category]]))</f>
        <v>plays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 s="1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>((Table1[[#This Row],[deadline]]/60)/60/24)+DATE(1970,1,1)</f>
        <v>42008.552847222221</v>
      </c>
      <c r="K2802">
        <v>1415193366</v>
      </c>
      <c r="L2802" s="11">
        <f>((Table1[[#This Row],[launched_at]]/60)/60/24)+DATE(1970,1,1)</f>
        <v>41948.552847222221</v>
      </c>
      <c r="M2802">
        <f>MONTH(Table1[[#This Row],[Date Created Conversion]])</f>
        <v>11</v>
      </c>
      <c r="N2802">
        <f>YEAR(Table1[[#This Row],[Date Created Conversion]])</f>
        <v>2014</v>
      </c>
      <c r="O2802" t="b">
        <v>0</v>
      </c>
      <c r="P2802">
        <v>31</v>
      </c>
      <c r="Q2802" t="b">
        <v>1</v>
      </c>
      <c r="R2802" t="s">
        <v>8271</v>
      </c>
      <c r="S2802" s="6">
        <f>Table1[[#This Row],[pledged]]/Table1[[#This Row],[goal]]</f>
        <v>1.33</v>
      </c>
      <c r="T2802" s="8">
        <f>IF(Table1[[#This Row],[pledged]]=0,"no backers",Table1[[#This Row],[pledged]]/Table1[[#This Row],[backers_count]])</f>
        <v>42.903225806451616</v>
      </c>
      <c r="U2802" t="str">
        <f>LEFT(Table1[[#This Row],[Category and Sub-Category]],FIND("/",Table1[[#This Row],[Category and Sub-Category]])-1)</f>
        <v>theater</v>
      </c>
      <c r="V2802" t="str">
        <f>RIGHT(Table1[[#This Row],[Category and Sub-Category]],LEN(Table1[[#This Row],[Category and Sub-Category]])-FIND("/",Table1[[#This Row],[Category and Sub-Category]]))</f>
        <v>plays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 s="12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>((Table1[[#This Row],[deadline]]/60)/60/24)+DATE(1970,1,1)</f>
        <v>41922.458333333336</v>
      </c>
      <c r="K2803">
        <v>1411019409</v>
      </c>
      <c r="L2803" s="11">
        <f>((Table1[[#This Row],[launched_at]]/60)/60/24)+DATE(1970,1,1)</f>
        <v>41900.243159722224</v>
      </c>
      <c r="M2803">
        <f>MONTH(Table1[[#This Row],[Date Created Conversion]])</f>
        <v>9</v>
      </c>
      <c r="N2803">
        <f>YEAR(Table1[[#This Row],[Date Created Conversion]])</f>
        <v>2014</v>
      </c>
      <c r="O2803" t="b">
        <v>0</v>
      </c>
      <c r="P2803">
        <v>13</v>
      </c>
      <c r="Q2803" t="b">
        <v>1</v>
      </c>
      <c r="R2803" t="s">
        <v>8271</v>
      </c>
      <c r="S2803" s="6">
        <f>Table1[[#This Row],[pledged]]/Table1[[#This Row],[goal]]</f>
        <v>1.3320000000000001</v>
      </c>
      <c r="T2803" s="8">
        <f>IF(Table1[[#This Row],[pledged]]=0,"no backers",Table1[[#This Row],[pledged]]/Table1[[#This Row],[backers_count]])</f>
        <v>51.230769230769234</v>
      </c>
      <c r="U2803" t="str">
        <f>LEFT(Table1[[#This Row],[Category and Sub-Category]],FIND("/",Table1[[#This Row],[Category and Sub-Category]])-1)</f>
        <v>theater</v>
      </c>
      <c r="V2803" t="str">
        <f>RIGHT(Table1[[#This Row],[Category and Sub-Category]],LEN(Table1[[#This Row],[Category and Sub-Category]])-FIND("/",Table1[[#This Row],[Category and Sub-Category]]))</f>
        <v>plays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 s="12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>((Table1[[#This Row],[deadline]]/60)/60/24)+DATE(1970,1,1)</f>
        <v>42222.64707175926</v>
      </c>
      <c r="K2804">
        <v>1436283107</v>
      </c>
      <c r="L2804" s="11">
        <f>((Table1[[#This Row],[launched_at]]/60)/60/24)+DATE(1970,1,1)</f>
        <v>42192.64707175926</v>
      </c>
      <c r="M2804">
        <f>MONTH(Table1[[#This Row],[Date Created Conversion]])</f>
        <v>7</v>
      </c>
      <c r="N2804">
        <f>YEAR(Table1[[#This Row],[Date Created Conversion]])</f>
        <v>2015</v>
      </c>
      <c r="O2804" t="b">
        <v>0</v>
      </c>
      <c r="P2804">
        <v>90</v>
      </c>
      <c r="Q2804" t="b">
        <v>1</v>
      </c>
      <c r="R2804" t="s">
        <v>8271</v>
      </c>
      <c r="S2804" s="6">
        <f>Table1[[#This Row],[pledged]]/Table1[[#This Row],[goal]]</f>
        <v>1.0183333333333333</v>
      </c>
      <c r="T2804" s="8">
        <f>IF(Table1[[#This Row],[pledged]]=0,"no backers",Table1[[#This Row],[pledged]]/Table1[[#This Row],[backers_count]])</f>
        <v>33.944444444444443</v>
      </c>
      <c r="U2804" t="str">
        <f>LEFT(Table1[[#This Row],[Category and Sub-Category]],FIND("/",Table1[[#This Row],[Category and Sub-Category]])-1)</f>
        <v>theater</v>
      </c>
      <c r="V2804" t="str">
        <f>RIGHT(Table1[[#This Row],[Category and Sub-Category]],LEN(Table1[[#This Row],[Category and Sub-Category]])-FIND("/",Table1[[#This Row],[Category and Sub-Category]]))</f>
        <v>plays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 s="12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>((Table1[[#This Row],[deadline]]/60)/60/24)+DATE(1970,1,1)</f>
        <v>42201</v>
      </c>
      <c r="K2805">
        <v>1433295276</v>
      </c>
      <c r="L2805" s="11">
        <f>((Table1[[#This Row],[launched_at]]/60)/60/24)+DATE(1970,1,1)</f>
        <v>42158.065694444449</v>
      </c>
      <c r="M2805">
        <f>MONTH(Table1[[#This Row],[Date Created Conversion]])</f>
        <v>6</v>
      </c>
      <c r="N2805">
        <f>YEAR(Table1[[#This Row],[Date Created Conversion]])</f>
        <v>2015</v>
      </c>
      <c r="O2805" t="b">
        <v>0</v>
      </c>
      <c r="P2805">
        <v>141</v>
      </c>
      <c r="Q2805" t="b">
        <v>1</v>
      </c>
      <c r="R2805" t="s">
        <v>8271</v>
      </c>
      <c r="S2805" s="6">
        <f>Table1[[#This Row],[pledged]]/Table1[[#This Row],[goal]]</f>
        <v>1.2795000000000001</v>
      </c>
      <c r="T2805" s="8">
        <f>IF(Table1[[#This Row],[pledged]]=0,"no backers",Table1[[#This Row],[pledged]]/Table1[[#This Row],[backers_count]])</f>
        <v>90.744680851063833</v>
      </c>
      <c r="U2805" t="str">
        <f>LEFT(Table1[[#This Row],[Category and Sub-Category]],FIND("/",Table1[[#This Row],[Category and Sub-Category]])-1)</f>
        <v>theater</v>
      </c>
      <c r="V2805" t="str">
        <f>RIGHT(Table1[[#This Row],[Category and Sub-Category]],LEN(Table1[[#This Row],[Category and Sub-Category]])-FIND("/",Table1[[#This Row],[Category and Sub-Category]]))</f>
        <v>plays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 s="12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>((Table1[[#This Row],[deadline]]/60)/60/24)+DATE(1970,1,1)</f>
        <v>41911.453587962962</v>
      </c>
      <c r="K2806">
        <v>1409395990</v>
      </c>
      <c r="L2806" s="11">
        <f>((Table1[[#This Row],[launched_at]]/60)/60/24)+DATE(1970,1,1)</f>
        <v>41881.453587962962</v>
      </c>
      <c r="M2806">
        <f>MONTH(Table1[[#This Row],[Date Created Conversion]])</f>
        <v>8</v>
      </c>
      <c r="N2806">
        <f>YEAR(Table1[[#This Row],[Date Created Conversion]])</f>
        <v>2014</v>
      </c>
      <c r="O2806" t="b">
        <v>0</v>
      </c>
      <c r="P2806">
        <v>23</v>
      </c>
      <c r="Q2806" t="b">
        <v>1</v>
      </c>
      <c r="R2806" t="s">
        <v>8271</v>
      </c>
      <c r="S2806" s="6">
        <f>Table1[[#This Row],[pledged]]/Table1[[#This Row],[goal]]</f>
        <v>1.1499999999999999</v>
      </c>
      <c r="T2806" s="8">
        <f>IF(Table1[[#This Row],[pledged]]=0,"no backers",Table1[[#This Row],[pledged]]/Table1[[#This Row],[backers_count]])</f>
        <v>50</v>
      </c>
      <c r="U2806" t="str">
        <f>LEFT(Table1[[#This Row],[Category and Sub-Category]],FIND("/",Table1[[#This Row],[Category and Sub-Category]])-1)</f>
        <v>theater</v>
      </c>
      <c r="V2806" t="str">
        <f>RIGHT(Table1[[#This Row],[Category and Sub-Category]],LEN(Table1[[#This Row],[Category and Sub-Category]])-FIND("/",Table1[[#This Row],[Category and Sub-Category]]))</f>
        <v>plays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 s="12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>((Table1[[#This Row],[deadline]]/60)/60/24)+DATE(1970,1,1)</f>
        <v>42238.505474537036</v>
      </c>
      <c r="K2807">
        <v>1438085273</v>
      </c>
      <c r="L2807" s="11">
        <f>((Table1[[#This Row],[launched_at]]/60)/60/24)+DATE(1970,1,1)</f>
        <v>42213.505474537036</v>
      </c>
      <c r="M2807">
        <f>MONTH(Table1[[#This Row],[Date Created Conversion]])</f>
        <v>7</v>
      </c>
      <c r="N2807">
        <f>YEAR(Table1[[#This Row],[Date Created Conversion]])</f>
        <v>2015</v>
      </c>
      <c r="O2807" t="b">
        <v>0</v>
      </c>
      <c r="P2807">
        <v>18</v>
      </c>
      <c r="Q2807" t="b">
        <v>1</v>
      </c>
      <c r="R2807" t="s">
        <v>8271</v>
      </c>
      <c r="S2807" s="6">
        <f>Table1[[#This Row],[pledged]]/Table1[[#This Row],[goal]]</f>
        <v>1.1000000000000001</v>
      </c>
      <c r="T2807" s="8">
        <f>IF(Table1[[#This Row],[pledged]]=0,"no backers",Table1[[#This Row],[pledged]]/Table1[[#This Row],[backers_count]])</f>
        <v>24.444444444444443</v>
      </c>
      <c r="U2807" t="str">
        <f>LEFT(Table1[[#This Row],[Category and Sub-Category]],FIND("/",Table1[[#This Row],[Category and Sub-Category]])-1)</f>
        <v>theater</v>
      </c>
      <c r="V2807" t="str">
        <f>RIGHT(Table1[[#This Row],[Category and Sub-Category]],LEN(Table1[[#This Row],[Category and Sub-Category]])-FIND("/",Table1[[#This Row],[Category and Sub-Category]]))</f>
        <v>plays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 s="12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>((Table1[[#This Row],[deadline]]/60)/60/24)+DATE(1970,1,1)</f>
        <v>42221.458333333328</v>
      </c>
      <c r="K2808">
        <v>1435645490</v>
      </c>
      <c r="L2808" s="11">
        <f>((Table1[[#This Row],[launched_at]]/60)/60/24)+DATE(1970,1,1)</f>
        <v>42185.267245370371</v>
      </c>
      <c r="M2808">
        <f>MONTH(Table1[[#This Row],[Date Created Conversion]])</f>
        <v>6</v>
      </c>
      <c r="N2808">
        <f>YEAR(Table1[[#This Row],[Date Created Conversion]])</f>
        <v>2015</v>
      </c>
      <c r="O2808" t="b">
        <v>0</v>
      </c>
      <c r="P2808">
        <v>76</v>
      </c>
      <c r="Q2808" t="b">
        <v>1</v>
      </c>
      <c r="R2808" t="s">
        <v>8271</v>
      </c>
      <c r="S2808" s="6">
        <f>Table1[[#This Row],[pledged]]/Table1[[#This Row],[goal]]</f>
        <v>1.121</v>
      </c>
      <c r="T2808" s="8">
        <f>IF(Table1[[#This Row],[pledged]]=0,"no backers",Table1[[#This Row],[pledged]]/Table1[[#This Row],[backers_count]])</f>
        <v>44.25</v>
      </c>
      <c r="U2808" t="str">
        <f>LEFT(Table1[[#This Row],[Category and Sub-Category]],FIND("/",Table1[[#This Row],[Category and Sub-Category]])-1)</f>
        <v>theater</v>
      </c>
      <c r="V2808" t="str">
        <f>RIGHT(Table1[[#This Row],[Category and Sub-Category]],LEN(Table1[[#This Row],[Category and Sub-Category]])-FIND("/",Table1[[#This Row],[Category and Sub-Category]]))</f>
        <v>plays</v>
      </c>
    </row>
    <row r="2809" spans="1:22" x14ac:dyDescent="0.3">
      <c r="A2809">
        <v>2807</v>
      </c>
      <c r="B2809" s="3" t="s">
        <v>2807</v>
      </c>
      <c r="C2809" s="3" t="s">
        <v>6917</v>
      </c>
      <c r="D2809" s="12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>((Table1[[#This Row],[deadline]]/60)/60/24)+DATE(1970,1,1)</f>
        <v>42184.873124999998</v>
      </c>
      <c r="K2809">
        <v>1433019438</v>
      </c>
      <c r="L2809" s="11">
        <f>((Table1[[#This Row],[launched_at]]/60)/60/24)+DATE(1970,1,1)</f>
        <v>42154.873124999998</v>
      </c>
      <c r="M2809">
        <f>MONTH(Table1[[#This Row],[Date Created Conversion]])</f>
        <v>5</v>
      </c>
      <c r="N2809">
        <f>YEAR(Table1[[#This Row],[Date Created Conversion]])</f>
        <v>2015</v>
      </c>
      <c r="O2809" t="b">
        <v>0</v>
      </c>
      <c r="P2809">
        <v>93</v>
      </c>
      <c r="Q2809" t="b">
        <v>1</v>
      </c>
      <c r="R2809" t="s">
        <v>8271</v>
      </c>
      <c r="S2809" s="6">
        <f>Table1[[#This Row],[pledged]]/Table1[[#This Row],[goal]]</f>
        <v>1.26</v>
      </c>
      <c r="T2809" s="8">
        <f>IF(Table1[[#This Row],[pledged]]=0,"no backers",Table1[[#This Row],[pledged]]/Table1[[#This Row],[backers_count]])</f>
        <v>67.741935483870961</v>
      </c>
      <c r="U2809" t="str">
        <f>LEFT(Table1[[#This Row],[Category and Sub-Category]],FIND("/",Table1[[#This Row],[Category and Sub-Category]])-1)</f>
        <v>theater</v>
      </c>
      <c r="V2809" t="str">
        <f>RIGHT(Table1[[#This Row],[Category and Sub-Category]],LEN(Table1[[#This Row],[Category and Sub-Category]])-FIND("/",Table1[[#This Row],[Category and Sub-Category]]))</f>
        <v>plays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 s="12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>((Table1[[#This Row],[deadline]]/60)/60/24)+DATE(1970,1,1)</f>
        <v>42238.84646990741</v>
      </c>
      <c r="K2810">
        <v>1437682735</v>
      </c>
      <c r="L2810" s="11">
        <f>((Table1[[#This Row],[launched_at]]/60)/60/24)+DATE(1970,1,1)</f>
        <v>42208.84646990741</v>
      </c>
      <c r="M2810">
        <f>MONTH(Table1[[#This Row],[Date Created Conversion]])</f>
        <v>7</v>
      </c>
      <c r="N2810">
        <f>YEAR(Table1[[#This Row],[Date Created Conversion]])</f>
        <v>2015</v>
      </c>
      <c r="O2810" t="b">
        <v>0</v>
      </c>
      <c r="P2810">
        <v>69</v>
      </c>
      <c r="Q2810" t="b">
        <v>1</v>
      </c>
      <c r="R2810" t="s">
        <v>8271</v>
      </c>
      <c r="S2810" s="6">
        <f>Table1[[#This Row],[pledged]]/Table1[[#This Row],[goal]]</f>
        <v>1.0024444444444445</v>
      </c>
      <c r="T2810" s="8">
        <f>IF(Table1[[#This Row],[pledged]]=0,"no backers",Table1[[#This Row],[pledged]]/Table1[[#This Row],[backers_count]])</f>
        <v>65.376811594202906</v>
      </c>
      <c r="U2810" t="str">
        <f>LEFT(Table1[[#This Row],[Category and Sub-Category]],FIND("/",Table1[[#This Row],[Category and Sub-Category]])-1)</f>
        <v>theater</v>
      </c>
      <c r="V2810" t="str">
        <f>RIGHT(Table1[[#This Row],[Category and Sub-Category]],LEN(Table1[[#This Row],[Category and Sub-Category]])-FIND("/",Table1[[#This Row],[Category and Sub-Category]]))</f>
        <v>plays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 s="12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>((Table1[[#This Row],[deadline]]/60)/60/24)+DATE(1970,1,1)</f>
        <v>42459.610416666663</v>
      </c>
      <c r="K2811">
        <v>1458647725</v>
      </c>
      <c r="L2811" s="11">
        <f>((Table1[[#This Row],[launched_at]]/60)/60/24)+DATE(1970,1,1)</f>
        <v>42451.496817129635</v>
      </c>
      <c r="M2811">
        <f>MONTH(Table1[[#This Row],[Date Created Conversion]])</f>
        <v>3</v>
      </c>
      <c r="N2811">
        <f>YEAR(Table1[[#This Row],[Date Created Conversion]])</f>
        <v>2016</v>
      </c>
      <c r="O2811" t="b">
        <v>0</v>
      </c>
      <c r="P2811">
        <v>21</v>
      </c>
      <c r="Q2811" t="b">
        <v>1</v>
      </c>
      <c r="R2811" t="s">
        <v>8271</v>
      </c>
      <c r="S2811" s="6">
        <f>Table1[[#This Row],[pledged]]/Table1[[#This Row],[goal]]</f>
        <v>1.024</v>
      </c>
      <c r="T2811" s="8">
        <f>IF(Table1[[#This Row],[pledged]]=0,"no backers",Table1[[#This Row],[pledged]]/Table1[[#This Row],[backers_count]])</f>
        <v>121.9047619047619</v>
      </c>
      <c r="U2811" t="str">
        <f>LEFT(Table1[[#This Row],[Category and Sub-Category]],FIND("/",Table1[[#This Row],[Category and Sub-Category]])-1)</f>
        <v>theater</v>
      </c>
      <c r="V2811" t="str">
        <f>RIGHT(Table1[[#This Row],[Category and Sub-Category]],LEN(Table1[[#This Row],[Category and Sub-Category]])-FIND("/",Table1[[#This Row],[Category and Sub-Category]]))</f>
        <v>plays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 s="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>((Table1[[#This Row],[deadline]]/60)/60/24)+DATE(1970,1,1)</f>
        <v>41791.165972222225</v>
      </c>
      <c r="K2812">
        <v>1398828064</v>
      </c>
      <c r="L2812" s="11">
        <f>((Table1[[#This Row],[launched_at]]/60)/60/24)+DATE(1970,1,1)</f>
        <v>41759.13962962963</v>
      </c>
      <c r="M2812">
        <f>MONTH(Table1[[#This Row],[Date Created Conversion]])</f>
        <v>4</v>
      </c>
      <c r="N2812">
        <f>YEAR(Table1[[#This Row],[Date Created Conversion]])</f>
        <v>2014</v>
      </c>
      <c r="O2812" t="b">
        <v>0</v>
      </c>
      <c r="P2812">
        <v>57</v>
      </c>
      <c r="Q2812" t="b">
        <v>1</v>
      </c>
      <c r="R2812" t="s">
        <v>8271</v>
      </c>
      <c r="S2812" s="6">
        <f>Table1[[#This Row],[pledged]]/Table1[[#This Row],[goal]]</f>
        <v>1.0820000000000001</v>
      </c>
      <c r="T2812" s="8">
        <f>IF(Table1[[#This Row],[pledged]]=0,"no backers",Table1[[#This Row],[pledged]]/Table1[[#This Row],[backers_count]])</f>
        <v>47.456140350877192</v>
      </c>
      <c r="U2812" t="str">
        <f>LEFT(Table1[[#This Row],[Category and Sub-Category]],FIND("/",Table1[[#This Row],[Category and Sub-Category]])-1)</f>
        <v>theater</v>
      </c>
      <c r="V2812" t="str">
        <f>RIGHT(Table1[[#This Row],[Category and Sub-Category]],LEN(Table1[[#This Row],[Category and Sub-Category]])-FIND("/",Table1[[#This Row],[Category and Sub-Category]]))</f>
        <v>plays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 s="12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>((Table1[[#This Row],[deadline]]/60)/60/24)+DATE(1970,1,1)</f>
        <v>42058.496562500004</v>
      </c>
      <c r="K2813">
        <v>1422100503</v>
      </c>
      <c r="L2813" s="11">
        <f>((Table1[[#This Row],[launched_at]]/60)/60/24)+DATE(1970,1,1)</f>
        <v>42028.496562500004</v>
      </c>
      <c r="M2813">
        <f>MONTH(Table1[[#This Row],[Date Created Conversion]])</f>
        <v>1</v>
      </c>
      <c r="N2813">
        <f>YEAR(Table1[[#This Row],[Date Created Conversion]])</f>
        <v>2015</v>
      </c>
      <c r="O2813" t="b">
        <v>0</v>
      </c>
      <c r="P2813">
        <v>108</v>
      </c>
      <c r="Q2813" t="b">
        <v>1</v>
      </c>
      <c r="R2813" t="s">
        <v>8271</v>
      </c>
      <c r="S2813" s="6">
        <f>Table1[[#This Row],[pledged]]/Table1[[#This Row],[goal]]</f>
        <v>1.0026999999999999</v>
      </c>
      <c r="T2813" s="8">
        <f>IF(Table1[[#This Row],[pledged]]=0,"no backers",Table1[[#This Row],[pledged]]/Table1[[#This Row],[backers_count]])</f>
        <v>92.842592592592595</v>
      </c>
      <c r="U2813" t="str">
        <f>LEFT(Table1[[#This Row],[Category and Sub-Category]],FIND("/",Table1[[#This Row],[Category and Sub-Category]])-1)</f>
        <v>theater</v>
      </c>
      <c r="V2813" t="str">
        <f>RIGHT(Table1[[#This Row],[Category and Sub-Category]],LEN(Table1[[#This Row],[Category and Sub-Category]])-FIND("/",Table1[[#This Row],[Category and Sub-Category]]))</f>
        <v>plays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 s="12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>((Table1[[#This Row],[deadline]]/60)/60/24)+DATE(1970,1,1)</f>
        <v>42100.166666666672</v>
      </c>
      <c r="K2814">
        <v>1424368298</v>
      </c>
      <c r="L2814" s="11">
        <f>((Table1[[#This Row],[launched_at]]/60)/60/24)+DATE(1970,1,1)</f>
        <v>42054.74418981481</v>
      </c>
      <c r="M2814">
        <f>MONTH(Table1[[#This Row],[Date Created Conversion]])</f>
        <v>2</v>
      </c>
      <c r="N2814">
        <f>YEAR(Table1[[#This Row],[Date Created Conversion]])</f>
        <v>2015</v>
      </c>
      <c r="O2814" t="b">
        <v>0</v>
      </c>
      <c r="P2814">
        <v>83</v>
      </c>
      <c r="Q2814" t="b">
        <v>1</v>
      </c>
      <c r="R2814" t="s">
        <v>8271</v>
      </c>
      <c r="S2814" s="6">
        <f>Table1[[#This Row],[pledged]]/Table1[[#This Row],[goal]]</f>
        <v>1.133</v>
      </c>
      <c r="T2814" s="8">
        <f>IF(Table1[[#This Row],[pledged]]=0,"no backers",Table1[[#This Row],[pledged]]/Table1[[#This Row],[backers_count]])</f>
        <v>68.253012048192772</v>
      </c>
      <c r="U2814" t="str">
        <f>LEFT(Table1[[#This Row],[Category and Sub-Category]],FIND("/",Table1[[#This Row],[Category and Sub-Category]])-1)</f>
        <v>theater</v>
      </c>
      <c r="V2814" t="str">
        <f>RIGHT(Table1[[#This Row],[Category and Sub-Category]],LEN(Table1[[#This Row],[Category and Sub-Category]])-FIND("/",Table1[[#This Row],[Category and Sub-Category]]))</f>
        <v>plays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 s="12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>((Table1[[#This Row],[deadline]]/60)/60/24)+DATE(1970,1,1)</f>
        <v>42718.742604166662</v>
      </c>
      <c r="K2815">
        <v>1479577761</v>
      </c>
      <c r="L2815" s="11">
        <f>((Table1[[#This Row],[launched_at]]/60)/60/24)+DATE(1970,1,1)</f>
        <v>42693.742604166662</v>
      </c>
      <c r="M2815">
        <f>MONTH(Table1[[#This Row],[Date Created Conversion]])</f>
        <v>11</v>
      </c>
      <c r="N2815">
        <f>YEAR(Table1[[#This Row],[Date Created Conversion]])</f>
        <v>2016</v>
      </c>
      <c r="O2815" t="b">
        <v>0</v>
      </c>
      <c r="P2815">
        <v>96</v>
      </c>
      <c r="Q2815" t="b">
        <v>1</v>
      </c>
      <c r="R2815" t="s">
        <v>8271</v>
      </c>
      <c r="S2815" s="6">
        <f>Table1[[#This Row],[pledged]]/Table1[[#This Row],[goal]]</f>
        <v>1.2757571428571428</v>
      </c>
      <c r="T2815" s="8">
        <f>IF(Table1[[#This Row],[pledged]]=0,"no backers",Table1[[#This Row],[pledged]]/Table1[[#This Row],[backers_count]])</f>
        <v>37.209583333333335</v>
      </c>
      <c r="U2815" t="str">
        <f>LEFT(Table1[[#This Row],[Category and Sub-Category]],FIND("/",Table1[[#This Row],[Category and Sub-Category]])-1)</f>
        <v>theater</v>
      </c>
      <c r="V2815" t="str">
        <f>RIGHT(Table1[[#This Row],[Category and Sub-Category]],LEN(Table1[[#This Row],[Category and Sub-Category]])-FIND("/",Table1[[#This Row],[Category and Sub-Category]]))</f>
        <v>plays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 s="12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>((Table1[[#This Row],[deadline]]/60)/60/24)+DATE(1970,1,1)</f>
        <v>42133.399479166663</v>
      </c>
      <c r="K2816">
        <v>1428572115</v>
      </c>
      <c r="L2816" s="11">
        <f>((Table1[[#This Row],[launched_at]]/60)/60/24)+DATE(1970,1,1)</f>
        <v>42103.399479166663</v>
      </c>
      <c r="M2816">
        <f>MONTH(Table1[[#This Row],[Date Created Conversion]])</f>
        <v>4</v>
      </c>
      <c r="N2816">
        <f>YEAR(Table1[[#This Row],[Date Created Conversion]])</f>
        <v>2015</v>
      </c>
      <c r="O2816" t="b">
        <v>0</v>
      </c>
      <c r="P2816">
        <v>64</v>
      </c>
      <c r="Q2816" t="b">
        <v>1</v>
      </c>
      <c r="R2816" t="s">
        <v>8271</v>
      </c>
      <c r="S2816" s="6">
        <f>Table1[[#This Row],[pledged]]/Table1[[#This Row],[goal]]</f>
        <v>1.0773333333333333</v>
      </c>
      <c r="T2816" s="8">
        <f>IF(Table1[[#This Row],[pledged]]=0,"no backers",Table1[[#This Row],[pledged]]/Table1[[#This Row],[backers_count]])</f>
        <v>25.25</v>
      </c>
      <c r="U2816" t="str">
        <f>LEFT(Table1[[#This Row],[Category and Sub-Category]],FIND("/",Table1[[#This Row],[Category and Sub-Category]])-1)</f>
        <v>theater</v>
      </c>
      <c r="V2816" t="str">
        <f>RIGHT(Table1[[#This Row],[Category and Sub-Category]],LEN(Table1[[#This Row],[Category and Sub-Category]])-FIND("/",Table1[[#This Row],[Category and Sub-Category]]))</f>
        <v>plays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 s="12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>((Table1[[#This Row],[deadline]]/60)/60/24)+DATE(1970,1,1)</f>
        <v>42589.776724537034</v>
      </c>
      <c r="K2817">
        <v>1468003109</v>
      </c>
      <c r="L2817" s="11">
        <f>((Table1[[#This Row],[launched_at]]/60)/60/24)+DATE(1970,1,1)</f>
        <v>42559.776724537034</v>
      </c>
      <c r="M2817">
        <f>MONTH(Table1[[#This Row],[Date Created Conversion]])</f>
        <v>7</v>
      </c>
      <c r="N2817">
        <f>YEAR(Table1[[#This Row],[Date Created Conversion]])</f>
        <v>2016</v>
      </c>
      <c r="O2817" t="b">
        <v>0</v>
      </c>
      <c r="P2817">
        <v>14</v>
      </c>
      <c r="Q2817" t="b">
        <v>1</v>
      </c>
      <c r="R2817" t="s">
        <v>8271</v>
      </c>
      <c r="S2817" s="6">
        <f>Table1[[#This Row],[pledged]]/Table1[[#This Row],[goal]]</f>
        <v>2.42</v>
      </c>
      <c r="T2817" s="8">
        <f>IF(Table1[[#This Row],[pledged]]=0,"no backers",Table1[[#This Row],[pledged]]/Table1[[#This Row],[backers_count]])</f>
        <v>43.214285714285715</v>
      </c>
      <c r="U2817" t="str">
        <f>LEFT(Table1[[#This Row],[Category and Sub-Category]],FIND("/",Table1[[#This Row],[Category and Sub-Category]])-1)</f>
        <v>theater</v>
      </c>
      <c r="V2817" t="str">
        <f>RIGHT(Table1[[#This Row],[Category and Sub-Category]],LEN(Table1[[#This Row],[Category and Sub-Category]])-FIND("/",Table1[[#This Row],[Category and Sub-Category]]))</f>
        <v>plays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 s="12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>((Table1[[#This Row],[deadline]]/60)/60/24)+DATE(1970,1,1)</f>
        <v>42218.666666666672</v>
      </c>
      <c r="K2818">
        <v>1435921992</v>
      </c>
      <c r="L2818" s="11">
        <f>((Table1[[#This Row],[launched_at]]/60)/60/24)+DATE(1970,1,1)</f>
        <v>42188.467499999999</v>
      </c>
      <c r="M2818">
        <f>MONTH(Table1[[#This Row],[Date Created Conversion]])</f>
        <v>7</v>
      </c>
      <c r="N2818">
        <f>YEAR(Table1[[#This Row],[Date Created Conversion]])</f>
        <v>2015</v>
      </c>
      <c r="O2818" t="b">
        <v>0</v>
      </c>
      <c r="P2818">
        <v>169</v>
      </c>
      <c r="Q2818" t="b">
        <v>1</v>
      </c>
      <c r="R2818" t="s">
        <v>8271</v>
      </c>
      <c r="S2818" s="6">
        <f>Table1[[#This Row],[pledged]]/Table1[[#This Row],[goal]]</f>
        <v>1.4156666666666666</v>
      </c>
      <c r="T2818" s="8">
        <f>IF(Table1[[#This Row],[pledged]]=0,"no backers",Table1[[#This Row],[pledged]]/Table1[[#This Row],[backers_count]])</f>
        <v>25.130177514792898</v>
      </c>
      <c r="U2818" t="str">
        <f>LEFT(Table1[[#This Row],[Category and Sub-Category]],FIND("/",Table1[[#This Row],[Category and Sub-Category]])-1)</f>
        <v>theater</v>
      </c>
      <c r="V2818" t="str">
        <f>RIGHT(Table1[[#This Row],[Category and Sub-Category]],LEN(Table1[[#This Row],[Category and Sub-Category]])-FIND("/",Table1[[#This Row],[Category and Sub-Category]]))</f>
        <v>plays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 s="12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>((Table1[[#This Row],[deadline]]/60)/60/24)+DATE(1970,1,1)</f>
        <v>42063.634976851856</v>
      </c>
      <c r="K2819">
        <v>1421680462</v>
      </c>
      <c r="L2819" s="11">
        <f>((Table1[[#This Row],[launched_at]]/60)/60/24)+DATE(1970,1,1)</f>
        <v>42023.634976851856</v>
      </c>
      <c r="M2819">
        <f>MONTH(Table1[[#This Row],[Date Created Conversion]])</f>
        <v>1</v>
      </c>
      <c r="N2819">
        <f>YEAR(Table1[[#This Row],[Date Created Conversion]])</f>
        <v>2015</v>
      </c>
      <c r="O2819" t="b">
        <v>0</v>
      </c>
      <c r="P2819">
        <v>33</v>
      </c>
      <c r="Q2819" t="b">
        <v>1</v>
      </c>
      <c r="R2819" t="s">
        <v>8271</v>
      </c>
      <c r="S2819" s="6">
        <f>Table1[[#This Row],[pledged]]/Table1[[#This Row],[goal]]</f>
        <v>1.3</v>
      </c>
      <c r="T2819" s="8">
        <f>IF(Table1[[#This Row],[pledged]]=0,"no backers",Table1[[#This Row],[pledged]]/Table1[[#This Row],[backers_count]])</f>
        <v>23.636363636363637</v>
      </c>
      <c r="U2819" t="str">
        <f>LEFT(Table1[[#This Row],[Category and Sub-Category]],FIND("/",Table1[[#This Row],[Category and Sub-Category]])-1)</f>
        <v>theater</v>
      </c>
      <c r="V2819" t="str">
        <f>RIGHT(Table1[[#This Row],[Category and Sub-Category]],LEN(Table1[[#This Row],[Category and Sub-Category]])-FIND("/",Table1[[#This Row],[Category and Sub-Category]]))</f>
        <v>plays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 s="12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>((Table1[[#This Row],[deadline]]/60)/60/24)+DATE(1970,1,1)</f>
        <v>42270.598217592589</v>
      </c>
      <c r="K2820">
        <v>1441290086</v>
      </c>
      <c r="L2820" s="11">
        <f>((Table1[[#This Row],[launched_at]]/60)/60/24)+DATE(1970,1,1)</f>
        <v>42250.598217592589</v>
      </c>
      <c r="M2820">
        <f>MONTH(Table1[[#This Row],[Date Created Conversion]])</f>
        <v>9</v>
      </c>
      <c r="N2820">
        <f>YEAR(Table1[[#This Row],[Date Created Conversion]])</f>
        <v>2015</v>
      </c>
      <c r="O2820" t="b">
        <v>0</v>
      </c>
      <c r="P2820">
        <v>102</v>
      </c>
      <c r="Q2820" t="b">
        <v>1</v>
      </c>
      <c r="R2820" t="s">
        <v>8271</v>
      </c>
      <c r="S2820" s="6">
        <f>Table1[[#This Row],[pledged]]/Table1[[#This Row],[goal]]</f>
        <v>1.0603</v>
      </c>
      <c r="T2820" s="8">
        <f>IF(Table1[[#This Row],[pledged]]=0,"no backers",Table1[[#This Row],[pledged]]/Table1[[#This Row],[backers_count]])</f>
        <v>103.95098039215686</v>
      </c>
      <c r="U2820" t="str">
        <f>LEFT(Table1[[#This Row],[Category and Sub-Category]],FIND("/",Table1[[#This Row],[Category and Sub-Category]])-1)</f>
        <v>theater</v>
      </c>
      <c r="V2820" t="str">
        <f>RIGHT(Table1[[#This Row],[Category and Sub-Category]],LEN(Table1[[#This Row],[Category and Sub-Category]])-FIND("/",Table1[[#This Row],[Category and Sub-Category]]))</f>
        <v>plays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 s="12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>((Table1[[#This Row],[deadline]]/60)/60/24)+DATE(1970,1,1)</f>
        <v>42169.525567129633</v>
      </c>
      <c r="K2821">
        <v>1431693409</v>
      </c>
      <c r="L2821" s="11">
        <f>((Table1[[#This Row],[launched_at]]/60)/60/24)+DATE(1970,1,1)</f>
        <v>42139.525567129633</v>
      </c>
      <c r="M2821">
        <f>MONTH(Table1[[#This Row],[Date Created Conversion]])</f>
        <v>5</v>
      </c>
      <c r="N2821">
        <f>YEAR(Table1[[#This Row],[Date Created Conversion]])</f>
        <v>2015</v>
      </c>
      <c r="O2821" t="b">
        <v>0</v>
      </c>
      <c r="P2821">
        <v>104</v>
      </c>
      <c r="Q2821" t="b">
        <v>1</v>
      </c>
      <c r="R2821" t="s">
        <v>8271</v>
      </c>
      <c r="S2821" s="6">
        <f>Table1[[#This Row],[pledged]]/Table1[[#This Row],[goal]]</f>
        <v>1.048</v>
      </c>
      <c r="T2821" s="8">
        <f>IF(Table1[[#This Row],[pledged]]=0,"no backers",Table1[[#This Row],[pledged]]/Table1[[#This Row],[backers_count]])</f>
        <v>50.384615384615387</v>
      </c>
      <c r="U2821" t="str">
        <f>LEFT(Table1[[#This Row],[Category and Sub-Category]],FIND("/",Table1[[#This Row],[Category and Sub-Category]])-1)</f>
        <v>theater</v>
      </c>
      <c r="V2821" t="str">
        <f>RIGHT(Table1[[#This Row],[Category and Sub-Category]],LEN(Table1[[#This Row],[Category and Sub-Category]])-FIND("/",Table1[[#This Row],[Category and Sub-Category]]))</f>
        <v>plays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 s="1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>((Table1[[#This Row],[deadline]]/60)/60/24)+DATE(1970,1,1)</f>
        <v>42426</v>
      </c>
      <c r="K2822">
        <v>1454337589</v>
      </c>
      <c r="L2822" s="11">
        <f>((Table1[[#This Row],[launched_at]]/60)/60/24)+DATE(1970,1,1)</f>
        <v>42401.610983796301</v>
      </c>
      <c r="M2822">
        <f>MONTH(Table1[[#This Row],[Date Created Conversion]])</f>
        <v>2</v>
      </c>
      <c r="N2822">
        <f>YEAR(Table1[[#This Row],[Date Created Conversion]])</f>
        <v>2016</v>
      </c>
      <c r="O2822" t="b">
        <v>0</v>
      </c>
      <c r="P2822">
        <v>20</v>
      </c>
      <c r="Q2822" t="b">
        <v>1</v>
      </c>
      <c r="R2822" t="s">
        <v>8271</v>
      </c>
      <c r="S2822" s="6">
        <f>Table1[[#This Row],[pledged]]/Table1[[#This Row],[goal]]</f>
        <v>1.36</v>
      </c>
      <c r="T2822" s="8">
        <f>IF(Table1[[#This Row],[pledged]]=0,"no backers",Table1[[#This Row],[pledged]]/Table1[[#This Row],[backers_count]])</f>
        <v>13.6</v>
      </c>
      <c r="U2822" t="str">
        <f>LEFT(Table1[[#This Row],[Category and Sub-Category]],FIND("/",Table1[[#This Row],[Category and Sub-Category]])-1)</f>
        <v>theater</v>
      </c>
      <c r="V2822" t="str">
        <f>RIGHT(Table1[[#This Row],[Category and Sub-Category]],LEN(Table1[[#This Row],[Category and Sub-Category]])-FIND("/",Table1[[#This Row],[Category and Sub-Category]]))</f>
        <v>plays</v>
      </c>
    </row>
    <row r="2823" spans="1:22" ht="57.6" x14ac:dyDescent="0.3">
      <c r="A2823">
        <v>2821</v>
      </c>
      <c r="B2823" s="3" t="s">
        <v>2821</v>
      </c>
      <c r="C2823" s="3" t="s">
        <v>6931</v>
      </c>
      <c r="D2823" s="12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>((Table1[[#This Row],[deadline]]/60)/60/24)+DATE(1970,1,1)</f>
        <v>41905.922858796301</v>
      </c>
      <c r="K2823">
        <v>1408918135</v>
      </c>
      <c r="L2823" s="11">
        <f>((Table1[[#This Row],[launched_at]]/60)/60/24)+DATE(1970,1,1)</f>
        <v>41875.922858796301</v>
      </c>
      <c r="M2823">
        <f>MONTH(Table1[[#This Row],[Date Created Conversion]])</f>
        <v>8</v>
      </c>
      <c r="N2823">
        <f>YEAR(Table1[[#This Row],[Date Created Conversion]])</f>
        <v>2014</v>
      </c>
      <c r="O2823" t="b">
        <v>0</v>
      </c>
      <c r="P2823">
        <v>35</v>
      </c>
      <c r="Q2823" t="b">
        <v>1</v>
      </c>
      <c r="R2823" t="s">
        <v>8271</v>
      </c>
      <c r="S2823" s="6">
        <f>Table1[[#This Row],[pledged]]/Table1[[#This Row],[goal]]</f>
        <v>1</v>
      </c>
      <c r="T2823" s="8">
        <f>IF(Table1[[#This Row],[pledged]]=0,"no backers",Table1[[#This Row],[pledged]]/Table1[[#This Row],[backers_count]])</f>
        <v>28.571428571428573</v>
      </c>
      <c r="U2823" t="str">
        <f>LEFT(Table1[[#This Row],[Category and Sub-Category]],FIND("/",Table1[[#This Row],[Category and Sub-Category]])-1)</f>
        <v>theater</v>
      </c>
      <c r="V2823" t="str">
        <f>RIGHT(Table1[[#This Row],[Category and Sub-Category]],LEN(Table1[[#This Row],[Category and Sub-Category]])-FIND("/",Table1[[#This Row],[Category and Sub-Category]]))</f>
        <v>plays</v>
      </c>
    </row>
    <row r="2824" spans="1:22" ht="57.6" x14ac:dyDescent="0.3">
      <c r="A2824">
        <v>2822</v>
      </c>
      <c r="B2824" s="3" t="s">
        <v>2822</v>
      </c>
      <c r="C2824" s="3" t="s">
        <v>6932</v>
      </c>
      <c r="D2824" s="12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>((Table1[[#This Row],[deadline]]/60)/60/24)+DATE(1970,1,1)</f>
        <v>42090.642268518524</v>
      </c>
      <c r="K2824">
        <v>1424881492</v>
      </c>
      <c r="L2824" s="11">
        <f>((Table1[[#This Row],[launched_at]]/60)/60/24)+DATE(1970,1,1)</f>
        <v>42060.683935185181</v>
      </c>
      <c r="M2824">
        <f>MONTH(Table1[[#This Row],[Date Created Conversion]])</f>
        <v>2</v>
      </c>
      <c r="N2824">
        <f>YEAR(Table1[[#This Row],[Date Created Conversion]])</f>
        <v>2015</v>
      </c>
      <c r="O2824" t="b">
        <v>0</v>
      </c>
      <c r="P2824">
        <v>94</v>
      </c>
      <c r="Q2824" t="b">
        <v>1</v>
      </c>
      <c r="R2824" t="s">
        <v>8271</v>
      </c>
      <c r="S2824" s="6">
        <f>Table1[[#This Row],[pledged]]/Table1[[#This Row],[goal]]</f>
        <v>1</v>
      </c>
      <c r="T2824" s="8">
        <f>IF(Table1[[#This Row],[pledged]]=0,"no backers",Table1[[#This Row],[pledged]]/Table1[[#This Row],[backers_count]])</f>
        <v>63.829787234042556</v>
      </c>
      <c r="U2824" t="str">
        <f>LEFT(Table1[[#This Row],[Category and Sub-Category]],FIND("/",Table1[[#This Row],[Category and Sub-Category]])-1)</f>
        <v>theater</v>
      </c>
      <c r="V2824" t="str">
        <f>RIGHT(Table1[[#This Row],[Category and Sub-Category]],LEN(Table1[[#This Row],[Category and Sub-Category]])-FIND("/",Table1[[#This Row],[Category and Sub-Category]]))</f>
        <v>plays</v>
      </c>
    </row>
    <row r="2825" spans="1:22" ht="57.6" x14ac:dyDescent="0.3">
      <c r="A2825">
        <v>2823</v>
      </c>
      <c r="B2825" s="3" t="s">
        <v>2823</v>
      </c>
      <c r="C2825" s="3" t="s">
        <v>6933</v>
      </c>
      <c r="D2825" s="12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>((Table1[[#This Row],[deadline]]/60)/60/24)+DATE(1970,1,1)</f>
        <v>42094.957638888889</v>
      </c>
      <c r="K2825">
        <v>1425428206</v>
      </c>
      <c r="L2825" s="11">
        <f>((Table1[[#This Row],[launched_at]]/60)/60/24)+DATE(1970,1,1)</f>
        <v>42067.011643518519</v>
      </c>
      <c r="M2825">
        <f>MONTH(Table1[[#This Row],[Date Created Conversion]])</f>
        <v>3</v>
      </c>
      <c r="N2825">
        <f>YEAR(Table1[[#This Row],[Date Created Conversion]])</f>
        <v>2015</v>
      </c>
      <c r="O2825" t="b">
        <v>0</v>
      </c>
      <c r="P2825">
        <v>14</v>
      </c>
      <c r="Q2825" t="b">
        <v>1</v>
      </c>
      <c r="R2825" t="s">
        <v>8271</v>
      </c>
      <c r="S2825" s="6">
        <f>Table1[[#This Row],[pledged]]/Table1[[#This Row],[goal]]</f>
        <v>1.24</v>
      </c>
      <c r="T2825" s="8">
        <f>IF(Table1[[#This Row],[pledged]]=0,"no backers",Table1[[#This Row],[pledged]]/Table1[[#This Row],[backers_count]])</f>
        <v>8.8571428571428577</v>
      </c>
      <c r="U2825" t="str">
        <f>LEFT(Table1[[#This Row],[Category and Sub-Category]],FIND("/",Table1[[#This Row],[Category and Sub-Category]])-1)</f>
        <v>theater</v>
      </c>
      <c r="V2825" t="str">
        <f>RIGHT(Table1[[#This Row],[Category and Sub-Category]],LEN(Table1[[#This Row],[Category and Sub-Category]])-FIND("/",Table1[[#This Row],[Category and Sub-Category]]))</f>
        <v>plays</v>
      </c>
    </row>
    <row r="2826" spans="1:22" ht="43.2" x14ac:dyDescent="0.3">
      <c r="A2826">
        <v>2824</v>
      </c>
      <c r="B2826" s="3" t="s">
        <v>2824</v>
      </c>
      <c r="C2826" s="3" t="s">
        <v>6934</v>
      </c>
      <c r="D2826" s="12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>((Table1[[#This Row],[deadline]]/60)/60/24)+DATE(1970,1,1)</f>
        <v>42168.071527777778</v>
      </c>
      <c r="K2826">
        <v>1431412196</v>
      </c>
      <c r="L2826" s="11">
        <f>((Table1[[#This Row],[launched_at]]/60)/60/24)+DATE(1970,1,1)</f>
        <v>42136.270787037036</v>
      </c>
      <c r="M2826">
        <f>MONTH(Table1[[#This Row],[Date Created Conversion]])</f>
        <v>5</v>
      </c>
      <c r="N2826">
        <f>YEAR(Table1[[#This Row],[Date Created Conversion]])</f>
        <v>2015</v>
      </c>
      <c r="O2826" t="b">
        <v>0</v>
      </c>
      <c r="P2826">
        <v>15</v>
      </c>
      <c r="Q2826" t="b">
        <v>1</v>
      </c>
      <c r="R2826" t="s">
        <v>8271</v>
      </c>
      <c r="S2826" s="6">
        <f>Table1[[#This Row],[pledged]]/Table1[[#This Row],[goal]]</f>
        <v>1.1692307692307693</v>
      </c>
      <c r="T2826" s="8">
        <f>IF(Table1[[#This Row],[pledged]]=0,"no backers",Table1[[#This Row],[pledged]]/Table1[[#This Row],[backers_count]])</f>
        <v>50.666666666666664</v>
      </c>
      <c r="U2826" t="str">
        <f>LEFT(Table1[[#This Row],[Category and Sub-Category]],FIND("/",Table1[[#This Row],[Category and Sub-Category]])-1)</f>
        <v>theater</v>
      </c>
      <c r="V2826" t="str">
        <f>RIGHT(Table1[[#This Row],[Category and Sub-Category]],LEN(Table1[[#This Row],[Category and Sub-Category]])-FIND("/",Table1[[#This Row],[Category and Sub-Category]]))</f>
        <v>plays</v>
      </c>
    </row>
    <row r="2827" spans="1:22" ht="57.6" x14ac:dyDescent="0.3">
      <c r="A2827">
        <v>2825</v>
      </c>
      <c r="B2827" s="3" t="s">
        <v>2825</v>
      </c>
      <c r="C2827" s="3" t="s">
        <v>6935</v>
      </c>
      <c r="D2827" s="12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>((Table1[[#This Row],[deadline]]/60)/60/24)+DATE(1970,1,1)</f>
        <v>42342.792662037042</v>
      </c>
      <c r="K2827">
        <v>1446663686</v>
      </c>
      <c r="L2827" s="11">
        <f>((Table1[[#This Row],[launched_at]]/60)/60/24)+DATE(1970,1,1)</f>
        <v>42312.792662037042</v>
      </c>
      <c r="M2827">
        <f>MONTH(Table1[[#This Row],[Date Created Conversion]])</f>
        <v>11</v>
      </c>
      <c r="N2827">
        <f>YEAR(Table1[[#This Row],[Date Created Conversion]])</f>
        <v>2015</v>
      </c>
      <c r="O2827" t="b">
        <v>0</v>
      </c>
      <c r="P2827">
        <v>51</v>
      </c>
      <c r="Q2827" t="b">
        <v>1</v>
      </c>
      <c r="R2827" t="s">
        <v>8271</v>
      </c>
      <c r="S2827" s="6">
        <f>Table1[[#This Row],[pledged]]/Table1[[#This Row],[goal]]</f>
        <v>1.0333333333333334</v>
      </c>
      <c r="T2827" s="8">
        <f>IF(Table1[[#This Row],[pledged]]=0,"no backers",Table1[[#This Row],[pledged]]/Table1[[#This Row],[backers_count]])</f>
        <v>60.784313725490193</v>
      </c>
      <c r="U2827" t="str">
        <f>LEFT(Table1[[#This Row],[Category and Sub-Category]],FIND("/",Table1[[#This Row],[Category and Sub-Category]])-1)</f>
        <v>theater</v>
      </c>
      <c r="V2827" t="str">
        <f>RIGHT(Table1[[#This Row],[Category and Sub-Category]],LEN(Table1[[#This Row],[Category and Sub-Category]])-FIND("/",Table1[[#This Row],[Category and Sub-Category]]))</f>
        <v>plays</v>
      </c>
    </row>
    <row r="2828" spans="1:22" ht="57.6" x14ac:dyDescent="0.3">
      <c r="A2828">
        <v>2826</v>
      </c>
      <c r="B2828" s="3" t="s">
        <v>2826</v>
      </c>
      <c r="C2828" s="3" t="s">
        <v>6936</v>
      </c>
      <c r="D2828" s="12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>((Table1[[#This Row],[deadline]]/60)/60/24)+DATE(1970,1,1)</f>
        <v>42195.291666666672</v>
      </c>
      <c r="K2828">
        <v>1434415812</v>
      </c>
      <c r="L2828" s="11">
        <f>((Table1[[#This Row],[launched_at]]/60)/60/24)+DATE(1970,1,1)</f>
        <v>42171.034861111111</v>
      </c>
      <c r="M2828">
        <f>MONTH(Table1[[#This Row],[Date Created Conversion]])</f>
        <v>6</v>
      </c>
      <c r="N2828">
        <f>YEAR(Table1[[#This Row],[Date Created Conversion]])</f>
        <v>2015</v>
      </c>
      <c r="O2828" t="b">
        <v>0</v>
      </c>
      <c r="P2828">
        <v>19</v>
      </c>
      <c r="Q2828" t="b">
        <v>1</v>
      </c>
      <c r="R2828" t="s">
        <v>8271</v>
      </c>
      <c r="S2828" s="6">
        <f>Table1[[#This Row],[pledged]]/Table1[[#This Row],[goal]]</f>
        <v>1.0774999999999999</v>
      </c>
      <c r="T2828" s="8">
        <f>IF(Table1[[#This Row],[pledged]]=0,"no backers",Table1[[#This Row],[pledged]]/Table1[[#This Row],[backers_count]])</f>
        <v>113.42105263157895</v>
      </c>
      <c r="U2828" t="str">
        <f>LEFT(Table1[[#This Row],[Category and Sub-Category]],FIND("/",Table1[[#This Row],[Category and Sub-Category]])-1)</f>
        <v>theater</v>
      </c>
      <c r="V2828" t="str">
        <f>RIGHT(Table1[[#This Row],[Category and Sub-Category]],LEN(Table1[[#This Row],[Category and Sub-Category]])-FIND("/",Table1[[#This Row],[Category and Sub-Category]]))</f>
        <v>plays</v>
      </c>
    </row>
    <row r="2829" spans="1:22" ht="57.6" x14ac:dyDescent="0.3">
      <c r="A2829">
        <v>2827</v>
      </c>
      <c r="B2829" s="3" t="s">
        <v>2827</v>
      </c>
      <c r="C2829" s="3" t="s">
        <v>6937</v>
      </c>
      <c r="D2829" s="12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>((Table1[[#This Row],[deadline]]/60)/60/24)+DATE(1970,1,1)</f>
        <v>42524.6875</v>
      </c>
      <c r="K2829">
        <v>1462379066</v>
      </c>
      <c r="L2829" s="11">
        <f>((Table1[[#This Row],[launched_at]]/60)/60/24)+DATE(1970,1,1)</f>
        <v>42494.683634259258</v>
      </c>
      <c r="M2829">
        <f>MONTH(Table1[[#This Row],[Date Created Conversion]])</f>
        <v>5</v>
      </c>
      <c r="N2829">
        <f>YEAR(Table1[[#This Row],[Date Created Conversion]])</f>
        <v>2016</v>
      </c>
      <c r="O2829" t="b">
        <v>0</v>
      </c>
      <c r="P2829">
        <v>23</v>
      </c>
      <c r="Q2829" t="b">
        <v>1</v>
      </c>
      <c r="R2829" t="s">
        <v>8271</v>
      </c>
      <c r="S2829" s="6">
        <f>Table1[[#This Row],[pledged]]/Table1[[#This Row],[goal]]</f>
        <v>1.2024999999999999</v>
      </c>
      <c r="T2829" s="8">
        <f>IF(Table1[[#This Row],[pledged]]=0,"no backers",Table1[[#This Row],[pledged]]/Table1[[#This Row],[backers_count]])</f>
        <v>104.56521739130434</v>
      </c>
      <c r="U2829" t="str">
        <f>LEFT(Table1[[#This Row],[Category and Sub-Category]],FIND("/",Table1[[#This Row],[Category and Sub-Category]])-1)</f>
        <v>theater</v>
      </c>
      <c r="V2829" t="str">
        <f>RIGHT(Table1[[#This Row],[Category and Sub-Category]],LEN(Table1[[#This Row],[Category and Sub-Category]])-FIND("/",Table1[[#This Row],[Category and Sub-Category]]))</f>
        <v>plays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 s="12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>((Table1[[#This Row],[deadline]]/60)/60/24)+DATE(1970,1,1)</f>
        <v>42279.958333333328</v>
      </c>
      <c r="K2830">
        <v>1441606869</v>
      </c>
      <c r="L2830" s="11">
        <f>((Table1[[#This Row],[launched_at]]/60)/60/24)+DATE(1970,1,1)</f>
        <v>42254.264687499999</v>
      </c>
      <c r="M2830">
        <f>MONTH(Table1[[#This Row],[Date Created Conversion]])</f>
        <v>9</v>
      </c>
      <c r="N2830">
        <f>YEAR(Table1[[#This Row],[Date Created Conversion]])</f>
        <v>2015</v>
      </c>
      <c r="O2830" t="b">
        <v>0</v>
      </c>
      <c r="P2830">
        <v>97</v>
      </c>
      <c r="Q2830" t="b">
        <v>1</v>
      </c>
      <c r="R2830" t="s">
        <v>8271</v>
      </c>
      <c r="S2830" s="6">
        <f>Table1[[#This Row],[pledged]]/Table1[[#This Row],[goal]]</f>
        <v>1.0037894736842106</v>
      </c>
      <c r="T2830" s="8">
        <f>IF(Table1[[#This Row],[pledged]]=0,"no backers",Table1[[#This Row],[pledged]]/Table1[[#This Row],[backers_count]])</f>
        <v>98.30927835051547</v>
      </c>
      <c r="U2830" t="str">
        <f>LEFT(Table1[[#This Row],[Category and Sub-Category]],FIND("/",Table1[[#This Row],[Category and Sub-Category]])-1)</f>
        <v>theater</v>
      </c>
      <c r="V2830" t="str">
        <f>RIGHT(Table1[[#This Row],[Category and Sub-Category]],LEN(Table1[[#This Row],[Category and Sub-Category]])-FIND("/",Table1[[#This Row],[Category and Sub-Category]]))</f>
        <v>plays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 s="12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>((Table1[[#This Row],[deadline]]/60)/60/24)+DATE(1970,1,1)</f>
        <v>42523.434236111112</v>
      </c>
      <c r="K2831">
        <v>1462443918</v>
      </c>
      <c r="L2831" s="11">
        <f>((Table1[[#This Row],[launched_at]]/60)/60/24)+DATE(1970,1,1)</f>
        <v>42495.434236111112</v>
      </c>
      <c r="M2831">
        <f>MONTH(Table1[[#This Row],[Date Created Conversion]])</f>
        <v>5</v>
      </c>
      <c r="N2831">
        <f>YEAR(Table1[[#This Row],[Date Created Conversion]])</f>
        <v>2016</v>
      </c>
      <c r="O2831" t="b">
        <v>0</v>
      </c>
      <c r="P2831">
        <v>76</v>
      </c>
      <c r="Q2831" t="b">
        <v>1</v>
      </c>
      <c r="R2831" t="s">
        <v>8271</v>
      </c>
      <c r="S2831" s="6">
        <f>Table1[[#This Row],[pledged]]/Table1[[#This Row],[goal]]</f>
        <v>1.0651999999999999</v>
      </c>
      <c r="T2831" s="8">
        <f>IF(Table1[[#This Row],[pledged]]=0,"no backers",Table1[[#This Row],[pledged]]/Table1[[#This Row],[backers_count]])</f>
        <v>35.039473684210527</v>
      </c>
      <c r="U2831" t="str">
        <f>LEFT(Table1[[#This Row],[Category and Sub-Category]],FIND("/",Table1[[#This Row],[Category and Sub-Category]])-1)</f>
        <v>theater</v>
      </c>
      <c r="V2831" t="str">
        <f>RIGHT(Table1[[#This Row],[Category and Sub-Category]],LEN(Table1[[#This Row],[Category and Sub-Category]])-FIND("/",Table1[[#This Row],[Category and Sub-Category]]))</f>
        <v>plays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 s="1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>((Table1[[#This Row],[deadline]]/60)/60/24)+DATE(1970,1,1)</f>
        <v>41771.165972222225</v>
      </c>
      <c r="K2832">
        <v>1398802148</v>
      </c>
      <c r="L2832" s="11">
        <f>((Table1[[#This Row],[launched_at]]/60)/60/24)+DATE(1970,1,1)</f>
        <v>41758.839675925927</v>
      </c>
      <c r="M2832">
        <f>MONTH(Table1[[#This Row],[Date Created Conversion]])</f>
        <v>4</v>
      </c>
      <c r="N2832">
        <f>YEAR(Table1[[#This Row],[Date Created Conversion]])</f>
        <v>2014</v>
      </c>
      <c r="O2832" t="b">
        <v>0</v>
      </c>
      <c r="P2832">
        <v>11</v>
      </c>
      <c r="Q2832" t="b">
        <v>1</v>
      </c>
      <c r="R2832" t="s">
        <v>8271</v>
      </c>
      <c r="S2832" s="6">
        <f>Table1[[#This Row],[pledged]]/Table1[[#This Row],[goal]]</f>
        <v>1</v>
      </c>
      <c r="T2832" s="8">
        <f>IF(Table1[[#This Row],[pledged]]=0,"no backers",Table1[[#This Row],[pledged]]/Table1[[#This Row],[backers_count]])</f>
        <v>272.72727272727275</v>
      </c>
      <c r="U2832" t="str">
        <f>LEFT(Table1[[#This Row],[Category and Sub-Category]],FIND("/",Table1[[#This Row],[Category and Sub-Category]])-1)</f>
        <v>theater</v>
      </c>
      <c r="V2832" t="str">
        <f>RIGHT(Table1[[#This Row],[Category and Sub-Category]],LEN(Table1[[#This Row],[Category and Sub-Category]])-FIND("/",Table1[[#This Row],[Category and Sub-Category]]))</f>
        <v>plays</v>
      </c>
    </row>
    <row r="2833" spans="1:22" ht="43.2" x14ac:dyDescent="0.3">
      <c r="A2833">
        <v>2831</v>
      </c>
      <c r="B2833" s="3" t="s">
        <v>2831</v>
      </c>
      <c r="C2833" s="3" t="s">
        <v>6941</v>
      </c>
      <c r="D2833" s="12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>((Table1[[#This Row],[deadline]]/60)/60/24)+DATE(1970,1,1)</f>
        <v>42201.824884259258</v>
      </c>
      <c r="K2833">
        <v>1434484070</v>
      </c>
      <c r="L2833" s="11">
        <f>((Table1[[#This Row],[launched_at]]/60)/60/24)+DATE(1970,1,1)</f>
        <v>42171.824884259258</v>
      </c>
      <c r="M2833">
        <f>MONTH(Table1[[#This Row],[Date Created Conversion]])</f>
        <v>6</v>
      </c>
      <c r="N2833">
        <f>YEAR(Table1[[#This Row],[Date Created Conversion]])</f>
        <v>2015</v>
      </c>
      <c r="O2833" t="b">
        <v>0</v>
      </c>
      <c r="P2833">
        <v>52</v>
      </c>
      <c r="Q2833" t="b">
        <v>1</v>
      </c>
      <c r="R2833" t="s">
        <v>8271</v>
      </c>
      <c r="S2833" s="6">
        <f>Table1[[#This Row],[pledged]]/Table1[[#This Row],[goal]]</f>
        <v>1.1066666666666667</v>
      </c>
      <c r="T2833" s="8">
        <f>IF(Table1[[#This Row],[pledged]]=0,"no backers",Table1[[#This Row],[pledged]]/Table1[[#This Row],[backers_count]])</f>
        <v>63.846153846153847</v>
      </c>
      <c r="U2833" t="str">
        <f>LEFT(Table1[[#This Row],[Category and Sub-Category]],FIND("/",Table1[[#This Row],[Category and Sub-Category]])-1)</f>
        <v>theater</v>
      </c>
      <c r="V2833" t="str">
        <f>RIGHT(Table1[[#This Row],[Category and Sub-Category]],LEN(Table1[[#This Row],[Category and Sub-Category]])-FIND("/",Table1[[#This Row],[Category and Sub-Category]]))</f>
        <v>plays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 s="12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>((Table1[[#This Row],[deadline]]/60)/60/24)+DATE(1970,1,1)</f>
        <v>41966.916666666672</v>
      </c>
      <c r="K2834">
        <v>1414342894</v>
      </c>
      <c r="L2834" s="11">
        <f>((Table1[[#This Row],[launched_at]]/60)/60/24)+DATE(1970,1,1)</f>
        <v>41938.709421296298</v>
      </c>
      <c r="M2834">
        <f>MONTH(Table1[[#This Row],[Date Created Conversion]])</f>
        <v>10</v>
      </c>
      <c r="N2834">
        <f>YEAR(Table1[[#This Row],[Date Created Conversion]])</f>
        <v>2014</v>
      </c>
      <c r="O2834" t="b">
        <v>0</v>
      </c>
      <c r="P2834">
        <v>95</v>
      </c>
      <c r="Q2834" t="b">
        <v>1</v>
      </c>
      <c r="R2834" t="s">
        <v>8271</v>
      </c>
      <c r="S2834" s="6">
        <f>Table1[[#This Row],[pledged]]/Table1[[#This Row],[goal]]</f>
        <v>1.1471959999999999</v>
      </c>
      <c r="T2834" s="8">
        <f>IF(Table1[[#This Row],[pledged]]=0,"no backers",Table1[[#This Row],[pledged]]/Table1[[#This Row],[backers_count]])</f>
        <v>30.189368421052631</v>
      </c>
      <c r="U2834" t="str">
        <f>LEFT(Table1[[#This Row],[Category and Sub-Category]],FIND("/",Table1[[#This Row],[Category and Sub-Category]])-1)</f>
        <v>theater</v>
      </c>
      <c r="V2834" t="str">
        <f>RIGHT(Table1[[#This Row],[Category and Sub-Category]],LEN(Table1[[#This Row],[Category and Sub-Category]])-FIND("/",Table1[[#This Row],[Category and Sub-Category]]))</f>
        <v>plays</v>
      </c>
    </row>
    <row r="2835" spans="1:22" x14ac:dyDescent="0.3">
      <c r="A2835">
        <v>2833</v>
      </c>
      <c r="B2835" s="3" t="s">
        <v>2833</v>
      </c>
      <c r="C2835" s="3" t="s">
        <v>6943</v>
      </c>
      <c r="D2835" s="12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>((Table1[[#This Row],[deadline]]/60)/60/24)+DATE(1970,1,1)</f>
        <v>42288.083333333328</v>
      </c>
      <c r="K2835">
        <v>1442804633</v>
      </c>
      <c r="L2835" s="11">
        <f>((Table1[[#This Row],[launched_at]]/60)/60/24)+DATE(1970,1,1)</f>
        <v>42268.127696759257</v>
      </c>
      <c r="M2835">
        <f>MONTH(Table1[[#This Row],[Date Created Conversion]])</f>
        <v>9</v>
      </c>
      <c r="N2835">
        <f>YEAR(Table1[[#This Row],[Date Created Conversion]])</f>
        <v>2015</v>
      </c>
      <c r="O2835" t="b">
        <v>0</v>
      </c>
      <c r="P2835">
        <v>35</v>
      </c>
      <c r="Q2835" t="b">
        <v>1</v>
      </c>
      <c r="R2835" t="s">
        <v>8271</v>
      </c>
      <c r="S2835" s="6">
        <f>Table1[[#This Row],[pledged]]/Table1[[#This Row],[goal]]</f>
        <v>1.0825925925925926</v>
      </c>
      <c r="T2835" s="8">
        <f>IF(Table1[[#This Row],[pledged]]=0,"no backers",Table1[[#This Row],[pledged]]/Table1[[#This Row],[backers_count]])</f>
        <v>83.51428571428572</v>
      </c>
      <c r="U2835" t="str">
        <f>LEFT(Table1[[#This Row],[Category and Sub-Category]],FIND("/",Table1[[#This Row],[Category and Sub-Category]])-1)</f>
        <v>theater</v>
      </c>
      <c r="V2835" t="str">
        <f>RIGHT(Table1[[#This Row],[Category and Sub-Category]],LEN(Table1[[#This Row],[Category and Sub-Category]])-FIND("/",Table1[[#This Row],[Category and Sub-Category]]))</f>
        <v>plays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 s="12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>((Table1[[#This Row],[deadline]]/60)/60/24)+DATE(1970,1,1)</f>
        <v>42034.959837962961</v>
      </c>
      <c r="K2836">
        <v>1421362930</v>
      </c>
      <c r="L2836" s="11">
        <f>((Table1[[#This Row],[launched_at]]/60)/60/24)+DATE(1970,1,1)</f>
        <v>42019.959837962961</v>
      </c>
      <c r="M2836">
        <f>MONTH(Table1[[#This Row],[Date Created Conversion]])</f>
        <v>1</v>
      </c>
      <c r="N2836">
        <f>YEAR(Table1[[#This Row],[Date Created Conversion]])</f>
        <v>2015</v>
      </c>
      <c r="O2836" t="b">
        <v>0</v>
      </c>
      <c r="P2836">
        <v>21</v>
      </c>
      <c r="Q2836" t="b">
        <v>1</v>
      </c>
      <c r="R2836" t="s">
        <v>8271</v>
      </c>
      <c r="S2836" s="6">
        <f>Table1[[#This Row],[pledged]]/Table1[[#This Row],[goal]]</f>
        <v>1.7</v>
      </c>
      <c r="T2836" s="8">
        <f>IF(Table1[[#This Row],[pledged]]=0,"no backers",Table1[[#This Row],[pledged]]/Table1[[#This Row],[backers_count]])</f>
        <v>64.761904761904759</v>
      </c>
      <c r="U2836" t="str">
        <f>LEFT(Table1[[#This Row],[Category and Sub-Category]],FIND("/",Table1[[#This Row],[Category and Sub-Category]])-1)</f>
        <v>theater</v>
      </c>
      <c r="V2836" t="str">
        <f>RIGHT(Table1[[#This Row],[Category and Sub-Category]],LEN(Table1[[#This Row],[Category and Sub-Category]])-FIND("/",Table1[[#This Row],[Category and Sub-Category]]))</f>
        <v>plays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 s="12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>((Table1[[#This Row],[deadline]]/60)/60/24)+DATE(1970,1,1)</f>
        <v>42343</v>
      </c>
      <c r="K2837">
        <v>1446742417</v>
      </c>
      <c r="L2837" s="11">
        <f>((Table1[[#This Row],[launched_at]]/60)/60/24)+DATE(1970,1,1)</f>
        <v>42313.703900462962</v>
      </c>
      <c r="M2837">
        <f>MONTH(Table1[[#This Row],[Date Created Conversion]])</f>
        <v>11</v>
      </c>
      <c r="N2837">
        <f>YEAR(Table1[[#This Row],[Date Created Conversion]])</f>
        <v>2015</v>
      </c>
      <c r="O2837" t="b">
        <v>0</v>
      </c>
      <c r="P2837">
        <v>93</v>
      </c>
      <c r="Q2837" t="b">
        <v>1</v>
      </c>
      <c r="R2837" t="s">
        <v>8271</v>
      </c>
      <c r="S2837" s="6">
        <f>Table1[[#This Row],[pledged]]/Table1[[#This Row],[goal]]</f>
        <v>1.8709899999999999</v>
      </c>
      <c r="T2837" s="8">
        <f>IF(Table1[[#This Row],[pledged]]=0,"no backers",Table1[[#This Row],[pledged]]/Table1[[#This Row],[backers_count]])</f>
        <v>20.118172043010752</v>
      </c>
      <c r="U2837" t="str">
        <f>LEFT(Table1[[#This Row],[Category and Sub-Category]],FIND("/",Table1[[#This Row],[Category and Sub-Category]])-1)</f>
        <v>theater</v>
      </c>
      <c r="V2837" t="str">
        <f>RIGHT(Table1[[#This Row],[Category and Sub-Category]],LEN(Table1[[#This Row],[Category and Sub-Category]])-FIND("/",Table1[[#This Row],[Category and Sub-Category]]))</f>
        <v>plays</v>
      </c>
    </row>
    <row r="2838" spans="1:22" ht="57.6" x14ac:dyDescent="0.3">
      <c r="A2838">
        <v>2836</v>
      </c>
      <c r="B2838" s="3" t="s">
        <v>2836</v>
      </c>
      <c r="C2838" s="3" t="s">
        <v>6946</v>
      </c>
      <c r="D2838" s="12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>((Table1[[#This Row],[deadline]]/60)/60/24)+DATE(1970,1,1)</f>
        <v>42784.207638888889</v>
      </c>
      <c r="K2838">
        <v>1484115418</v>
      </c>
      <c r="L2838" s="11">
        <f>((Table1[[#This Row],[launched_at]]/60)/60/24)+DATE(1970,1,1)</f>
        <v>42746.261782407411</v>
      </c>
      <c r="M2838">
        <f>MONTH(Table1[[#This Row],[Date Created Conversion]])</f>
        <v>1</v>
      </c>
      <c r="N2838">
        <f>YEAR(Table1[[#This Row],[Date Created Conversion]])</f>
        <v>2017</v>
      </c>
      <c r="O2838" t="b">
        <v>0</v>
      </c>
      <c r="P2838">
        <v>11</v>
      </c>
      <c r="Q2838" t="b">
        <v>1</v>
      </c>
      <c r="R2838" t="s">
        <v>8271</v>
      </c>
      <c r="S2838" s="6">
        <f>Table1[[#This Row],[pledged]]/Table1[[#This Row],[goal]]</f>
        <v>1.0777777777777777</v>
      </c>
      <c r="T2838" s="8">
        <f>IF(Table1[[#This Row],[pledged]]=0,"no backers",Table1[[#This Row],[pledged]]/Table1[[#This Row],[backers_count]])</f>
        <v>44.090909090909093</v>
      </c>
      <c r="U2838" t="str">
        <f>LEFT(Table1[[#This Row],[Category and Sub-Category]],FIND("/",Table1[[#This Row],[Category and Sub-Category]])-1)</f>
        <v>theater</v>
      </c>
      <c r="V2838" t="str">
        <f>RIGHT(Table1[[#This Row],[Category and Sub-Category]],LEN(Table1[[#This Row],[Category and Sub-Category]])-FIND("/",Table1[[#This Row],[Category and Sub-Category]]))</f>
        <v>plays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 s="12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>((Table1[[#This Row],[deadline]]/60)/60/24)+DATE(1970,1,1)</f>
        <v>42347.950046296297</v>
      </c>
      <c r="K2839">
        <v>1446241684</v>
      </c>
      <c r="L2839" s="11">
        <f>((Table1[[#This Row],[launched_at]]/60)/60/24)+DATE(1970,1,1)</f>
        <v>42307.908379629633</v>
      </c>
      <c r="M2839">
        <f>MONTH(Table1[[#This Row],[Date Created Conversion]])</f>
        <v>10</v>
      </c>
      <c r="N2839">
        <f>YEAR(Table1[[#This Row],[Date Created Conversion]])</f>
        <v>2015</v>
      </c>
      <c r="O2839" t="b">
        <v>0</v>
      </c>
      <c r="P2839">
        <v>21</v>
      </c>
      <c r="Q2839" t="b">
        <v>1</v>
      </c>
      <c r="R2839" t="s">
        <v>8271</v>
      </c>
      <c r="S2839" s="6">
        <f>Table1[[#This Row],[pledged]]/Table1[[#This Row],[goal]]</f>
        <v>1</v>
      </c>
      <c r="T2839" s="8">
        <f>IF(Table1[[#This Row],[pledged]]=0,"no backers",Table1[[#This Row],[pledged]]/Table1[[#This Row],[backers_count]])</f>
        <v>40.476190476190474</v>
      </c>
      <c r="U2839" t="str">
        <f>LEFT(Table1[[#This Row],[Category and Sub-Category]],FIND("/",Table1[[#This Row],[Category and Sub-Category]])-1)</f>
        <v>theater</v>
      </c>
      <c r="V2839" t="str">
        <f>RIGHT(Table1[[#This Row],[Category and Sub-Category]],LEN(Table1[[#This Row],[Category and Sub-Category]])-FIND("/",Table1[[#This Row],[Category and Sub-Category]]))</f>
        <v>plays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 s="12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>((Table1[[#This Row],[deadline]]/60)/60/24)+DATE(1970,1,1)</f>
        <v>41864.916666666664</v>
      </c>
      <c r="K2840">
        <v>1406039696</v>
      </c>
      <c r="L2840" s="11">
        <f>((Table1[[#This Row],[launched_at]]/60)/60/24)+DATE(1970,1,1)</f>
        <v>41842.607592592591</v>
      </c>
      <c r="M2840">
        <f>MONTH(Table1[[#This Row],[Date Created Conversion]])</f>
        <v>7</v>
      </c>
      <c r="N2840">
        <f>YEAR(Table1[[#This Row],[Date Created Conversion]])</f>
        <v>2014</v>
      </c>
      <c r="O2840" t="b">
        <v>0</v>
      </c>
      <c r="P2840">
        <v>54</v>
      </c>
      <c r="Q2840" t="b">
        <v>1</v>
      </c>
      <c r="R2840" t="s">
        <v>8271</v>
      </c>
      <c r="S2840" s="6">
        <f>Table1[[#This Row],[pledged]]/Table1[[#This Row],[goal]]</f>
        <v>1.2024999999999999</v>
      </c>
      <c r="T2840" s="8">
        <f>IF(Table1[[#This Row],[pledged]]=0,"no backers",Table1[[#This Row],[pledged]]/Table1[[#This Row],[backers_count]])</f>
        <v>44.537037037037038</v>
      </c>
      <c r="U2840" t="str">
        <f>LEFT(Table1[[#This Row],[Category and Sub-Category]],FIND("/",Table1[[#This Row],[Category and Sub-Category]])-1)</f>
        <v>theater</v>
      </c>
      <c r="V2840" t="str">
        <f>RIGHT(Table1[[#This Row],[Category and Sub-Category]],LEN(Table1[[#This Row],[Category and Sub-Category]])-FIND("/",Table1[[#This Row],[Category and Sub-Category]]))</f>
        <v>plays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 s="12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>((Table1[[#This Row],[deadline]]/60)/60/24)+DATE(1970,1,1)</f>
        <v>41876.207638888889</v>
      </c>
      <c r="K2841">
        <v>1406958354</v>
      </c>
      <c r="L2841" s="11">
        <f>((Table1[[#This Row],[launched_at]]/60)/60/24)+DATE(1970,1,1)</f>
        <v>41853.240208333329</v>
      </c>
      <c r="M2841">
        <f>MONTH(Table1[[#This Row],[Date Created Conversion]])</f>
        <v>8</v>
      </c>
      <c r="N2841">
        <f>YEAR(Table1[[#This Row],[Date Created Conversion]])</f>
        <v>2014</v>
      </c>
      <c r="O2841" t="b">
        <v>0</v>
      </c>
      <c r="P2841">
        <v>31</v>
      </c>
      <c r="Q2841" t="b">
        <v>1</v>
      </c>
      <c r="R2841" t="s">
        <v>8271</v>
      </c>
      <c r="S2841" s="6">
        <f>Table1[[#This Row],[pledged]]/Table1[[#This Row],[goal]]</f>
        <v>1.1142857142857143</v>
      </c>
      <c r="T2841" s="8">
        <f>IF(Table1[[#This Row],[pledged]]=0,"no backers",Table1[[#This Row],[pledged]]/Table1[[#This Row],[backers_count]])</f>
        <v>125.80645161290323</v>
      </c>
      <c r="U2841" t="str">
        <f>LEFT(Table1[[#This Row],[Category and Sub-Category]],FIND("/",Table1[[#This Row],[Category and Sub-Category]])-1)</f>
        <v>theater</v>
      </c>
      <c r="V2841" t="str">
        <f>RIGHT(Table1[[#This Row],[Category and Sub-Category]],LEN(Table1[[#This Row],[Category and Sub-Category]])-FIND("/",Table1[[#This Row],[Category and Sub-Category]]))</f>
        <v>plays</v>
      </c>
    </row>
    <row r="2842" spans="1:22" ht="57.6" x14ac:dyDescent="0.3">
      <c r="A2842">
        <v>2840</v>
      </c>
      <c r="B2842" s="3" t="s">
        <v>2840</v>
      </c>
      <c r="C2842" s="3" t="s">
        <v>6950</v>
      </c>
      <c r="D2842" s="1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>((Table1[[#This Row],[deadline]]/60)/60/24)+DATE(1970,1,1)</f>
        <v>42081.708333333328</v>
      </c>
      <c r="K2842">
        <v>1424825479</v>
      </c>
      <c r="L2842" s="11">
        <f>((Table1[[#This Row],[launched_at]]/60)/60/24)+DATE(1970,1,1)</f>
        <v>42060.035636574074</v>
      </c>
      <c r="M2842">
        <f>MONTH(Table1[[#This Row],[Date Created Conversion]])</f>
        <v>2</v>
      </c>
      <c r="N2842">
        <f>YEAR(Table1[[#This Row],[Date Created Conversion]])</f>
        <v>2015</v>
      </c>
      <c r="O2842" t="b">
        <v>0</v>
      </c>
      <c r="P2842">
        <v>132</v>
      </c>
      <c r="Q2842" t="b">
        <v>1</v>
      </c>
      <c r="R2842" t="s">
        <v>8271</v>
      </c>
      <c r="S2842" s="6">
        <f>Table1[[#This Row],[pledged]]/Table1[[#This Row],[goal]]</f>
        <v>1.04</v>
      </c>
      <c r="T2842" s="8">
        <f>IF(Table1[[#This Row],[pledged]]=0,"no backers",Table1[[#This Row],[pledged]]/Table1[[#This Row],[backers_count]])</f>
        <v>19.696969696969695</v>
      </c>
      <c r="U2842" t="str">
        <f>LEFT(Table1[[#This Row],[Category and Sub-Category]],FIND("/",Table1[[#This Row],[Category and Sub-Category]])-1)</f>
        <v>theater</v>
      </c>
      <c r="V2842" t="str">
        <f>RIGHT(Table1[[#This Row],[Category and Sub-Category]],LEN(Table1[[#This Row],[Category and Sub-Category]])-FIND("/",Table1[[#This Row],[Category and Sub-Category]]))</f>
        <v>plays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 s="12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>((Table1[[#This Row],[deadline]]/60)/60/24)+DATE(1970,1,1)</f>
        <v>42351.781215277777</v>
      </c>
      <c r="K2843">
        <v>1444844697</v>
      </c>
      <c r="L2843" s="11">
        <f>((Table1[[#This Row],[launched_at]]/60)/60/24)+DATE(1970,1,1)</f>
        <v>42291.739548611105</v>
      </c>
      <c r="M2843">
        <f>MONTH(Table1[[#This Row],[Date Created Conversion]])</f>
        <v>10</v>
      </c>
      <c r="N2843">
        <f>YEAR(Table1[[#This Row],[Date Created Conversion]])</f>
        <v>2015</v>
      </c>
      <c r="O2843" t="b">
        <v>0</v>
      </c>
      <c r="P2843">
        <v>1</v>
      </c>
      <c r="Q2843" t="b">
        <v>0</v>
      </c>
      <c r="R2843" t="s">
        <v>8271</v>
      </c>
      <c r="S2843" s="6">
        <f>Table1[[#This Row],[pledged]]/Table1[[#This Row],[goal]]</f>
        <v>0.01</v>
      </c>
      <c r="T2843" s="8">
        <f>IF(Table1[[#This Row],[pledged]]=0,"no backers",Table1[[#This Row],[pledged]]/Table1[[#This Row],[backers_count]])</f>
        <v>10</v>
      </c>
      <c r="U2843" t="str">
        <f>LEFT(Table1[[#This Row],[Category and Sub-Category]],FIND("/",Table1[[#This Row],[Category and Sub-Category]])-1)</f>
        <v>theater</v>
      </c>
      <c r="V2843" t="str">
        <f>RIGHT(Table1[[#This Row],[Category and Sub-Category]],LEN(Table1[[#This Row],[Category and Sub-Category]])-FIND("/",Table1[[#This Row],[Category and Sub-Category]]))</f>
        <v>plays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 s="12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>((Table1[[#This Row],[deadline]]/60)/60/24)+DATE(1970,1,1)</f>
        <v>41811.458333333336</v>
      </c>
      <c r="K2844">
        <v>1401058295</v>
      </c>
      <c r="L2844" s="11">
        <f>((Table1[[#This Row],[launched_at]]/60)/60/24)+DATE(1970,1,1)</f>
        <v>41784.952488425923</v>
      </c>
      <c r="M2844">
        <f>MONTH(Table1[[#This Row],[Date Created Conversion]])</f>
        <v>5</v>
      </c>
      <c r="N2844">
        <f>YEAR(Table1[[#This Row],[Date Created Conversion]])</f>
        <v>2014</v>
      </c>
      <c r="O2844" t="b">
        <v>0</v>
      </c>
      <c r="P2844">
        <v>0</v>
      </c>
      <c r="Q2844" t="b">
        <v>0</v>
      </c>
      <c r="R2844" t="s">
        <v>8271</v>
      </c>
      <c r="S2844" s="6">
        <f>Table1[[#This Row],[pledged]]/Table1[[#This Row],[goal]]</f>
        <v>0</v>
      </c>
      <c r="T2844" s="8" t="str">
        <f>IF(Table1[[#This Row],[pledged]]=0,"no backers",Table1[[#This Row],[pledged]]/Table1[[#This Row],[backers_count]])</f>
        <v>no backers</v>
      </c>
      <c r="U2844" t="str">
        <f>LEFT(Table1[[#This Row],[Category and Sub-Category]],FIND("/",Table1[[#This Row],[Category and Sub-Category]])-1)</f>
        <v>theater</v>
      </c>
      <c r="V2844" t="str">
        <f>RIGHT(Table1[[#This Row],[Category and Sub-Category]],LEN(Table1[[#This Row],[Category and Sub-Category]])-FIND("/",Table1[[#This Row],[Category and Sub-Category]]))</f>
        <v>plays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 s="12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>((Table1[[#This Row],[deadline]]/60)/60/24)+DATE(1970,1,1)</f>
        <v>42534.166666666672</v>
      </c>
      <c r="K2845">
        <v>1462210950</v>
      </c>
      <c r="L2845" s="11">
        <f>((Table1[[#This Row],[launched_at]]/60)/60/24)+DATE(1970,1,1)</f>
        <v>42492.737847222219</v>
      </c>
      <c r="M2845">
        <f>MONTH(Table1[[#This Row],[Date Created Conversion]])</f>
        <v>5</v>
      </c>
      <c r="N2845">
        <f>YEAR(Table1[[#This Row],[Date Created Conversion]])</f>
        <v>2016</v>
      </c>
      <c r="O2845" t="b">
        <v>0</v>
      </c>
      <c r="P2845">
        <v>0</v>
      </c>
      <c r="Q2845" t="b">
        <v>0</v>
      </c>
      <c r="R2845" t="s">
        <v>8271</v>
      </c>
      <c r="S2845" s="6">
        <f>Table1[[#This Row],[pledged]]/Table1[[#This Row],[goal]]</f>
        <v>0</v>
      </c>
      <c r="T2845" s="8" t="str">
        <f>IF(Table1[[#This Row],[pledged]]=0,"no backers",Table1[[#This Row],[pledged]]/Table1[[#This Row],[backers_count]])</f>
        <v>no backers</v>
      </c>
      <c r="U2845" t="str">
        <f>LEFT(Table1[[#This Row],[Category and Sub-Category]],FIND("/",Table1[[#This Row],[Category and Sub-Category]])-1)</f>
        <v>theater</v>
      </c>
      <c r="V2845" t="str">
        <f>RIGHT(Table1[[#This Row],[Category and Sub-Category]],LEN(Table1[[#This Row],[Category and Sub-Category]])-FIND("/",Table1[[#This Row],[Category and Sub-Category]]))</f>
        <v>plays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 s="12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>((Table1[[#This Row],[deadline]]/60)/60/24)+DATE(1970,1,1)</f>
        <v>42739.546064814815</v>
      </c>
      <c r="K2846">
        <v>1480943180</v>
      </c>
      <c r="L2846" s="11">
        <f>((Table1[[#This Row],[launched_at]]/60)/60/24)+DATE(1970,1,1)</f>
        <v>42709.546064814815</v>
      </c>
      <c r="M2846">
        <f>MONTH(Table1[[#This Row],[Date Created Conversion]])</f>
        <v>12</v>
      </c>
      <c r="N2846">
        <f>YEAR(Table1[[#This Row],[Date Created Conversion]])</f>
        <v>2016</v>
      </c>
      <c r="O2846" t="b">
        <v>0</v>
      </c>
      <c r="P2846">
        <v>1</v>
      </c>
      <c r="Q2846" t="b">
        <v>0</v>
      </c>
      <c r="R2846" t="s">
        <v>8271</v>
      </c>
      <c r="S2846" s="6">
        <f>Table1[[#This Row],[pledged]]/Table1[[#This Row],[goal]]</f>
        <v>5.4545454545454543E-2</v>
      </c>
      <c r="T2846" s="8">
        <f>IF(Table1[[#This Row],[pledged]]=0,"no backers",Table1[[#This Row],[pledged]]/Table1[[#This Row],[backers_count]])</f>
        <v>30</v>
      </c>
      <c r="U2846" t="str">
        <f>LEFT(Table1[[#This Row],[Category and Sub-Category]],FIND("/",Table1[[#This Row],[Category and Sub-Category]])-1)</f>
        <v>theater</v>
      </c>
      <c r="V2846" t="str">
        <f>RIGHT(Table1[[#This Row],[Category and Sub-Category]],LEN(Table1[[#This Row],[Category and Sub-Category]])-FIND("/",Table1[[#This Row],[Category and Sub-Category]]))</f>
        <v>plays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 s="12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>((Table1[[#This Row],[deadline]]/60)/60/24)+DATE(1970,1,1)</f>
        <v>42163.016585648147</v>
      </c>
      <c r="K2847">
        <v>1428539033</v>
      </c>
      <c r="L2847" s="11">
        <f>((Table1[[#This Row],[launched_at]]/60)/60/24)+DATE(1970,1,1)</f>
        <v>42103.016585648147</v>
      </c>
      <c r="M2847">
        <f>MONTH(Table1[[#This Row],[Date Created Conversion]])</f>
        <v>4</v>
      </c>
      <c r="N2847">
        <f>YEAR(Table1[[#This Row],[Date Created Conversion]])</f>
        <v>2015</v>
      </c>
      <c r="O2847" t="b">
        <v>0</v>
      </c>
      <c r="P2847">
        <v>39</v>
      </c>
      <c r="Q2847" t="b">
        <v>0</v>
      </c>
      <c r="R2847" t="s">
        <v>8271</v>
      </c>
      <c r="S2847" s="6">
        <f>Table1[[#This Row],[pledged]]/Table1[[#This Row],[goal]]</f>
        <v>0.31546666666666667</v>
      </c>
      <c r="T2847" s="8">
        <f>IF(Table1[[#This Row],[pledged]]=0,"no backers",Table1[[#This Row],[pledged]]/Table1[[#This Row],[backers_count]])</f>
        <v>60.666666666666664</v>
      </c>
      <c r="U2847" t="str">
        <f>LEFT(Table1[[#This Row],[Category and Sub-Category]],FIND("/",Table1[[#This Row],[Category and Sub-Category]])-1)</f>
        <v>theater</v>
      </c>
      <c r="V2847" t="str">
        <f>RIGHT(Table1[[#This Row],[Category and Sub-Category]],LEN(Table1[[#This Row],[Category and Sub-Category]])-FIND("/",Table1[[#This Row],[Category and Sub-Category]]))</f>
        <v>plays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 s="12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>((Table1[[#This Row],[deadline]]/60)/60/24)+DATE(1970,1,1)</f>
        <v>42153.692060185189</v>
      </c>
      <c r="K2848">
        <v>1429029394</v>
      </c>
      <c r="L2848" s="11">
        <f>((Table1[[#This Row],[launched_at]]/60)/60/24)+DATE(1970,1,1)</f>
        <v>42108.692060185189</v>
      </c>
      <c r="M2848">
        <f>MONTH(Table1[[#This Row],[Date Created Conversion]])</f>
        <v>4</v>
      </c>
      <c r="N2848">
        <f>YEAR(Table1[[#This Row],[Date Created Conversion]])</f>
        <v>2015</v>
      </c>
      <c r="O2848" t="b">
        <v>0</v>
      </c>
      <c r="P2848">
        <v>0</v>
      </c>
      <c r="Q2848" t="b">
        <v>0</v>
      </c>
      <c r="R2848" t="s">
        <v>8271</v>
      </c>
      <c r="S2848" s="6">
        <f>Table1[[#This Row],[pledged]]/Table1[[#This Row],[goal]]</f>
        <v>0</v>
      </c>
      <c r="T2848" s="8" t="str">
        <f>IF(Table1[[#This Row],[pledged]]=0,"no backers",Table1[[#This Row],[pledged]]/Table1[[#This Row],[backers_count]])</f>
        <v>no backers</v>
      </c>
      <c r="U2848" t="str">
        <f>LEFT(Table1[[#This Row],[Category and Sub-Category]],FIND("/",Table1[[#This Row],[Category and Sub-Category]])-1)</f>
        <v>theater</v>
      </c>
      <c r="V2848" t="str">
        <f>RIGHT(Table1[[#This Row],[Category and Sub-Category]],LEN(Table1[[#This Row],[Category and Sub-Category]])-FIND("/",Table1[[#This Row],[Category and Sub-Category]]))</f>
        <v>plays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 s="12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>((Table1[[#This Row],[deadline]]/60)/60/24)+DATE(1970,1,1)</f>
        <v>42513.806307870371</v>
      </c>
      <c r="K2849">
        <v>1458847265</v>
      </c>
      <c r="L2849" s="11">
        <f>((Table1[[#This Row],[launched_at]]/60)/60/24)+DATE(1970,1,1)</f>
        <v>42453.806307870371</v>
      </c>
      <c r="M2849">
        <f>MONTH(Table1[[#This Row],[Date Created Conversion]])</f>
        <v>3</v>
      </c>
      <c r="N2849">
        <f>YEAR(Table1[[#This Row],[Date Created Conversion]])</f>
        <v>2016</v>
      </c>
      <c r="O2849" t="b">
        <v>0</v>
      </c>
      <c r="P2849">
        <v>0</v>
      </c>
      <c r="Q2849" t="b">
        <v>0</v>
      </c>
      <c r="R2849" t="s">
        <v>8271</v>
      </c>
      <c r="S2849" s="6">
        <f>Table1[[#This Row],[pledged]]/Table1[[#This Row],[goal]]</f>
        <v>0</v>
      </c>
      <c r="T2849" s="8" t="str">
        <f>IF(Table1[[#This Row],[pledged]]=0,"no backers",Table1[[#This Row],[pledged]]/Table1[[#This Row],[backers_count]])</f>
        <v>no backers</v>
      </c>
      <c r="U2849" t="str">
        <f>LEFT(Table1[[#This Row],[Category and Sub-Category]],FIND("/",Table1[[#This Row],[Category and Sub-Category]])-1)</f>
        <v>theater</v>
      </c>
      <c r="V2849" t="str">
        <f>RIGHT(Table1[[#This Row],[Category and Sub-Category]],LEN(Table1[[#This Row],[Category and Sub-Category]])-FIND("/",Table1[[#This Row],[Category and Sub-Category]]))</f>
        <v>plays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 s="12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>((Table1[[#This Row],[deadline]]/60)/60/24)+DATE(1970,1,1)</f>
        <v>42153.648831018523</v>
      </c>
      <c r="K2850">
        <v>1430321659</v>
      </c>
      <c r="L2850" s="11">
        <f>((Table1[[#This Row],[launched_at]]/60)/60/24)+DATE(1970,1,1)</f>
        <v>42123.648831018523</v>
      </c>
      <c r="M2850">
        <f>MONTH(Table1[[#This Row],[Date Created Conversion]])</f>
        <v>4</v>
      </c>
      <c r="N2850">
        <f>YEAR(Table1[[#This Row],[Date Created Conversion]])</f>
        <v>2015</v>
      </c>
      <c r="O2850" t="b">
        <v>0</v>
      </c>
      <c r="P2850">
        <v>3</v>
      </c>
      <c r="Q2850" t="b">
        <v>0</v>
      </c>
      <c r="R2850" t="s">
        <v>8271</v>
      </c>
      <c r="S2850" s="6">
        <f>Table1[[#This Row],[pledged]]/Table1[[#This Row],[goal]]</f>
        <v>2E-3</v>
      </c>
      <c r="T2850" s="8">
        <f>IF(Table1[[#This Row],[pledged]]=0,"no backers",Table1[[#This Row],[pledged]]/Table1[[#This Row],[backers_count]])</f>
        <v>23.333333333333332</v>
      </c>
      <c r="U2850" t="str">
        <f>LEFT(Table1[[#This Row],[Category and Sub-Category]],FIND("/",Table1[[#This Row],[Category and Sub-Category]])-1)</f>
        <v>theater</v>
      </c>
      <c r="V2850" t="str">
        <f>RIGHT(Table1[[#This Row],[Category and Sub-Category]],LEN(Table1[[#This Row],[Category and Sub-Category]])-FIND("/",Table1[[#This Row],[Category and Sub-Category]]))</f>
        <v>plays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 s="12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>((Table1[[#This Row],[deadline]]/60)/60/24)+DATE(1970,1,1)</f>
        <v>42483.428240740745</v>
      </c>
      <c r="K2851">
        <v>1458814600</v>
      </c>
      <c r="L2851" s="11">
        <f>((Table1[[#This Row],[launched_at]]/60)/60/24)+DATE(1970,1,1)</f>
        <v>42453.428240740745</v>
      </c>
      <c r="M2851">
        <f>MONTH(Table1[[#This Row],[Date Created Conversion]])</f>
        <v>3</v>
      </c>
      <c r="N2851">
        <f>YEAR(Table1[[#This Row],[Date Created Conversion]])</f>
        <v>2016</v>
      </c>
      <c r="O2851" t="b">
        <v>0</v>
      </c>
      <c r="P2851">
        <v>1</v>
      </c>
      <c r="Q2851" t="b">
        <v>0</v>
      </c>
      <c r="R2851" t="s">
        <v>8271</v>
      </c>
      <c r="S2851" s="6">
        <f>Table1[[#This Row],[pledged]]/Table1[[#This Row],[goal]]</f>
        <v>0.01</v>
      </c>
      <c r="T2851" s="8">
        <f>IF(Table1[[#This Row],[pledged]]=0,"no backers",Table1[[#This Row],[pledged]]/Table1[[#This Row],[backers_count]])</f>
        <v>5</v>
      </c>
      <c r="U2851" t="str">
        <f>LEFT(Table1[[#This Row],[Category and Sub-Category]],FIND("/",Table1[[#This Row],[Category and Sub-Category]])-1)</f>
        <v>theater</v>
      </c>
      <c r="V2851" t="str">
        <f>RIGHT(Table1[[#This Row],[Category and Sub-Category]],LEN(Table1[[#This Row],[Category and Sub-Category]])-FIND("/",Table1[[#This Row],[Category and Sub-Category]]))</f>
        <v>plays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 s="1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>((Table1[[#This Row],[deadline]]/60)/60/24)+DATE(1970,1,1)</f>
        <v>41888.007071759261</v>
      </c>
      <c r="K2852">
        <v>1407370211</v>
      </c>
      <c r="L2852" s="11">
        <f>((Table1[[#This Row],[launched_at]]/60)/60/24)+DATE(1970,1,1)</f>
        <v>41858.007071759261</v>
      </c>
      <c r="M2852">
        <f>MONTH(Table1[[#This Row],[Date Created Conversion]])</f>
        <v>8</v>
      </c>
      <c r="N2852">
        <f>YEAR(Table1[[#This Row],[Date Created Conversion]])</f>
        <v>2014</v>
      </c>
      <c r="O2852" t="b">
        <v>0</v>
      </c>
      <c r="P2852">
        <v>13</v>
      </c>
      <c r="Q2852" t="b">
        <v>0</v>
      </c>
      <c r="R2852" t="s">
        <v>8271</v>
      </c>
      <c r="S2852" s="6">
        <f>Table1[[#This Row],[pledged]]/Table1[[#This Row],[goal]]</f>
        <v>3.8875E-2</v>
      </c>
      <c r="T2852" s="8">
        <f>IF(Table1[[#This Row],[pledged]]=0,"no backers",Table1[[#This Row],[pledged]]/Table1[[#This Row],[backers_count]])</f>
        <v>23.923076923076923</v>
      </c>
      <c r="U2852" t="str">
        <f>LEFT(Table1[[#This Row],[Category and Sub-Category]],FIND("/",Table1[[#This Row],[Category and Sub-Category]])-1)</f>
        <v>theater</v>
      </c>
      <c r="V2852" t="str">
        <f>RIGHT(Table1[[#This Row],[Category and Sub-Category]],LEN(Table1[[#This Row],[Category and Sub-Category]])-FIND("/",Table1[[#This Row],[Category and Sub-Category]]))</f>
        <v>plays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 s="12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>((Table1[[#This Row],[deadline]]/60)/60/24)+DATE(1970,1,1)</f>
        <v>42398.970138888893</v>
      </c>
      <c r="K2853">
        <v>1453334629</v>
      </c>
      <c r="L2853" s="11">
        <f>((Table1[[#This Row],[launched_at]]/60)/60/24)+DATE(1970,1,1)</f>
        <v>42390.002650462964</v>
      </c>
      <c r="M2853">
        <f>MONTH(Table1[[#This Row],[Date Created Conversion]])</f>
        <v>1</v>
      </c>
      <c r="N2853">
        <f>YEAR(Table1[[#This Row],[Date Created Conversion]])</f>
        <v>2016</v>
      </c>
      <c r="O2853" t="b">
        <v>0</v>
      </c>
      <c r="P2853">
        <v>0</v>
      </c>
      <c r="Q2853" t="b">
        <v>0</v>
      </c>
      <c r="R2853" t="s">
        <v>8271</v>
      </c>
      <c r="S2853" s="6">
        <f>Table1[[#This Row],[pledged]]/Table1[[#This Row],[goal]]</f>
        <v>0</v>
      </c>
      <c r="T2853" s="8" t="str">
        <f>IF(Table1[[#This Row],[pledged]]=0,"no backers",Table1[[#This Row],[pledged]]/Table1[[#This Row],[backers_count]])</f>
        <v>no backers</v>
      </c>
      <c r="U2853" t="str">
        <f>LEFT(Table1[[#This Row],[Category and Sub-Category]],FIND("/",Table1[[#This Row],[Category and Sub-Category]])-1)</f>
        <v>theater</v>
      </c>
      <c r="V2853" t="str">
        <f>RIGHT(Table1[[#This Row],[Category and Sub-Category]],LEN(Table1[[#This Row],[Category and Sub-Category]])-FIND("/",Table1[[#This Row],[Category and Sub-Category]]))</f>
        <v>plays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 s="12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>((Table1[[#This Row],[deadline]]/60)/60/24)+DATE(1970,1,1)</f>
        <v>41811.045173611114</v>
      </c>
      <c r="K2854">
        <v>1400720703</v>
      </c>
      <c r="L2854" s="11">
        <f>((Table1[[#This Row],[launched_at]]/60)/60/24)+DATE(1970,1,1)</f>
        <v>41781.045173611114</v>
      </c>
      <c r="M2854">
        <f>MONTH(Table1[[#This Row],[Date Created Conversion]])</f>
        <v>5</v>
      </c>
      <c r="N2854">
        <f>YEAR(Table1[[#This Row],[Date Created Conversion]])</f>
        <v>2014</v>
      </c>
      <c r="O2854" t="b">
        <v>0</v>
      </c>
      <c r="P2854">
        <v>6</v>
      </c>
      <c r="Q2854" t="b">
        <v>0</v>
      </c>
      <c r="R2854" t="s">
        <v>8271</v>
      </c>
      <c r="S2854" s="6">
        <f>Table1[[#This Row],[pledged]]/Table1[[#This Row],[goal]]</f>
        <v>1.9E-2</v>
      </c>
      <c r="T2854" s="8">
        <f>IF(Table1[[#This Row],[pledged]]=0,"no backers",Table1[[#This Row],[pledged]]/Table1[[#This Row],[backers_count]])</f>
        <v>15.833333333333334</v>
      </c>
      <c r="U2854" t="str">
        <f>LEFT(Table1[[#This Row],[Category and Sub-Category]],FIND("/",Table1[[#This Row],[Category and Sub-Category]])-1)</f>
        <v>theater</v>
      </c>
      <c r="V2854" t="str">
        <f>RIGHT(Table1[[#This Row],[Category and Sub-Category]],LEN(Table1[[#This Row],[Category and Sub-Category]])-FIND("/",Table1[[#This Row],[Category and Sub-Category]]))</f>
        <v>plays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 s="12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>((Table1[[#This Row],[deadline]]/60)/60/24)+DATE(1970,1,1)</f>
        <v>41896.190937499996</v>
      </c>
      <c r="K2855">
        <v>1405485297</v>
      </c>
      <c r="L2855" s="11">
        <f>((Table1[[#This Row],[launched_at]]/60)/60/24)+DATE(1970,1,1)</f>
        <v>41836.190937499996</v>
      </c>
      <c r="M2855">
        <f>MONTH(Table1[[#This Row],[Date Created Conversion]])</f>
        <v>7</v>
      </c>
      <c r="N2855">
        <f>YEAR(Table1[[#This Row],[Date Created Conversion]])</f>
        <v>2014</v>
      </c>
      <c r="O2855" t="b">
        <v>0</v>
      </c>
      <c r="P2855">
        <v>0</v>
      </c>
      <c r="Q2855" t="b">
        <v>0</v>
      </c>
      <c r="R2855" t="s">
        <v>8271</v>
      </c>
      <c r="S2855" s="6">
        <f>Table1[[#This Row],[pledged]]/Table1[[#This Row],[goal]]</f>
        <v>0</v>
      </c>
      <c r="T2855" s="8" t="str">
        <f>IF(Table1[[#This Row],[pledged]]=0,"no backers",Table1[[#This Row],[pledged]]/Table1[[#This Row],[backers_count]])</f>
        <v>no backers</v>
      </c>
      <c r="U2855" t="str">
        <f>LEFT(Table1[[#This Row],[Category and Sub-Category]],FIND("/",Table1[[#This Row],[Category and Sub-Category]])-1)</f>
        <v>theater</v>
      </c>
      <c r="V2855" t="str">
        <f>RIGHT(Table1[[#This Row],[Category and Sub-Category]],LEN(Table1[[#This Row],[Category and Sub-Category]])-FIND("/",Table1[[#This Row],[Category and Sub-Category]]))</f>
        <v>plays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 s="12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>((Table1[[#This Row],[deadline]]/60)/60/24)+DATE(1970,1,1)</f>
        <v>42131.71665509259</v>
      </c>
      <c r="K2856">
        <v>1429290719</v>
      </c>
      <c r="L2856" s="11">
        <f>((Table1[[#This Row],[launched_at]]/60)/60/24)+DATE(1970,1,1)</f>
        <v>42111.71665509259</v>
      </c>
      <c r="M2856">
        <f>MONTH(Table1[[#This Row],[Date Created Conversion]])</f>
        <v>4</v>
      </c>
      <c r="N2856">
        <f>YEAR(Table1[[#This Row],[Date Created Conversion]])</f>
        <v>2015</v>
      </c>
      <c r="O2856" t="b">
        <v>0</v>
      </c>
      <c r="P2856">
        <v>14</v>
      </c>
      <c r="Q2856" t="b">
        <v>0</v>
      </c>
      <c r="R2856" t="s">
        <v>8271</v>
      </c>
      <c r="S2856" s="6">
        <f>Table1[[#This Row],[pledged]]/Table1[[#This Row],[goal]]</f>
        <v>0.41699999999999998</v>
      </c>
      <c r="T2856" s="8">
        <f>IF(Table1[[#This Row],[pledged]]=0,"no backers",Table1[[#This Row],[pledged]]/Table1[[#This Row],[backers_count]])</f>
        <v>29.785714285714285</v>
      </c>
      <c r="U2856" t="str">
        <f>LEFT(Table1[[#This Row],[Category and Sub-Category]],FIND("/",Table1[[#This Row],[Category and Sub-Category]])-1)</f>
        <v>theater</v>
      </c>
      <c r="V2856" t="str">
        <f>RIGHT(Table1[[#This Row],[Category and Sub-Category]],LEN(Table1[[#This Row],[Category and Sub-Category]])-FIND("/",Table1[[#This Row],[Category and Sub-Category]]))</f>
        <v>plays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 s="12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>((Table1[[#This Row],[deadline]]/60)/60/24)+DATE(1970,1,1)</f>
        <v>42398.981944444444</v>
      </c>
      <c r="K2857">
        <v>1451607071</v>
      </c>
      <c r="L2857" s="11">
        <f>((Table1[[#This Row],[launched_at]]/60)/60/24)+DATE(1970,1,1)</f>
        <v>42370.007766203707</v>
      </c>
      <c r="M2857">
        <f>MONTH(Table1[[#This Row],[Date Created Conversion]])</f>
        <v>1</v>
      </c>
      <c r="N2857">
        <f>YEAR(Table1[[#This Row],[Date Created Conversion]])</f>
        <v>2016</v>
      </c>
      <c r="O2857" t="b">
        <v>0</v>
      </c>
      <c r="P2857">
        <v>5</v>
      </c>
      <c r="Q2857" t="b">
        <v>0</v>
      </c>
      <c r="R2857" t="s">
        <v>8271</v>
      </c>
      <c r="S2857" s="6">
        <f>Table1[[#This Row],[pledged]]/Table1[[#This Row],[goal]]</f>
        <v>0.5</v>
      </c>
      <c r="T2857" s="8">
        <f>IF(Table1[[#This Row],[pledged]]=0,"no backers",Table1[[#This Row],[pledged]]/Table1[[#This Row],[backers_count]])</f>
        <v>60</v>
      </c>
      <c r="U2857" t="str">
        <f>LEFT(Table1[[#This Row],[Category and Sub-Category]],FIND("/",Table1[[#This Row],[Category and Sub-Category]])-1)</f>
        <v>theater</v>
      </c>
      <c r="V2857" t="str">
        <f>RIGHT(Table1[[#This Row],[Category and Sub-Category]],LEN(Table1[[#This Row],[Category and Sub-Category]])-FIND("/",Table1[[#This Row],[Category and Sub-Category]]))</f>
        <v>plays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 s="12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>((Table1[[#This Row],[deadline]]/60)/60/24)+DATE(1970,1,1)</f>
        <v>42224.898611111115</v>
      </c>
      <c r="K2858">
        <v>1433897647</v>
      </c>
      <c r="L2858" s="11">
        <f>((Table1[[#This Row],[launched_at]]/60)/60/24)+DATE(1970,1,1)</f>
        <v>42165.037581018521</v>
      </c>
      <c r="M2858">
        <f>MONTH(Table1[[#This Row],[Date Created Conversion]])</f>
        <v>6</v>
      </c>
      <c r="N2858">
        <f>YEAR(Table1[[#This Row],[Date Created Conversion]])</f>
        <v>2015</v>
      </c>
      <c r="O2858" t="b">
        <v>0</v>
      </c>
      <c r="P2858">
        <v>6</v>
      </c>
      <c r="Q2858" t="b">
        <v>0</v>
      </c>
      <c r="R2858" t="s">
        <v>8271</v>
      </c>
      <c r="S2858" s="6">
        <f>Table1[[#This Row],[pledged]]/Table1[[#This Row],[goal]]</f>
        <v>4.8666666666666664E-2</v>
      </c>
      <c r="T2858" s="8">
        <f>IF(Table1[[#This Row],[pledged]]=0,"no backers",Table1[[#This Row],[pledged]]/Table1[[#This Row],[backers_count]])</f>
        <v>24.333333333333332</v>
      </c>
      <c r="U2858" t="str">
        <f>LEFT(Table1[[#This Row],[Category and Sub-Category]],FIND("/",Table1[[#This Row],[Category and Sub-Category]])-1)</f>
        <v>theater</v>
      </c>
      <c r="V2858" t="str">
        <f>RIGHT(Table1[[#This Row],[Category and Sub-Category]],LEN(Table1[[#This Row],[Category and Sub-Category]])-FIND("/",Table1[[#This Row],[Category and Sub-Category]]))</f>
        <v>plays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 s="12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>((Table1[[#This Row],[deadline]]/60)/60/24)+DATE(1970,1,1)</f>
        <v>42786.75</v>
      </c>
      <c r="K2859">
        <v>1482444295</v>
      </c>
      <c r="L2859" s="11">
        <f>((Table1[[#This Row],[launched_at]]/60)/60/24)+DATE(1970,1,1)</f>
        <v>42726.920081018514</v>
      </c>
      <c r="M2859">
        <f>MONTH(Table1[[#This Row],[Date Created Conversion]])</f>
        <v>12</v>
      </c>
      <c r="N2859">
        <f>YEAR(Table1[[#This Row],[Date Created Conversion]])</f>
        <v>2016</v>
      </c>
      <c r="O2859" t="b">
        <v>0</v>
      </c>
      <c r="P2859">
        <v>15</v>
      </c>
      <c r="Q2859" t="b">
        <v>0</v>
      </c>
      <c r="R2859" t="s">
        <v>8271</v>
      </c>
      <c r="S2859" s="6">
        <f>Table1[[#This Row],[pledged]]/Table1[[#This Row],[goal]]</f>
        <v>0.19736842105263158</v>
      </c>
      <c r="T2859" s="8">
        <f>IF(Table1[[#This Row],[pledged]]=0,"no backers",Table1[[#This Row],[pledged]]/Table1[[#This Row],[backers_count]])</f>
        <v>500</v>
      </c>
      <c r="U2859" t="str">
        <f>LEFT(Table1[[#This Row],[Category and Sub-Category]],FIND("/",Table1[[#This Row],[Category and Sub-Category]])-1)</f>
        <v>theater</v>
      </c>
      <c r="V2859" t="str">
        <f>RIGHT(Table1[[#This Row],[Category and Sub-Category]],LEN(Table1[[#This Row],[Category and Sub-Category]])-FIND("/",Table1[[#This Row],[Category and Sub-Category]]))</f>
        <v>plays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 s="12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>((Table1[[#This Row],[deadline]]/60)/60/24)+DATE(1970,1,1)</f>
        <v>41978.477777777778</v>
      </c>
      <c r="K2860">
        <v>1415711095</v>
      </c>
      <c r="L2860" s="11">
        <f>((Table1[[#This Row],[launched_at]]/60)/60/24)+DATE(1970,1,1)</f>
        <v>41954.545081018514</v>
      </c>
      <c r="M2860">
        <f>MONTH(Table1[[#This Row],[Date Created Conversion]])</f>
        <v>11</v>
      </c>
      <c r="N2860">
        <f>YEAR(Table1[[#This Row],[Date Created Conversion]])</f>
        <v>2014</v>
      </c>
      <c r="O2860" t="b">
        <v>0</v>
      </c>
      <c r="P2860">
        <v>0</v>
      </c>
      <c r="Q2860" t="b">
        <v>0</v>
      </c>
      <c r="R2860" t="s">
        <v>8271</v>
      </c>
      <c r="S2860" s="6">
        <f>Table1[[#This Row],[pledged]]/Table1[[#This Row],[goal]]</f>
        <v>0</v>
      </c>
      <c r="T2860" s="8" t="str">
        <f>IF(Table1[[#This Row],[pledged]]=0,"no backers",Table1[[#This Row],[pledged]]/Table1[[#This Row],[backers_count]])</f>
        <v>no backers</v>
      </c>
      <c r="U2860" t="str">
        <f>LEFT(Table1[[#This Row],[Category and Sub-Category]],FIND("/",Table1[[#This Row],[Category and Sub-Category]])-1)</f>
        <v>theater</v>
      </c>
      <c r="V2860" t="str">
        <f>RIGHT(Table1[[#This Row],[Category and Sub-Category]],LEN(Table1[[#This Row],[Category and Sub-Category]])-FIND("/",Table1[[#This Row],[Category and Sub-Category]]))</f>
        <v>plays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 s="12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>((Table1[[#This Row],[deadline]]/60)/60/24)+DATE(1970,1,1)</f>
        <v>42293.362314814818</v>
      </c>
      <c r="K2861">
        <v>1439800904</v>
      </c>
      <c r="L2861" s="11">
        <f>((Table1[[#This Row],[launched_at]]/60)/60/24)+DATE(1970,1,1)</f>
        <v>42233.362314814818</v>
      </c>
      <c r="M2861">
        <f>MONTH(Table1[[#This Row],[Date Created Conversion]])</f>
        <v>8</v>
      </c>
      <c r="N2861">
        <f>YEAR(Table1[[#This Row],[Date Created Conversion]])</f>
        <v>2015</v>
      </c>
      <c r="O2861" t="b">
        <v>0</v>
      </c>
      <c r="P2861">
        <v>1</v>
      </c>
      <c r="Q2861" t="b">
        <v>0</v>
      </c>
      <c r="R2861" t="s">
        <v>8271</v>
      </c>
      <c r="S2861" s="6">
        <f>Table1[[#This Row],[pledged]]/Table1[[#This Row],[goal]]</f>
        <v>1.7500000000000002E-2</v>
      </c>
      <c r="T2861" s="8">
        <f>IF(Table1[[#This Row],[pledged]]=0,"no backers",Table1[[#This Row],[pledged]]/Table1[[#This Row],[backers_count]])</f>
        <v>35</v>
      </c>
      <c r="U2861" t="str">
        <f>LEFT(Table1[[#This Row],[Category and Sub-Category]],FIND("/",Table1[[#This Row],[Category and Sub-Category]])-1)</f>
        <v>theater</v>
      </c>
      <c r="V2861" t="str">
        <f>RIGHT(Table1[[#This Row],[Category and Sub-Category]],LEN(Table1[[#This Row],[Category and Sub-Category]])-FIND("/",Table1[[#This Row],[Category and Sub-Category]]))</f>
        <v>plays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 s="1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>((Table1[[#This Row],[deadline]]/60)/60/24)+DATE(1970,1,1)</f>
        <v>42540.800648148142</v>
      </c>
      <c r="K2862">
        <v>1461179576</v>
      </c>
      <c r="L2862" s="11">
        <f>((Table1[[#This Row],[launched_at]]/60)/60/24)+DATE(1970,1,1)</f>
        <v>42480.800648148142</v>
      </c>
      <c r="M2862">
        <f>MONTH(Table1[[#This Row],[Date Created Conversion]])</f>
        <v>4</v>
      </c>
      <c r="N2862">
        <f>YEAR(Table1[[#This Row],[Date Created Conversion]])</f>
        <v>2016</v>
      </c>
      <c r="O2862" t="b">
        <v>0</v>
      </c>
      <c r="P2862">
        <v>9</v>
      </c>
      <c r="Q2862" t="b">
        <v>0</v>
      </c>
      <c r="R2862" t="s">
        <v>8271</v>
      </c>
      <c r="S2862" s="6">
        <f>Table1[[#This Row],[pledged]]/Table1[[#This Row],[goal]]</f>
        <v>6.6500000000000004E-2</v>
      </c>
      <c r="T2862" s="8">
        <f>IF(Table1[[#This Row],[pledged]]=0,"no backers",Table1[[#This Row],[pledged]]/Table1[[#This Row],[backers_count]])</f>
        <v>29.555555555555557</v>
      </c>
      <c r="U2862" t="str">
        <f>LEFT(Table1[[#This Row],[Category and Sub-Category]],FIND("/",Table1[[#This Row],[Category and Sub-Category]])-1)</f>
        <v>theater</v>
      </c>
      <c r="V2862" t="str">
        <f>RIGHT(Table1[[#This Row],[Category and Sub-Category]],LEN(Table1[[#This Row],[Category and Sub-Category]])-FIND("/",Table1[[#This Row],[Category and Sub-Category]]))</f>
        <v>plays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 s="12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>((Table1[[#This Row],[deadline]]/60)/60/24)+DATE(1970,1,1)</f>
        <v>42271.590833333335</v>
      </c>
      <c r="K2863">
        <v>1441894248</v>
      </c>
      <c r="L2863" s="11">
        <f>((Table1[[#This Row],[launched_at]]/60)/60/24)+DATE(1970,1,1)</f>
        <v>42257.590833333335</v>
      </c>
      <c r="M2863">
        <f>MONTH(Table1[[#This Row],[Date Created Conversion]])</f>
        <v>9</v>
      </c>
      <c r="N2863">
        <f>YEAR(Table1[[#This Row],[Date Created Conversion]])</f>
        <v>2015</v>
      </c>
      <c r="O2863" t="b">
        <v>0</v>
      </c>
      <c r="P2863">
        <v>3</v>
      </c>
      <c r="Q2863" t="b">
        <v>0</v>
      </c>
      <c r="R2863" t="s">
        <v>8271</v>
      </c>
      <c r="S2863" s="6">
        <f>Table1[[#This Row],[pledged]]/Table1[[#This Row],[goal]]</f>
        <v>0.32</v>
      </c>
      <c r="T2863" s="8">
        <f>IF(Table1[[#This Row],[pledged]]=0,"no backers",Table1[[#This Row],[pledged]]/Table1[[#This Row],[backers_count]])</f>
        <v>26.666666666666668</v>
      </c>
      <c r="U2863" t="str">
        <f>LEFT(Table1[[#This Row],[Category and Sub-Category]],FIND("/",Table1[[#This Row],[Category and Sub-Category]])-1)</f>
        <v>theater</v>
      </c>
      <c r="V2863" t="str">
        <f>RIGHT(Table1[[#This Row],[Category and Sub-Category]],LEN(Table1[[#This Row],[Category and Sub-Category]])-FIND("/",Table1[[#This Row],[Category and Sub-Category]]))</f>
        <v>plays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 s="12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>((Table1[[#This Row],[deadline]]/60)/60/24)+DATE(1970,1,1)</f>
        <v>41814.789687500001</v>
      </c>
      <c r="K2864">
        <v>1401044229</v>
      </c>
      <c r="L2864" s="11">
        <f>((Table1[[#This Row],[launched_at]]/60)/60/24)+DATE(1970,1,1)</f>
        <v>41784.789687500001</v>
      </c>
      <c r="M2864">
        <f>MONTH(Table1[[#This Row],[Date Created Conversion]])</f>
        <v>5</v>
      </c>
      <c r="N2864">
        <f>YEAR(Table1[[#This Row],[Date Created Conversion]])</f>
        <v>2014</v>
      </c>
      <c r="O2864" t="b">
        <v>0</v>
      </c>
      <c r="P2864">
        <v>3</v>
      </c>
      <c r="Q2864" t="b">
        <v>0</v>
      </c>
      <c r="R2864" t="s">
        <v>8271</v>
      </c>
      <c r="S2864" s="6">
        <f>Table1[[#This Row],[pledged]]/Table1[[#This Row],[goal]]</f>
        <v>4.3307086614173228E-3</v>
      </c>
      <c r="T2864" s="8">
        <f>IF(Table1[[#This Row],[pledged]]=0,"no backers",Table1[[#This Row],[pledged]]/Table1[[#This Row],[backers_count]])</f>
        <v>18.333333333333332</v>
      </c>
      <c r="U2864" t="str">
        <f>LEFT(Table1[[#This Row],[Category and Sub-Category]],FIND("/",Table1[[#This Row],[Category and Sub-Category]])-1)</f>
        <v>theater</v>
      </c>
      <c r="V2864" t="str">
        <f>RIGHT(Table1[[#This Row],[Category and Sub-Category]],LEN(Table1[[#This Row],[Category and Sub-Category]])-FIND("/",Table1[[#This Row],[Category and Sub-Category]]))</f>
        <v>plays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 s="12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>((Table1[[#This Row],[deadline]]/60)/60/24)+DATE(1970,1,1)</f>
        <v>41891.675034722226</v>
      </c>
      <c r="K2865">
        <v>1405095123</v>
      </c>
      <c r="L2865" s="11">
        <f>((Table1[[#This Row],[launched_at]]/60)/60/24)+DATE(1970,1,1)</f>
        <v>41831.675034722226</v>
      </c>
      <c r="M2865">
        <f>MONTH(Table1[[#This Row],[Date Created Conversion]])</f>
        <v>7</v>
      </c>
      <c r="N2865">
        <f>YEAR(Table1[[#This Row],[Date Created Conversion]])</f>
        <v>2014</v>
      </c>
      <c r="O2865" t="b">
        <v>0</v>
      </c>
      <c r="P2865">
        <v>1</v>
      </c>
      <c r="Q2865" t="b">
        <v>0</v>
      </c>
      <c r="R2865" t="s">
        <v>8271</v>
      </c>
      <c r="S2865" s="6">
        <f>Table1[[#This Row],[pledged]]/Table1[[#This Row],[goal]]</f>
        <v>4.0000000000000002E-4</v>
      </c>
      <c r="T2865" s="8">
        <f>IF(Table1[[#This Row],[pledged]]=0,"no backers",Table1[[#This Row],[pledged]]/Table1[[#This Row],[backers_count]])</f>
        <v>20</v>
      </c>
      <c r="U2865" t="str">
        <f>LEFT(Table1[[#This Row],[Category and Sub-Category]],FIND("/",Table1[[#This Row],[Category and Sub-Category]])-1)</f>
        <v>theater</v>
      </c>
      <c r="V2865" t="str">
        <f>RIGHT(Table1[[#This Row],[Category and Sub-Category]],LEN(Table1[[#This Row],[Category and Sub-Category]])-FIND("/",Table1[[#This Row],[Category and Sub-Category]]))</f>
        <v>plays</v>
      </c>
    </row>
    <row r="2866" spans="1:22" x14ac:dyDescent="0.3">
      <c r="A2866">
        <v>2864</v>
      </c>
      <c r="B2866" s="3" t="s">
        <v>2864</v>
      </c>
      <c r="C2866" s="3" t="s">
        <v>6974</v>
      </c>
      <c r="D2866" s="12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>((Table1[[#This Row],[deadline]]/60)/60/24)+DATE(1970,1,1)</f>
        <v>42202.554166666669</v>
      </c>
      <c r="K2866">
        <v>1434552207</v>
      </c>
      <c r="L2866" s="11">
        <f>((Table1[[#This Row],[launched_at]]/60)/60/24)+DATE(1970,1,1)</f>
        <v>42172.613506944443</v>
      </c>
      <c r="M2866">
        <f>MONTH(Table1[[#This Row],[Date Created Conversion]])</f>
        <v>6</v>
      </c>
      <c r="N2866">
        <f>YEAR(Table1[[#This Row],[Date Created Conversion]])</f>
        <v>2015</v>
      </c>
      <c r="O2866" t="b">
        <v>0</v>
      </c>
      <c r="P2866">
        <v>3</v>
      </c>
      <c r="Q2866" t="b">
        <v>0</v>
      </c>
      <c r="R2866" t="s">
        <v>8271</v>
      </c>
      <c r="S2866" s="6">
        <f>Table1[[#This Row],[pledged]]/Table1[[#This Row],[goal]]</f>
        <v>1.6E-2</v>
      </c>
      <c r="T2866" s="8">
        <f>IF(Table1[[#This Row],[pledged]]=0,"no backers",Table1[[#This Row],[pledged]]/Table1[[#This Row],[backers_count]])</f>
        <v>13.333333333333334</v>
      </c>
      <c r="U2866" t="str">
        <f>LEFT(Table1[[#This Row],[Category and Sub-Category]],FIND("/",Table1[[#This Row],[Category and Sub-Category]])-1)</f>
        <v>theater</v>
      </c>
      <c r="V2866" t="str">
        <f>RIGHT(Table1[[#This Row],[Category and Sub-Category]],LEN(Table1[[#This Row],[Category and Sub-Category]])-FIND("/",Table1[[#This Row],[Category and Sub-Category]]))</f>
        <v>plays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 s="12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>((Table1[[#This Row],[deadline]]/60)/60/24)+DATE(1970,1,1)</f>
        <v>42010.114108796297</v>
      </c>
      <c r="K2867">
        <v>1415328259</v>
      </c>
      <c r="L2867" s="11">
        <f>((Table1[[#This Row],[launched_at]]/60)/60/24)+DATE(1970,1,1)</f>
        <v>41950.114108796297</v>
      </c>
      <c r="M2867">
        <f>MONTH(Table1[[#This Row],[Date Created Conversion]])</f>
        <v>11</v>
      </c>
      <c r="N2867">
        <f>YEAR(Table1[[#This Row],[Date Created Conversion]])</f>
        <v>2014</v>
      </c>
      <c r="O2867" t="b">
        <v>0</v>
      </c>
      <c r="P2867">
        <v>0</v>
      </c>
      <c r="Q2867" t="b">
        <v>0</v>
      </c>
      <c r="R2867" t="s">
        <v>8271</v>
      </c>
      <c r="S2867" s="6">
        <f>Table1[[#This Row],[pledged]]/Table1[[#This Row],[goal]]</f>
        <v>0</v>
      </c>
      <c r="T2867" s="8" t="str">
        <f>IF(Table1[[#This Row],[pledged]]=0,"no backers",Table1[[#This Row],[pledged]]/Table1[[#This Row],[backers_count]])</f>
        <v>no backers</v>
      </c>
      <c r="U2867" t="str">
        <f>LEFT(Table1[[#This Row],[Category and Sub-Category]],FIND("/",Table1[[#This Row],[Category and Sub-Category]])-1)</f>
        <v>theater</v>
      </c>
      <c r="V2867" t="str">
        <f>RIGHT(Table1[[#This Row],[Category and Sub-Category]],LEN(Table1[[#This Row],[Category and Sub-Category]])-FIND("/",Table1[[#This Row],[Category and Sub-Category]]))</f>
        <v>plays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 s="12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>((Table1[[#This Row],[deadline]]/60)/60/24)+DATE(1970,1,1)</f>
        <v>42657.916666666672</v>
      </c>
      <c r="K2868">
        <v>1473893721</v>
      </c>
      <c r="L2868" s="11">
        <f>((Table1[[#This Row],[launched_at]]/60)/60/24)+DATE(1970,1,1)</f>
        <v>42627.955104166671</v>
      </c>
      <c r="M2868">
        <f>MONTH(Table1[[#This Row],[Date Created Conversion]])</f>
        <v>9</v>
      </c>
      <c r="N2868">
        <f>YEAR(Table1[[#This Row],[Date Created Conversion]])</f>
        <v>2016</v>
      </c>
      <c r="O2868" t="b">
        <v>0</v>
      </c>
      <c r="P2868">
        <v>2</v>
      </c>
      <c r="Q2868" t="b">
        <v>0</v>
      </c>
      <c r="R2868" t="s">
        <v>8271</v>
      </c>
      <c r="S2868" s="6">
        <f>Table1[[#This Row],[pledged]]/Table1[[#This Row],[goal]]</f>
        <v>8.9999999999999993E-3</v>
      </c>
      <c r="T2868" s="8">
        <f>IF(Table1[[#This Row],[pledged]]=0,"no backers",Table1[[#This Row],[pledged]]/Table1[[#This Row],[backers_count]])</f>
        <v>22.5</v>
      </c>
      <c r="U2868" t="str">
        <f>LEFT(Table1[[#This Row],[Category and Sub-Category]],FIND("/",Table1[[#This Row],[Category and Sub-Category]])-1)</f>
        <v>theater</v>
      </c>
      <c r="V2868" t="str">
        <f>RIGHT(Table1[[#This Row],[Category and Sub-Category]],LEN(Table1[[#This Row],[Category and Sub-Category]])-FIND("/",Table1[[#This Row],[Category and Sub-Category]]))</f>
        <v>plays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 s="12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>((Table1[[#This Row],[deadline]]/60)/60/24)+DATE(1970,1,1)</f>
        <v>42555.166666666672</v>
      </c>
      <c r="K2869">
        <v>1465533672</v>
      </c>
      <c r="L2869" s="11">
        <f>((Table1[[#This Row],[launched_at]]/60)/60/24)+DATE(1970,1,1)</f>
        <v>42531.195277777777</v>
      </c>
      <c r="M2869">
        <f>MONTH(Table1[[#This Row],[Date Created Conversion]])</f>
        <v>6</v>
      </c>
      <c r="N2869">
        <f>YEAR(Table1[[#This Row],[Date Created Conversion]])</f>
        <v>2016</v>
      </c>
      <c r="O2869" t="b">
        <v>0</v>
      </c>
      <c r="P2869">
        <v>10</v>
      </c>
      <c r="Q2869" t="b">
        <v>0</v>
      </c>
      <c r="R2869" t="s">
        <v>8271</v>
      </c>
      <c r="S2869" s="6">
        <f>Table1[[#This Row],[pledged]]/Table1[[#This Row],[goal]]</f>
        <v>0.2016</v>
      </c>
      <c r="T2869" s="8">
        <f>IF(Table1[[#This Row],[pledged]]=0,"no backers",Table1[[#This Row],[pledged]]/Table1[[#This Row],[backers_count]])</f>
        <v>50.4</v>
      </c>
      <c r="U2869" t="str">
        <f>LEFT(Table1[[#This Row],[Category and Sub-Category]],FIND("/",Table1[[#This Row],[Category and Sub-Category]])-1)</f>
        <v>theater</v>
      </c>
      <c r="V2869" t="str">
        <f>RIGHT(Table1[[#This Row],[Category and Sub-Category]],LEN(Table1[[#This Row],[Category and Sub-Category]])-FIND("/",Table1[[#This Row],[Category and Sub-Category]]))</f>
        <v>plays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 s="12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>((Table1[[#This Row],[deadline]]/60)/60/24)+DATE(1970,1,1)</f>
        <v>42648.827013888891</v>
      </c>
      <c r="K2870">
        <v>1473105054</v>
      </c>
      <c r="L2870" s="11">
        <f>((Table1[[#This Row],[launched_at]]/60)/60/24)+DATE(1970,1,1)</f>
        <v>42618.827013888891</v>
      </c>
      <c r="M2870">
        <f>MONTH(Table1[[#This Row],[Date Created Conversion]])</f>
        <v>9</v>
      </c>
      <c r="N2870">
        <f>YEAR(Table1[[#This Row],[Date Created Conversion]])</f>
        <v>2016</v>
      </c>
      <c r="O2870" t="b">
        <v>0</v>
      </c>
      <c r="P2870">
        <v>60</v>
      </c>
      <c r="Q2870" t="b">
        <v>0</v>
      </c>
      <c r="R2870" t="s">
        <v>8271</v>
      </c>
      <c r="S2870" s="6">
        <f>Table1[[#This Row],[pledged]]/Table1[[#This Row],[goal]]</f>
        <v>0.42011733333333334</v>
      </c>
      <c r="T2870" s="8">
        <f>IF(Table1[[#This Row],[pledged]]=0,"no backers",Table1[[#This Row],[pledged]]/Table1[[#This Row],[backers_count]])</f>
        <v>105.02933333333334</v>
      </c>
      <c r="U2870" t="str">
        <f>LEFT(Table1[[#This Row],[Category and Sub-Category]],FIND("/",Table1[[#This Row],[Category and Sub-Category]])-1)</f>
        <v>theater</v>
      </c>
      <c r="V2870" t="str">
        <f>RIGHT(Table1[[#This Row],[Category and Sub-Category]],LEN(Table1[[#This Row],[Category and Sub-Category]])-FIND("/",Table1[[#This Row],[Category and Sub-Category]]))</f>
        <v>plays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 s="12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>((Table1[[#This Row],[deadline]]/60)/60/24)+DATE(1970,1,1)</f>
        <v>42570.593530092592</v>
      </c>
      <c r="K2871">
        <v>1466345681</v>
      </c>
      <c r="L2871" s="11">
        <f>((Table1[[#This Row],[launched_at]]/60)/60/24)+DATE(1970,1,1)</f>
        <v>42540.593530092592</v>
      </c>
      <c r="M2871">
        <f>MONTH(Table1[[#This Row],[Date Created Conversion]])</f>
        <v>6</v>
      </c>
      <c r="N2871">
        <f>YEAR(Table1[[#This Row],[Date Created Conversion]])</f>
        <v>2016</v>
      </c>
      <c r="O2871" t="b">
        <v>0</v>
      </c>
      <c r="P2871">
        <v>5</v>
      </c>
      <c r="Q2871" t="b">
        <v>0</v>
      </c>
      <c r="R2871" t="s">
        <v>8271</v>
      </c>
      <c r="S2871" s="6">
        <f>Table1[[#This Row],[pledged]]/Table1[[#This Row],[goal]]</f>
        <v>8.8500000000000002E-3</v>
      </c>
      <c r="T2871" s="8">
        <f>IF(Table1[[#This Row],[pledged]]=0,"no backers",Table1[[#This Row],[pledged]]/Table1[[#This Row],[backers_count]])</f>
        <v>35.4</v>
      </c>
      <c r="U2871" t="str">
        <f>LEFT(Table1[[#This Row],[Category and Sub-Category]],FIND("/",Table1[[#This Row],[Category and Sub-Category]])-1)</f>
        <v>theater</v>
      </c>
      <c r="V2871" t="str">
        <f>RIGHT(Table1[[#This Row],[Category and Sub-Category]],LEN(Table1[[#This Row],[Category and Sub-Category]])-FIND("/",Table1[[#This Row],[Category and Sub-Category]]))</f>
        <v>plays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 s="1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>((Table1[[#This Row],[deadline]]/60)/60/24)+DATE(1970,1,1)</f>
        <v>41776.189409722225</v>
      </c>
      <c r="K2872">
        <v>1397709165</v>
      </c>
      <c r="L2872" s="11">
        <f>((Table1[[#This Row],[launched_at]]/60)/60/24)+DATE(1970,1,1)</f>
        <v>41746.189409722225</v>
      </c>
      <c r="M2872">
        <f>MONTH(Table1[[#This Row],[Date Created Conversion]])</f>
        <v>4</v>
      </c>
      <c r="N2872">
        <f>YEAR(Table1[[#This Row],[Date Created Conversion]])</f>
        <v>2014</v>
      </c>
      <c r="O2872" t="b">
        <v>0</v>
      </c>
      <c r="P2872">
        <v>9</v>
      </c>
      <c r="Q2872" t="b">
        <v>0</v>
      </c>
      <c r="R2872" t="s">
        <v>8271</v>
      </c>
      <c r="S2872" s="6">
        <f>Table1[[#This Row],[pledged]]/Table1[[#This Row],[goal]]</f>
        <v>0.15</v>
      </c>
      <c r="T2872" s="8">
        <f>IF(Table1[[#This Row],[pledged]]=0,"no backers",Table1[[#This Row],[pledged]]/Table1[[#This Row],[backers_count]])</f>
        <v>83.333333333333329</v>
      </c>
      <c r="U2872" t="str">
        <f>LEFT(Table1[[#This Row],[Category and Sub-Category]],FIND("/",Table1[[#This Row],[Category and Sub-Category]])-1)</f>
        <v>theater</v>
      </c>
      <c r="V2872" t="str">
        <f>RIGHT(Table1[[#This Row],[Category and Sub-Category]],LEN(Table1[[#This Row],[Category and Sub-Category]])-FIND("/",Table1[[#This Row],[Category and Sub-Category]]))</f>
        <v>plays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 s="12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>((Table1[[#This Row],[deadline]]/60)/60/24)+DATE(1970,1,1)</f>
        <v>41994.738576388889</v>
      </c>
      <c r="K2873">
        <v>1417455813</v>
      </c>
      <c r="L2873" s="11">
        <f>((Table1[[#This Row],[launched_at]]/60)/60/24)+DATE(1970,1,1)</f>
        <v>41974.738576388889</v>
      </c>
      <c r="M2873">
        <f>MONTH(Table1[[#This Row],[Date Created Conversion]])</f>
        <v>12</v>
      </c>
      <c r="N2873">
        <f>YEAR(Table1[[#This Row],[Date Created Conversion]])</f>
        <v>2014</v>
      </c>
      <c r="O2873" t="b">
        <v>0</v>
      </c>
      <c r="P2873">
        <v>13</v>
      </c>
      <c r="Q2873" t="b">
        <v>0</v>
      </c>
      <c r="R2873" t="s">
        <v>8271</v>
      </c>
      <c r="S2873" s="6">
        <f>Table1[[#This Row],[pledged]]/Table1[[#This Row],[goal]]</f>
        <v>4.6699999999999998E-2</v>
      </c>
      <c r="T2873" s="8">
        <f>IF(Table1[[#This Row],[pledged]]=0,"no backers",Table1[[#This Row],[pledged]]/Table1[[#This Row],[backers_count]])</f>
        <v>35.92307692307692</v>
      </c>
      <c r="U2873" t="str">
        <f>LEFT(Table1[[#This Row],[Category and Sub-Category]],FIND("/",Table1[[#This Row],[Category and Sub-Category]])-1)</f>
        <v>theater</v>
      </c>
      <c r="V2873" t="str">
        <f>RIGHT(Table1[[#This Row],[Category and Sub-Category]],LEN(Table1[[#This Row],[Category and Sub-Category]])-FIND("/",Table1[[#This Row],[Category and Sub-Category]]))</f>
        <v>plays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 s="12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>((Table1[[#This Row],[deadline]]/60)/60/24)+DATE(1970,1,1)</f>
        <v>42175.11618055556</v>
      </c>
      <c r="K2874">
        <v>1429584438</v>
      </c>
      <c r="L2874" s="11">
        <f>((Table1[[#This Row],[launched_at]]/60)/60/24)+DATE(1970,1,1)</f>
        <v>42115.11618055556</v>
      </c>
      <c r="M2874">
        <f>MONTH(Table1[[#This Row],[Date Created Conversion]])</f>
        <v>4</v>
      </c>
      <c r="N2874">
        <f>YEAR(Table1[[#This Row],[Date Created Conversion]])</f>
        <v>2015</v>
      </c>
      <c r="O2874" t="b">
        <v>0</v>
      </c>
      <c r="P2874">
        <v>0</v>
      </c>
      <c r="Q2874" t="b">
        <v>0</v>
      </c>
      <c r="R2874" t="s">
        <v>8271</v>
      </c>
      <c r="S2874" s="6">
        <f>Table1[[#This Row],[pledged]]/Table1[[#This Row],[goal]]</f>
        <v>0</v>
      </c>
      <c r="T2874" s="8" t="str">
        <f>IF(Table1[[#This Row],[pledged]]=0,"no backers",Table1[[#This Row],[pledged]]/Table1[[#This Row],[backers_count]])</f>
        <v>no backers</v>
      </c>
      <c r="U2874" t="str">
        <f>LEFT(Table1[[#This Row],[Category and Sub-Category]],FIND("/",Table1[[#This Row],[Category and Sub-Category]])-1)</f>
        <v>theater</v>
      </c>
      <c r="V2874" t="str">
        <f>RIGHT(Table1[[#This Row],[Category and Sub-Category]],LEN(Table1[[#This Row],[Category and Sub-Category]])-FIND("/",Table1[[#This Row],[Category and Sub-Category]]))</f>
        <v>plays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 s="12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>((Table1[[#This Row],[deadline]]/60)/60/24)+DATE(1970,1,1)</f>
        <v>42032.817488425921</v>
      </c>
      <c r="K2875">
        <v>1419881831</v>
      </c>
      <c r="L2875" s="11">
        <f>((Table1[[#This Row],[launched_at]]/60)/60/24)+DATE(1970,1,1)</f>
        <v>42002.817488425921</v>
      </c>
      <c r="M2875">
        <f>MONTH(Table1[[#This Row],[Date Created Conversion]])</f>
        <v>12</v>
      </c>
      <c r="N2875">
        <f>YEAR(Table1[[#This Row],[Date Created Conversion]])</f>
        <v>2014</v>
      </c>
      <c r="O2875" t="b">
        <v>0</v>
      </c>
      <c r="P2875">
        <v>8</v>
      </c>
      <c r="Q2875" t="b">
        <v>0</v>
      </c>
      <c r="R2875" t="s">
        <v>8271</v>
      </c>
      <c r="S2875" s="6">
        <f>Table1[[#This Row],[pledged]]/Table1[[#This Row],[goal]]</f>
        <v>0.38119999999999998</v>
      </c>
      <c r="T2875" s="8">
        <f>IF(Table1[[#This Row],[pledged]]=0,"no backers",Table1[[#This Row],[pledged]]/Table1[[#This Row],[backers_count]])</f>
        <v>119.125</v>
      </c>
      <c r="U2875" t="str">
        <f>LEFT(Table1[[#This Row],[Category and Sub-Category]],FIND("/",Table1[[#This Row],[Category and Sub-Category]])-1)</f>
        <v>theater</v>
      </c>
      <c r="V2875" t="str">
        <f>RIGHT(Table1[[#This Row],[Category and Sub-Category]],LEN(Table1[[#This Row],[Category and Sub-Category]])-FIND("/",Table1[[#This Row],[Category and Sub-Category]]))</f>
        <v>plays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 s="12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>((Table1[[#This Row],[deadline]]/60)/60/24)+DATE(1970,1,1)</f>
        <v>42752.84474537037</v>
      </c>
      <c r="K2876">
        <v>1482092186</v>
      </c>
      <c r="L2876" s="11">
        <f>((Table1[[#This Row],[launched_at]]/60)/60/24)+DATE(1970,1,1)</f>
        <v>42722.84474537037</v>
      </c>
      <c r="M2876">
        <f>MONTH(Table1[[#This Row],[Date Created Conversion]])</f>
        <v>12</v>
      </c>
      <c r="N2876">
        <f>YEAR(Table1[[#This Row],[Date Created Conversion]])</f>
        <v>2016</v>
      </c>
      <c r="O2876" t="b">
        <v>0</v>
      </c>
      <c r="P2876">
        <v>3</v>
      </c>
      <c r="Q2876" t="b">
        <v>0</v>
      </c>
      <c r="R2876" t="s">
        <v>8271</v>
      </c>
      <c r="S2876" s="6">
        <f>Table1[[#This Row],[pledged]]/Table1[[#This Row],[goal]]</f>
        <v>5.4199999999999998E-2</v>
      </c>
      <c r="T2876" s="8">
        <f>IF(Table1[[#This Row],[pledged]]=0,"no backers",Table1[[#This Row],[pledged]]/Table1[[#This Row],[backers_count]])</f>
        <v>90.333333333333329</v>
      </c>
      <c r="U2876" t="str">
        <f>LEFT(Table1[[#This Row],[Category and Sub-Category]],FIND("/",Table1[[#This Row],[Category and Sub-Category]])-1)</f>
        <v>theater</v>
      </c>
      <c r="V2876" t="str">
        <f>RIGHT(Table1[[#This Row],[Category and Sub-Category]],LEN(Table1[[#This Row],[Category and Sub-Category]])-FIND("/",Table1[[#This Row],[Category and Sub-Category]]))</f>
        <v>plays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 s="12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>((Table1[[#This Row],[deadline]]/60)/60/24)+DATE(1970,1,1)</f>
        <v>42495.128391203703</v>
      </c>
      <c r="K2877">
        <v>1459825493</v>
      </c>
      <c r="L2877" s="11">
        <f>((Table1[[#This Row],[launched_at]]/60)/60/24)+DATE(1970,1,1)</f>
        <v>42465.128391203703</v>
      </c>
      <c r="M2877">
        <f>MONTH(Table1[[#This Row],[Date Created Conversion]])</f>
        <v>4</v>
      </c>
      <c r="N2877">
        <f>YEAR(Table1[[#This Row],[Date Created Conversion]])</f>
        <v>2016</v>
      </c>
      <c r="O2877" t="b">
        <v>0</v>
      </c>
      <c r="P2877">
        <v>3</v>
      </c>
      <c r="Q2877" t="b">
        <v>0</v>
      </c>
      <c r="R2877" t="s">
        <v>8271</v>
      </c>
      <c r="S2877" s="6">
        <f>Table1[[#This Row],[pledged]]/Table1[[#This Row],[goal]]</f>
        <v>3.5E-4</v>
      </c>
      <c r="T2877" s="8">
        <f>IF(Table1[[#This Row],[pledged]]=0,"no backers",Table1[[#This Row],[pledged]]/Table1[[#This Row],[backers_count]])</f>
        <v>2.3333333333333335</v>
      </c>
      <c r="U2877" t="str">
        <f>LEFT(Table1[[#This Row],[Category and Sub-Category]],FIND("/",Table1[[#This Row],[Category and Sub-Category]])-1)</f>
        <v>theater</v>
      </c>
      <c r="V2877" t="str">
        <f>RIGHT(Table1[[#This Row],[Category and Sub-Category]],LEN(Table1[[#This Row],[Category and Sub-Category]])-FIND("/",Table1[[#This Row],[Category and Sub-Category]]))</f>
        <v>plays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 s="12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>((Table1[[#This Row],[deadline]]/60)/60/24)+DATE(1970,1,1)</f>
        <v>42201.743969907402</v>
      </c>
      <c r="K2878">
        <v>1434477079</v>
      </c>
      <c r="L2878" s="11">
        <f>((Table1[[#This Row],[launched_at]]/60)/60/24)+DATE(1970,1,1)</f>
        <v>42171.743969907402</v>
      </c>
      <c r="M2878">
        <f>MONTH(Table1[[#This Row],[Date Created Conversion]])</f>
        <v>6</v>
      </c>
      <c r="N2878">
        <f>YEAR(Table1[[#This Row],[Date Created Conversion]])</f>
        <v>2015</v>
      </c>
      <c r="O2878" t="b">
        <v>0</v>
      </c>
      <c r="P2878">
        <v>0</v>
      </c>
      <c r="Q2878" t="b">
        <v>0</v>
      </c>
      <c r="R2878" t="s">
        <v>8271</v>
      </c>
      <c r="S2878" s="6">
        <f>Table1[[#This Row],[pledged]]/Table1[[#This Row],[goal]]</f>
        <v>0</v>
      </c>
      <c r="T2878" s="8" t="str">
        <f>IF(Table1[[#This Row],[pledged]]=0,"no backers",Table1[[#This Row],[pledged]]/Table1[[#This Row],[backers_count]])</f>
        <v>no backers</v>
      </c>
      <c r="U2878" t="str">
        <f>LEFT(Table1[[#This Row],[Category and Sub-Category]],FIND("/",Table1[[#This Row],[Category and Sub-Category]])-1)</f>
        <v>theater</v>
      </c>
      <c r="V2878" t="str">
        <f>RIGHT(Table1[[#This Row],[Category and Sub-Category]],LEN(Table1[[#This Row],[Category and Sub-Category]])-FIND("/",Table1[[#This Row],[Category and Sub-Category]]))</f>
        <v>plays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 s="12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>((Table1[[#This Row],[deadline]]/60)/60/24)+DATE(1970,1,1)</f>
        <v>42704.708333333328</v>
      </c>
      <c r="K2879">
        <v>1477781724</v>
      </c>
      <c r="L2879" s="11">
        <f>((Table1[[#This Row],[launched_at]]/60)/60/24)+DATE(1970,1,1)</f>
        <v>42672.955138888887</v>
      </c>
      <c r="M2879">
        <f>MONTH(Table1[[#This Row],[Date Created Conversion]])</f>
        <v>10</v>
      </c>
      <c r="N2879">
        <f>YEAR(Table1[[#This Row],[Date Created Conversion]])</f>
        <v>2016</v>
      </c>
      <c r="O2879" t="b">
        <v>0</v>
      </c>
      <c r="P2879">
        <v>6</v>
      </c>
      <c r="Q2879" t="b">
        <v>0</v>
      </c>
      <c r="R2879" t="s">
        <v>8271</v>
      </c>
      <c r="S2879" s="6">
        <f>Table1[[#This Row],[pledged]]/Table1[[#This Row],[goal]]</f>
        <v>0.10833333333333334</v>
      </c>
      <c r="T2879" s="8">
        <f>IF(Table1[[#This Row],[pledged]]=0,"no backers",Table1[[#This Row],[pledged]]/Table1[[#This Row],[backers_count]])</f>
        <v>108.33333333333333</v>
      </c>
      <c r="U2879" t="str">
        <f>LEFT(Table1[[#This Row],[Category and Sub-Category]],FIND("/",Table1[[#This Row],[Category and Sub-Category]])-1)</f>
        <v>theater</v>
      </c>
      <c r="V2879" t="str">
        <f>RIGHT(Table1[[#This Row],[Category and Sub-Category]],LEN(Table1[[#This Row],[Category and Sub-Category]])-FIND("/",Table1[[#This Row],[Category and Sub-Category]]))</f>
        <v>plays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 s="12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>((Table1[[#This Row],[deadline]]/60)/60/24)+DATE(1970,1,1)</f>
        <v>42188.615682870368</v>
      </c>
      <c r="K2880">
        <v>1430750795</v>
      </c>
      <c r="L2880" s="11">
        <f>((Table1[[#This Row],[launched_at]]/60)/60/24)+DATE(1970,1,1)</f>
        <v>42128.615682870368</v>
      </c>
      <c r="M2880">
        <f>MONTH(Table1[[#This Row],[Date Created Conversion]])</f>
        <v>5</v>
      </c>
      <c r="N2880">
        <f>YEAR(Table1[[#This Row],[Date Created Conversion]])</f>
        <v>2015</v>
      </c>
      <c r="O2880" t="b">
        <v>0</v>
      </c>
      <c r="P2880">
        <v>4</v>
      </c>
      <c r="Q2880" t="b">
        <v>0</v>
      </c>
      <c r="R2880" t="s">
        <v>8271</v>
      </c>
      <c r="S2880" s="6">
        <f>Table1[[#This Row],[pledged]]/Table1[[#This Row],[goal]]</f>
        <v>2.1000000000000001E-2</v>
      </c>
      <c r="T2880" s="8">
        <f>IF(Table1[[#This Row],[pledged]]=0,"no backers",Table1[[#This Row],[pledged]]/Table1[[#This Row],[backers_count]])</f>
        <v>15.75</v>
      </c>
      <c r="U2880" t="str">
        <f>LEFT(Table1[[#This Row],[Category and Sub-Category]],FIND("/",Table1[[#This Row],[Category and Sub-Category]])-1)</f>
        <v>theater</v>
      </c>
      <c r="V2880" t="str">
        <f>RIGHT(Table1[[#This Row],[Category and Sub-Category]],LEN(Table1[[#This Row],[Category and Sub-Category]])-FIND("/",Table1[[#This Row],[Category and Sub-Category]]))</f>
        <v>plays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 s="12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>((Table1[[#This Row],[deadline]]/60)/60/24)+DATE(1970,1,1)</f>
        <v>42389.725243055553</v>
      </c>
      <c r="K2881">
        <v>1450718661</v>
      </c>
      <c r="L2881" s="11">
        <f>((Table1[[#This Row],[launched_at]]/60)/60/24)+DATE(1970,1,1)</f>
        <v>42359.725243055553</v>
      </c>
      <c r="M2881">
        <f>MONTH(Table1[[#This Row],[Date Created Conversion]])</f>
        <v>12</v>
      </c>
      <c r="N2881">
        <f>YEAR(Table1[[#This Row],[Date Created Conversion]])</f>
        <v>2015</v>
      </c>
      <c r="O2881" t="b">
        <v>0</v>
      </c>
      <c r="P2881">
        <v>1</v>
      </c>
      <c r="Q2881" t="b">
        <v>0</v>
      </c>
      <c r="R2881" t="s">
        <v>8271</v>
      </c>
      <c r="S2881" s="6">
        <f>Table1[[#This Row],[pledged]]/Table1[[#This Row],[goal]]</f>
        <v>2.5892857142857141E-3</v>
      </c>
      <c r="T2881" s="8">
        <f>IF(Table1[[#This Row],[pledged]]=0,"no backers",Table1[[#This Row],[pledged]]/Table1[[#This Row],[backers_count]])</f>
        <v>29</v>
      </c>
      <c r="U2881" t="str">
        <f>LEFT(Table1[[#This Row],[Category and Sub-Category]],FIND("/",Table1[[#This Row],[Category and Sub-Category]])-1)</f>
        <v>theater</v>
      </c>
      <c r="V2881" t="str">
        <f>RIGHT(Table1[[#This Row],[Category and Sub-Category]],LEN(Table1[[#This Row],[Category and Sub-Category]])-FIND("/",Table1[[#This Row],[Category and Sub-Category]]))</f>
        <v>plays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 s="1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>((Table1[[#This Row],[deadline]]/60)/60/24)+DATE(1970,1,1)</f>
        <v>42236.711805555555</v>
      </c>
      <c r="K2882">
        <v>1436305452</v>
      </c>
      <c r="L2882" s="11">
        <f>((Table1[[#This Row],[launched_at]]/60)/60/24)+DATE(1970,1,1)</f>
        <v>42192.905694444446</v>
      </c>
      <c r="M2882">
        <f>MONTH(Table1[[#This Row],[Date Created Conversion]])</f>
        <v>7</v>
      </c>
      <c r="N2882">
        <f>YEAR(Table1[[#This Row],[Date Created Conversion]])</f>
        <v>2015</v>
      </c>
      <c r="O2882" t="b">
        <v>0</v>
      </c>
      <c r="P2882">
        <v>29</v>
      </c>
      <c r="Q2882" t="b">
        <v>0</v>
      </c>
      <c r="R2882" t="s">
        <v>8271</v>
      </c>
      <c r="S2882" s="6">
        <f>Table1[[#This Row],[pledged]]/Table1[[#This Row],[goal]]</f>
        <v>0.23333333333333334</v>
      </c>
      <c r="T2882" s="8">
        <f>IF(Table1[[#This Row],[pledged]]=0,"no backers",Table1[[#This Row],[pledged]]/Table1[[#This Row],[backers_count]])</f>
        <v>96.551724137931032</v>
      </c>
      <c r="U2882" t="str">
        <f>LEFT(Table1[[#This Row],[Category and Sub-Category]],FIND("/",Table1[[#This Row],[Category and Sub-Category]])-1)</f>
        <v>theater</v>
      </c>
      <c r="V2882" t="str">
        <f>RIGHT(Table1[[#This Row],[Category and Sub-Category]],LEN(Table1[[#This Row],[Category and Sub-Category]])-FIND("/",Table1[[#This Row],[Category and Sub-Category]]))</f>
        <v>plays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 s="12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>((Table1[[#This Row],[deadline]]/60)/60/24)+DATE(1970,1,1)</f>
        <v>41976.639305555553</v>
      </c>
      <c r="K2883">
        <v>1412432436</v>
      </c>
      <c r="L2883" s="11">
        <f>((Table1[[#This Row],[launched_at]]/60)/60/24)+DATE(1970,1,1)</f>
        <v>41916.597638888888</v>
      </c>
      <c r="M2883">
        <f>MONTH(Table1[[#This Row],[Date Created Conversion]])</f>
        <v>10</v>
      </c>
      <c r="N2883">
        <f>YEAR(Table1[[#This Row],[Date Created Conversion]])</f>
        <v>2014</v>
      </c>
      <c r="O2883" t="b">
        <v>0</v>
      </c>
      <c r="P2883">
        <v>0</v>
      </c>
      <c r="Q2883" t="b">
        <v>0</v>
      </c>
      <c r="R2883" t="s">
        <v>8271</v>
      </c>
      <c r="S2883" s="6">
        <f>Table1[[#This Row],[pledged]]/Table1[[#This Row],[goal]]</f>
        <v>0</v>
      </c>
      <c r="T2883" s="8" t="str">
        <f>IF(Table1[[#This Row],[pledged]]=0,"no backers",Table1[[#This Row],[pledged]]/Table1[[#This Row],[backers_count]])</f>
        <v>no backers</v>
      </c>
      <c r="U2883" t="str">
        <f>LEFT(Table1[[#This Row],[Category and Sub-Category]],FIND("/",Table1[[#This Row],[Category and Sub-Category]])-1)</f>
        <v>theater</v>
      </c>
      <c r="V2883" t="str">
        <f>RIGHT(Table1[[#This Row],[Category and Sub-Category]],LEN(Table1[[#This Row],[Category and Sub-Category]])-FIND("/",Table1[[#This Row],[Category and Sub-Category]]))</f>
        <v>plays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 s="12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>((Table1[[#This Row],[deadline]]/60)/60/24)+DATE(1970,1,1)</f>
        <v>42491.596273148149</v>
      </c>
      <c r="K2884">
        <v>1459520318</v>
      </c>
      <c r="L2884" s="11">
        <f>((Table1[[#This Row],[launched_at]]/60)/60/24)+DATE(1970,1,1)</f>
        <v>42461.596273148149</v>
      </c>
      <c r="M2884">
        <f>MONTH(Table1[[#This Row],[Date Created Conversion]])</f>
        <v>4</v>
      </c>
      <c r="N2884">
        <f>YEAR(Table1[[#This Row],[Date Created Conversion]])</f>
        <v>2016</v>
      </c>
      <c r="O2884" t="b">
        <v>0</v>
      </c>
      <c r="P2884">
        <v>4</v>
      </c>
      <c r="Q2884" t="b">
        <v>0</v>
      </c>
      <c r="R2884" t="s">
        <v>8271</v>
      </c>
      <c r="S2884" s="6">
        <f>Table1[[#This Row],[pledged]]/Table1[[#This Row],[goal]]</f>
        <v>0.33600000000000002</v>
      </c>
      <c r="T2884" s="8">
        <f>IF(Table1[[#This Row],[pledged]]=0,"no backers",Table1[[#This Row],[pledged]]/Table1[[#This Row],[backers_count]])</f>
        <v>63</v>
      </c>
      <c r="U2884" t="str">
        <f>LEFT(Table1[[#This Row],[Category and Sub-Category]],FIND("/",Table1[[#This Row],[Category and Sub-Category]])-1)</f>
        <v>theater</v>
      </c>
      <c r="V2884" t="str">
        <f>RIGHT(Table1[[#This Row],[Category and Sub-Category]],LEN(Table1[[#This Row],[Category and Sub-Category]])-FIND("/",Table1[[#This Row],[Category and Sub-Category]]))</f>
        <v>plays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 s="12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>((Table1[[#This Row],[deadline]]/60)/60/24)+DATE(1970,1,1)</f>
        <v>42406.207638888889</v>
      </c>
      <c r="K2885">
        <v>1451684437</v>
      </c>
      <c r="L2885" s="11">
        <f>((Table1[[#This Row],[launched_at]]/60)/60/24)+DATE(1970,1,1)</f>
        <v>42370.90320601852</v>
      </c>
      <c r="M2885">
        <f>MONTH(Table1[[#This Row],[Date Created Conversion]])</f>
        <v>1</v>
      </c>
      <c r="N2885">
        <f>YEAR(Table1[[#This Row],[Date Created Conversion]])</f>
        <v>2016</v>
      </c>
      <c r="O2885" t="b">
        <v>0</v>
      </c>
      <c r="P2885">
        <v>5</v>
      </c>
      <c r="Q2885" t="b">
        <v>0</v>
      </c>
      <c r="R2885" t="s">
        <v>8271</v>
      </c>
      <c r="S2885" s="6">
        <f>Table1[[#This Row],[pledged]]/Table1[[#This Row],[goal]]</f>
        <v>0.1908</v>
      </c>
      <c r="T2885" s="8">
        <f>IF(Table1[[#This Row],[pledged]]=0,"no backers",Table1[[#This Row],[pledged]]/Table1[[#This Row],[backers_count]])</f>
        <v>381.6</v>
      </c>
      <c r="U2885" t="str">
        <f>LEFT(Table1[[#This Row],[Category and Sub-Category]],FIND("/",Table1[[#This Row],[Category and Sub-Category]])-1)</f>
        <v>theater</v>
      </c>
      <c r="V2885" t="str">
        <f>RIGHT(Table1[[#This Row],[Category and Sub-Category]],LEN(Table1[[#This Row],[Category and Sub-Category]])-FIND("/",Table1[[#This Row],[Category and Sub-Category]]))</f>
        <v>plays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 s="12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>((Table1[[#This Row],[deadline]]/60)/60/24)+DATE(1970,1,1)</f>
        <v>41978.727256944447</v>
      </c>
      <c r="K2886">
        <v>1415208435</v>
      </c>
      <c r="L2886" s="11">
        <f>((Table1[[#This Row],[launched_at]]/60)/60/24)+DATE(1970,1,1)</f>
        <v>41948.727256944447</v>
      </c>
      <c r="M2886">
        <f>MONTH(Table1[[#This Row],[Date Created Conversion]])</f>
        <v>11</v>
      </c>
      <c r="N2886">
        <f>YEAR(Table1[[#This Row],[Date Created Conversion]])</f>
        <v>2014</v>
      </c>
      <c r="O2886" t="b">
        <v>0</v>
      </c>
      <c r="P2886">
        <v>4</v>
      </c>
      <c r="Q2886" t="b">
        <v>0</v>
      </c>
      <c r="R2886" t="s">
        <v>8271</v>
      </c>
      <c r="S2886" s="6">
        <f>Table1[[#This Row],[pledged]]/Table1[[#This Row],[goal]]</f>
        <v>4.1111111111111114E-3</v>
      </c>
      <c r="T2886" s="8">
        <f>IF(Table1[[#This Row],[pledged]]=0,"no backers",Table1[[#This Row],[pledged]]/Table1[[#This Row],[backers_count]])</f>
        <v>46.25</v>
      </c>
      <c r="U2886" t="str">
        <f>LEFT(Table1[[#This Row],[Category and Sub-Category]],FIND("/",Table1[[#This Row],[Category and Sub-Category]])-1)</f>
        <v>theater</v>
      </c>
      <c r="V2886" t="str">
        <f>RIGHT(Table1[[#This Row],[Category and Sub-Category]],LEN(Table1[[#This Row],[Category and Sub-Category]])-FIND("/",Table1[[#This Row],[Category and Sub-Category]]))</f>
        <v>plays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 s="12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>((Table1[[#This Row],[deadline]]/60)/60/24)+DATE(1970,1,1)</f>
        <v>42077.034733796296</v>
      </c>
      <c r="K2887">
        <v>1423705801</v>
      </c>
      <c r="L2887" s="11">
        <f>((Table1[[#This Row],[launched_at]]/60)/60/24)+DATE(1970,1,1)</f>
        <v>42047.07640046296</v>
      </c>
      <c r="M2887">
        <f>MONTH(Table1[[#This Row],[Date Created Conversion]])</f>
        <v>2</v>
      </c>
      <c r="N2887">
        <f>YEAR(Table1[[#This Row],[Date Created Conversion]])</f>
        <v>2015</v>
      </c>
      <c r="O2887" t="b">
        <v>0</v>
      </c>
      <c r="P2887">
        <v>5</v>
      </c>
      <c r="Q2887" t="b">
        <v>0</v>
      </c>
      <c r="R2887" t="s">
        <v>8271</v>
      </c>
      <c r="S2887" s="6">
        <f>Table1[[#This Row],[pledged]]/Table1[[#This Row],[goal]]</f>
        <v>0.32500000000000001</v>
      </c>
      <c r="T2887" s="8">
        <f>IF(Table1[[#This Row],[pledged]]=0,"no backers",Table1[[#This Row],[pledged]]/Table1[[#This Row],[backers_count]])</f>
        <v>26</v>
      </c>
      <c r="U2887" t="str">
        <f>LEFT(Table1[[#This Row],[Category and Sub-Category]],FIND("/",Table1[[#This Row],[Category and Sub-Category]])-1)</f>
        <v>theater</v>
      </c>
      <c r="V2887" t="str">
        <f>RIGHT(Table1[[#This Row],[Category and Sub-Category]],LEN(Table1[[#This Row],[Category and Sub-Category]])-FIND("/",Table1[[#This Row],[Category and Sub-Category]]))</f>
        <v>plays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 s="12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>((Table1[[#This Row],[deadline]]/60)/60/24)+DATE(1970,1,1)</f>
        <v>42266.165972222225</v>
      </c>
      <c r="K2888">
        <v>1442243484</v>
      </c>
      <c r="L2888" s="11">
        <f>((Table1[[#This Row],[launched_at]]/60)/60/24)+DATE(1970,1,1)</f>
        <v>42261.632916666669</v>
      </c>
      <c r="M2888">
        <f>MONTH(Table1[[#This Row],[Date Created Conversion]])</f>
        <v>9</v>
      </c>
      <c r="N2888">
        <f>YEAR(Table1[[#This Row],[Date Created Conversion]])</f>
        <v>2015</v>
      </c>
      <c r="O2888" t="b">
        <v>0</v>
      </c>
      <c r="P2888">
        <v>1</v>
      </c>
      <c r="Q2888" t="b">
        <v>0</v>
      </c>
      <c r="R2888" t="s">
        <v>8271</v>
      </c>
      <c r="S2888" s="6">
        <f>Table1[[#This Row],[pledged]]/Table1[[#This Row],[goal]]</f>
        <v>0.05</v>
      </c>
      <c r="T2888" s="8">
        <f>IF(Table1[[#This Row],[pledged]]=0,"no backers",Table1[[#This Row],[pledged]]/Table1[[#This Row],[backers_count]])</f>
        <v>10</v>
      </c>
      <c r="U2888" t="str">
        <f>LEFT(Table1[[#This Row],[Category and Sub-Category]],FIND("/",Table1[[#This Row],[Category and Sub-Category]])-1)</f>
        <v>theater</v>
      </c>
      <c r="V2888" t="str">
        <f>RIGHT(Table1[[#This Row],[Category and Sub-Category]],LEN(Table1[[#This Row],[Category and Sub-Category]])-FIND("/",Table1[[#This Row],[Category and Sub-Category]]))</f>
        <v>plays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 s="12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>((Table1[[#This Row],[deadline]]/60)/60/24)+DATE(1970,1,1)</f>
        <v>42015.427361111113</v>
      </c>
      <c r="K2889">
        <v>1418379324</v>
      </c>
      <c r="L2889" s="11">
        <f>((Table1[[#This Row],[launched_at]]/60)/60/24)+DATE(1970,1,1)</f>
        <v>41985.427361111113</v>
      </c>
      <c r="M2889">
        <f>MONTH(Table1[[#This Row],[Date Created Conversion]])</f>
        <v>12</v>
      </c>
      <c r="N2889">
        <f>YEAR(Table1[[#This Row],[Date Created Conversion]])</f>
        <v>2014</v>
      </c>
      <c r="O2889" t="b">
        <v>0</v>
      </c>
      <c r="P2889">
        <v>1</v>
      </c>
      <c r="Q2889" t="b">
        <v>0</v>
      </c>
      <c r="R2889" t="s">
        <v>8271</v>
      </c>
      <c r="S2889" s="6">
        <f>Table1[[#This Row],[pledged]]/Table1[[#This Row],[goal]]</f>
        <v>1.6666666666666668E-3</v>
      </c>
      <c r="T2889" s="8">
        <f>IF(Table1[[#This Row],[pledged]]=0,"no backers",Table1[[#This Row],[pledged]]/Table1[[#This Row],[backers_count]])</f>
        <v>5</v>
      </c>
      <c r="U2889" t="str">
        <f>LEFT(Table1[[#This Row],[Category and Sub-Category]],FIND("/",Table1[[#This Row],[Category and Sub-Category]])-1)</f>
        <v>theater</v>
      </c>
      <c r="V2889" t="str">
        <f>RIGHT(Table1[[#This Row],[Category and Sub-Category]],LEN(Table1[[#This Row],[Category and Sub-Category]])-FIND("/",Table1[[#This Row],[Category and Sub-Category]]))</f>
        <v>plays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 s="12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>((Table1[[#This Row],[deadline]]/60)/60/24)+DATE(1970,1,1)</f>
        <v>41930.207638888889</v>
      </c>
      <c r="K2890">
        <v>1412945440</v>
      </c>
      <c r="L2890" s="11">
        <f>((Table1[[#This Row],[launched_at]]/60)/60/24)+DATE(1970,1,1)</f>
        <v>41922.535185185188</v>
      </c>
      <c r="M2890">
        <f>MONTH(Table1[[#This Row],[Date Created Conversion]])</f>
        <v>10</v>
      </c>
      <c r="N2890">
        <f>YEAR(Table1[[#This Row],[Date Created Conversion]])</f>
        <v>2014</v>
      </c>
      <c r="O2890" t="b">
        <v>0</v>
      </c>
      <c r="P2890">
        <v>0</v>
      </c>
      <c r="Q2890" t="b">
        <v>0</v>
      </c>
      <c r="R2890" t="s">
        <v>8271</v>
      </c>
      <c r="S2890" s="6">
        <f>Table1[[#This Row],[pledged]]/Table1[[#This Row],[goal]]</f>
        <v>0</v>
      </c>
      <c r="T2890" s="8" t="str">
        <f>IF(Table1[[#This Row],[pledged]]=0,"no backers",Table1[[#This Row],[pledged]]/Table1[[#This Row],[backers_count]])</f>
        <v>no backers</v>
      </c>
      <c r="U2890" t="str">
        <f>LEFT(Table1[[#This Row],[Category and Sub-Category]],FIND("/",Table1[[#This Row],[Category and Sub-Category]])-1)</f>
        <v>theater</v>
      </c>
      <c r="V2890" t="str">
        <f>RIGHT(Table1[[#This Row],[Category and Sub-Category]],LEN(Table1[[#This Row],[Category and Sub-Category]])-FIND("/",Table1[[#This Row],[Category and Sub-Category]]))</f>
        <v>plays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 s="12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>((Table1[[#This Row],[deadline]]/60)/60/24)+DATE(1970,1,1)</f>
        <v>41880.863252314812</v>
      </c>
      <c r="K2891">
        <v>1406752985</v>
      </c>
      <c r="L2891" s="11">
        <f>((Table1[[#This Row],[launched_at]]/60)/60/24)+DATE(1970,1,1)</f>
        <v>41850.863252314812</v>
      </c>
      <c r="M2891">
        <f>MONTH(Table1[[#This Row],[Date Created Conversion]])</f>
        <v>7</v>
      </c>
      <c r="N2891">
        <f>YEAR(Table1[[#This Row],[Date Created Conversion]])</f>
        <v>2014</v>
      </c>
      <c r="O2891" t="b">
        <v>0</v>
      </c>
      <c r="P2891">
        <v>14</v>
      </c>
      <c r="Q2891" t="b">
        <v>0</v>
      </c>
      <c r="R2891" t="s">
        <v>8271</v>
      </c>
      <c r="S2891" s="6">
        <f>Table1[[#This Row],[pledged]]/Table1[[#This Row],[goal]]</f>
        <v>0.38066666666666665</v>
      </c>
      <c r="T2891" s="8">
        <f>IF(Table1[[#This Row],[pledged]]=0,"no backers",Table1[[#This Row],[pledged]]/Table1[[#This Row],[backers_count]])</f>
        <v>81.571428571428569</v>
      </c>
      <c r="U2891" t="str">
        <f>LEFT(Table1[[#This Row],[Category and Sub-Category]],FIND("/",Table1[[#This Row],[Category and Sub-Category]])-1)</f>
        <v>theater</v>
      </c>
      <c r="V2891" t="str">
        <f>RIGHT(Table1[[#This Row],[Category and Sub-Category]],LEN(Table1[[#This Row],[Category and Sub-Category]])-FIND("/",Table1[[#This Row],[Category and Sub-Category]]))</f>
        <v>plays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 s="1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>((Table1[[#This Row],[deadline]]/60)/60/24)+DATE(1970,1,1)</f>
        <v>41860.125</v>
      </c>
      <c r="K2892">
        <v>1405100992</v>
      </c>
      <c r="L2892" s="11">
        <f>((Table1[[#This Row],[launched_at]]/60)/60/24)+DATE(1970,1,1)</f>
        <v>41831.742962962962</v>
      </c>
      <c r="M2892">
        <f>MONTH(Table1[[#This Row],[Date Created Conversion]])</f>
        <v>7</v>
      </c>
      <c r="N2892">
        <f>YEAR(Table1[[#This Row],[Date Created Conversion]])</f>
        <v>2014</v>
      </c>
      <c r="O2892" t="b">
        <v>0</v>
      </c>
      <c r="P2892">
        <v>3</v>
      </c>
      <c r="Q2892" t="b">
        <v>0</v>
      </c>
      <c r="R2892" t="s">
        <v>8271</v>
      </c>
      <c r="S2892" s="6">
        <f>Table1[[#This Row],[pledged]]/Table1[[#This Row],[goal]]</f>
        <v>1.0500000000000001E-2</v>
      </c>
      <c r="T2892" s="8">
        <f>IF(Table1[[#This Row],[pledged]]=0,"no backers",Table1[[#This Row],[pledged]]/Table1[[#This Row],[backers_count]])</f>
        <v>7</v>
      </c>
      <c r="U2892" t="str">
        <f>LEFT(Table1[[#This Row],[Category and Sub-Category]],FIND("/",Table1[[#This Row],[Category and Sub-Category]])-1)</f>
        <v>theater</v>
      </c>
      <c r="V2892" t="str">
        <f>RIGHT(Table1[[#This Row],[Category and Sub-Category]],LEN(Table1[[#This Row],[Category and Sub-Category]])-FIND("/",Table1[[#This Row],[Category and Sub-Category]]))</f>
        <v>plays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 s="12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>((Table1[[#This Row],[deadline]]/60)/60/24)+DATE(1970,1,1)</f>
        <v>42475.84175925926</v>
      </c>
      <c r="K2893">
        <v>1455570728</v>
      </c>
      <c r="L2893" s="11">
        <f>((Table1[[#This Row],[launched_at]]/60)/60/24)+DATE(1970,1,1)</f>
        <v>42415.883425925931</v>
      </c>
      <c r="M2893">
        <f>MONTH(Table1[[#This Row],[Date Created Conversion]])</f>
        <v>2</v>
      </c>
      <c r="N2893">
        <f>YEAR(Table1[[#This Row],[Date Created Conversion]])</f>
        <v>2016</v>
      </c>
      <c r="O2893" t="b">
        <v>0</v>
      </c>
      <c r="P2893">
        <v>10</v>
      </c>
      <c r="Q2893" t="b">
        <v>0</v>
      </c>
      <c r="R2893" t="s">
        <v>8271</v>
      </c>
      <c r="S2893" s="6">
        <f>Table1[[#This Row],[pledged]]/Table1[[#This Row],[goal]]</f>
        <v>2.7300000000000001E-2</v>
      </c>
      <c r="T2893" s="8">
        <f>IF(Table1[[#This Row],[pledged]]=0,"no backers",Table1[[#This Row],[pledged]]/Table1[[#This Row],[backers_count]])</f>
        <v>27.3</v>
      </c>
      <c r="U2893" t="str">
        <f>LEFT(Table1[[#This Row],[Category and Sub-Category]],FIND("/",Table1[[#This Row],[Category and Sub-Category]])-1)</f>
        <v>theater</v>
      </c>
      <c r="V2893" t="str">
        <f>RIGHT(Table1[[#This Row],[Category and Sub-Category]],LEN(Table1[[#This Row],[Category and Sub-Category]])-FIND("/",Table1[[#This Row],[Category and Sub-Category]]))</f>
        <v>plays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 s="12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>((Table1[[#This Row],[deadline]]/60)/60/24)+DATE(1970,1,1)</f>
        <v>41876.875</v>
      </c>
      <c r="K2894">
        <v>1408381704</v>
      </c>
      <c r="L2894" s="11">
        <f>((Table1[[#This Row],[launched_at]]/60)/60/24)+DATE(1970,1,1)</f>
        <v>41869.714166666665</v>
      </c>
      <c r="M2894">
        <f>MONTH(Table1[[#This Row],[Date Created Conversion]])</f>
        <v>8</v>
      </c>
      <c r="N2894">
        <f>YEAR(Table1[[#This Row],[Date Created Conversion]])</f>
        <v>2014</v>
      </c>
      <c r="O2894" t="b">
        <v>0</v>
      </c>
      <c r="P2894">
        <v>17</v>
      </c>
      <c r="Q2894" t="b">
        <v>0</v>
      </c>
      <c r="R2894" t="s">
        <v>8271</v>
      </c>
      <c r="S2894" s="6">
        <f>Table1[[#This Row],[pledged]]/Table1[[#This Row],[goal]]</f>
        <v>9.0909090909090912E-2</v>
      </c>
      <c r="T2894" s="8">
        <f>IF(Table1[[#This Row],[pledged]]=0,"no backers",Table1[[#This Row],[pledged]]/Table1[[#This Row],[backers_count]])</f>
        <v>29.411764705882351</v>
      </c>
      <c r="U2894" t="str">
        <f>LEFT(Table1[[#This Row],[Category and Sub-Category]],FIND("/",Table1[[#This Row],[Category and Sub-Category]])-1)</f>
        <v>theater</v>
      </c>
      <c r="V2894" t="str">
        <f>RIGHT(Table1[[#This Row],[Category and Sub-Category]],LEN(Table1[[#This Row],[Category and Sub-Category]])-FIND("/",Table1[[#This Row],[Category and Sub-Category]]))</f>
        <v>plays</v>
      </c>
    </row>
    <row r="2895" spans="1:22" x14ac:dyDescent="0.3">
      <c r="A2895">
        <v>2893</v>
      </c>
      <c r="B2895" s="3" t="s">
        <v>2893</v>
      </c>
      <c r="C2895" s="3" t="s">
        <v>7003</v>
      </c>
      <c r="D2895" s="12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>((Table1[[#This Row],[deadline]]/60)/60/24)+DATE(1970,1,1)</f>
        <v>42013.083333333328</v>
      </c>
      <c r="K2895">
        <v>1415644395</v>
      </c>
      <c r="L2895" s="11">
        <f>((Table1[[#This Row],[launched_at]]/60)/60/24)+DATE(1970,1,1)</f>
        <v>41953.773090277777</v>
      </c>
      <c r="M2895">
        <f>MONTH(Table1[[#This Row],[Date Created Conversion]])</f>
        <v>11</v>
      </c>
      <c r="N2895">
        <f>YEAR(Table1[[#This Row],[Date Created Conversion]])</f>
        <v>2014</v>
      </c>
      <c r="O2895" t="b">
        <v>0</v>
      </c>
      <c r="P2895">
        <v>2</v>
      </c>
      <c r="Q2895" t="b">
        <v>0</v>
      </c>
      <c r="R2895" t="s">
        <v>8271</v>
      </c>
      <c r="S2895" s="6">
        <f>Table1[[#This Row],[pledged]]/Table1[[#This Row],[goal]]</f>
        <v>5.0000000000000001E-3</v>
      </c>
      <c r="T2895" s="8">
        <f>IF(Table1[[#This Row],[pledged]]=0,"no backers",Table1[[#This Row],[pledged]]/Table1[[#This Row],[backers_count]])</f>
        <v>12.5</v>
      </c>
      <c r="U2895" t="str">
        <f>LEFT(Table1[[#This Row],[Category and Sub-Category]],FIND("/",Table1[[#This Row],[Category and Sub-Category]])-1)</f>
        <v>theater</v>
      </c>
      <c r="V2895" t="str">
        <f>RIGHT(Table1[[#This Row],[Category and Sub-Category]],LEN(Table1[[#This Row],[Category and Sub-Category]])-FIND("/",Table1[[#This Row],[Category and Sub-Category]]))</f>
        <v>plays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 s="12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>((Table1[[#This Row],[deadline]]/60)/60/24)+DATE(1970,1,1)</f>
        <v>42097.944618055553</v>
      </c>
      <c r="K2896">
        <v>1422920415</v>
      </c>
      <c r="L2896" s="11">
        <f>((Table1[[#This Row],[launched_at]]/60)/60/24)+DATE(1970,1,1)</f>
        <v>42037.986284722225</v>
      </c>
      <c r="M2896">
        <f>MONTH(Table1[[#This Row],[Date Created Conversion]])</f>
        <v>2</v>
      </c>
      <c r="N2896">
        <f>YEAR(Table1[[#This Row],[Date Created Conversion]])</f>
        <v>2015</v>
      </c>
      <c r="O2896" t="b">
        <v>0</v>
      </c>
      <c r="P2896">
        <v>0</v>
      </c>
      <c r="Q2896" t="b">
        <v>0</v>
      </c>
      <c r="R2896" t="s">
        <v>8271</v>
      </c>
      <c r="S2896" s="6">
        <f>Table1[[#This Row],[pledged]]/Table1[[#This Row],[goal]]</f>
        <v>0</v>
      </c>
      <c r="T2896" s="8" t="str">
        <f>IF(Table1[[#This Row],[pledged]]=0,"no backers",Table1[[#This Row],[pledged]]/Table1[[#This Row],[backers_count]])</f>
        <v>no backers</v>
      </c>
      <c r="U2896" t="str">
        <f>LEFT(Table1[[#This Row],[Category and Sub-Category]],FIND("/",Table1[[#This Row],[Category and Sub-Category]])-1)</f>
        <v>theater</v>
      </c>
      <c r="V2896" t="str">
        <f>RIGHT(Table1[[#This Row],[Category and Sub-Category]],LEN(Table1[[#This Row],[Category and Sub-Category]])-FIND("/",Table1[[#This Row],[Category and Sub-Category]]))</f>
        <v>plays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 s="12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>((Table1[[#This Row],[deadline]]/60)/60/24)+DATE(1970,1,1)</f>
        <v>41812.875</v>
      </c>
      <c r="K2897">
        <v>1403356792</v>
      </c>
      <c r="L2897" s="11">
        <f>((Table1[[#This Row],[launched_at]]/60)/60/24)+DATE(1970,1,1)</f>
        <v>41811.555462962962</v>
      </c>
      <c r="M2897">
        <f>MONTH(Table1[[#This Row],[Date Created Conversion]])</f>
        <v>6</v>
      </c>
      <c r="N2897">
        <f>YEAR(Table1[[#This Row],[Date Created Conversion]])</f>
        <v>2014</v>
      </c>
      <c r="O2897" t="b">
        <v>0</v>
      </c>
      <c r="P2897">
        <v>4</v>
      </c>
      <c r="Q2897" t="b">
        <v>0</v>
      </c>
      <c r="R2897" t="s">
        <v>8271</v>
      </c>
      <c r="S2897" s="6">
        <f>Table1[[#This Row],[pledged]]/Table1[[#This Row],[goal]]</f>
        <v>4.5999999999999999E-2</v>
      </c>
      <c r="T2897" s="8">
        <f>IF(Table1[[#This Row],[pledged]]=0,"no backers",Table1[[#This Row],[pledged]]/Table1[[#This Row],[backers_count]])</f>
        <v>5.75</v>
      </c>
      <c r="U2897" t="str">
        <f>LEFT(Table1[[#This Row],[Category and Sub-Category]],FIND("/",Table1[[#This Row],[Category and Sub-Category]])-1)</f>
        <v>theater</v>
      </c>
      <c r="V2897" t="str">
        <f>RIGHT(Table1[[#This Row],[Category and Sub-Category]],LEN(Table1[[#This Row],[Category and Sub-Category]])-FIND("/",Table1[[#This Row],[Category and Sub-Category]]))</f>
        <v>plays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 s="12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>((Table1[[#This Row],[deadline]]/60)/60/24)+DATE(1970,1,1)</f>
        <v>42716.25</v>
      </c>
      <c r="K2898">
        <v>1480283321</v>
      </c>
      <c r="L2898" s="11">
        <f>((Table1[[#This Row],[launched_at]]/60)/60/24)+DATE(1970,1,1)</f>
        <v>42701.908807870372</v>
      </c>
      <c r="M2898">
        <f>MONTH(Table1[[#This Row],[Date Created Conversion]])</f>
        <v>11</v>
      </c>
      <c r="N2898">
        <f>YEAR(Table1[[#This Row],[Date Created Conversion]])</f>
        <v>2016</v>
      </c>
      <c r="O2898" t="b">
        <v>0</v>
      </c>
      <c r="P2898">
        <v>12</v>
      </c>
      <c r="Q2898" t="b">
        <v>0</v>
      </c>
      <c r="R2898" t="s">
        <v>8271</v>
      </c>
      <c r="S2898" s="6">
        <f>Table1[[#This Row],[pledged]]/Table1[[#This Row],[goal]]</f>
        <v>0.20833333333333334</v>
      </c>
      <c r="T2898" s="8">
        <f>IF(Table1[[#This Row],[pledged]]=0,"no backers",Table1[[#This Row],[pledged]]/Table1[[#This Row],[backers_count]])</f>
        <v>52.083333333333336</v>
      </c>
      <c r="U2898" t="str">
        <f>LEFT(Table1[[#This Row],[Category and Sub-Category]],FIND("/",Table1[[#This Row],[Category and Sub-Category]])-1)</f>
        <v>theater</v>
      </c>
      <c r="V2898" t="str">
        <f>RIGHT(Table1[[#This Row],[Category and Sub-Category]],LEN(Table1[[#This Row],[Category and Sub-Category]])-FIND("/",Table1[[#This Row],[Category and Sub-Category]]))</f>
        <v>plays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 s="12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>((Table1[[#This Row],[deadline]]/60)/60/24)+DATE(1970,1,1)</f>
        <v>42288.645196759258</v>
      </c>
      <c r="K2899">
        <v>1441985458</v>
      </c>
      <c r="L2899" s="11">
        <f>((Table1[[#This Row],[launched_at]]/60)/60/24)+DATE(1970,1,1)</f>
        <v>42258.646504629629</v>
      </c>
      <c r="M2899">
        <f>MONTH(Table1[[#This Row],[Date Created Conversion]])</f>
        <v>9</v>
      </c>
      <c r="N2899">
        <f>YEAR(Table1[[#This Row],[Date Created Conversion]])</f>
        <v>2015</v>
      </c>
      <c r="O2899" t="b">
        <v>0</v>
      </c>
      <c r="P2899">
        <v>3</v>
      </c>
      <c r="Q2899" t="b">
        <v>0</v>
      </c>
      <c r="R2899" t="s">
        <v>8271</v>
      </c>
      <c r="S2899" s="6">
        <f>Table1[[#This Row],[pledged]]/Table1[[#This Row],[goal]]</f>
        <v>4.583333333333333E-2</v>
      </c>
      <c r="T2899" s="8">
        <f>IF(Table1[[#This Row],[pledged]]=0,"no backers",Table1[[#This Row],[pledged]]/Table1[[#This Row],[backers_count]])</f>
        <v>183.33333333333334</v>
      </c>
      <c r="U2899" t="str">
        <f>LEFT(Table1[[#This Row],[Category and Sub-Category]],FIND("/",Table1[[#This Row],[Category and Sub-Category]])-1)</f>
        <v>theater</v>
      </c>
      <c r="V2899" t="str">
        <f>RIGHT(Table1[[#This Row],[Category and Sub-Category]],LEN(Table1[[#This Row],[Category and Sub-Category]])-FIND("/",Table1[[#This Row],[Category and Sub-Category]]))</f>
        <v>plays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 s="12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>((Table1[[#This Row],[deadline]]/60)/60/24)+DATE(1970,1,1)</f>
        <v>42308.664965277778</v>
      </c>
      <c r="K2900">
        <v>1443715053</v>
      </c>
      <c r="L2900" s="11">
        <f>((Table1[[#This Row],[launched_at]]/60)/60/24)+DATE(1970,1,1)</f>
        <v>42278.664965277778</v>
      </c>
      <c r="M2900">
        <f>MONTH(Table1[[#This Row],[Date Created Conversion]])</f>
        <v>10</v>
      </c>
      <c r="N2900">
        <f>YEAR(Table1[[#This Row],[Date Created Conversion]])</f>
        <v>2015</v>
      </c>
      <c r="O2900" t="b">
        <v>0</v>
      </c>
      <c r="P2900">
        <v>12</v>
      </c>
      <c r="Q2900" t="b">
        <v>0</v>
      </c>
      <c r="R2900" t="s">
        <v>8271</v>
      </c>
      <c r="S2900" s="6">
        <f>Table1[[#This Row],[pledged]]/Table1[[#This Row],[goal]]</f>
        <v>4.2133333333333335E-2</v>
      </c>
      <c r="T2900" s="8">
        <f>IF(Table1[[#This Row],[pledged]]=0,"no backers",Table1[[#This Row],[pledged]]/Table1[[#This Row],[backers_count]])</f>
        <v>26.333333333333332</v>
      </c>
      <c r="U2900" t="str">
        <f>LEFT(Table1[[#This Row],[Category and Sub-Category]],FIND("/",Table1[[#This Row],[Category and Sub-Category]])-1)</f>
        <v>theater</v>
      </c>
      <c r="V2900" t="str">
        <f>RIGHT(Table1[[#This Row],[Category and Sub-Category]],LEN(Table1[[#This Row],[Category and Sub-Category]])-FIND("/",Table1[[#This Row],[Category and Sub-Category]]))</f>
        <v>plays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 s="12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>((Table1[[#This Row],[deadline]]/60)/60/24)+DATE(1970,1,1)</f>
        <v>42575.078217592592</v>
      </c>
      <c r="K2901">
        <v>1464141158</v>
      </c>
      <c r="L2901" s="11">
        <f>((Table1[[#This Row],[launched_at]]/60)/60/24)+DATE(1970,1,1)</f>
        <v>42515.078217592592</v>
      </c>
      <c r="M2901">
        <f>MONTH(Table1[[#This Row],[Date Created Conversion]])</f>
        <v>5</v>
      </c>
      <c r="N2901">
        <f>YEAR(Table1[[#This Row],[Date Created Conversion]])</f>
        <v>2016</v>
      </c>
      <c r="O2901" t="b">
        <v>0</v>
      </c>
      <c r="P2901">
        <v>0</v>
      </c>
      <c r="Q2901" t="b">
        <v>0</v>
      </c>
      <c r="R2901" t="s">
        <v>8271</v>
      </c>
      <c r="S2901" s="6">
        <f>Table1[[#This Row],[pledged]]/Table1[[#This Row],[goal]]</f>
        <v>0</v>
      </c>
      <c r="T2901" s="8" t="str">
        <f>IF(Table1[[#This Row],[pledged]]=0,"no backers",Table1[[#This Row],[pledged]]/Table1[[#This Row],[backers_count]])</f>
        <v>no backers</v>
      </c>
      <c r="U2901" t="str">
        <f>LEFT(Table1[[#This Row],[Category and Sub-Category]],FIND("/",Table1[[#This Row],[Category and Sub-Category]])-1)</f>
        <v>theater</v>
      </c>
      <c r="V2901" t="str">
        <f>RIGHT(Table1[[#This Row],[Category and Sub-Category]],LEN(Table1[[#This Row],[Category and Sub-Category]])-FIND("/",Table1[[#This Row],[Category and Sub-Category]]))</f>
        <v>plays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 s="1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>((Table1[[#This Row],[deadline]]/60)/60/24)+DATE(1970,1,1)</f>
        <v>41860.234166666669</v>
      </c>
      <c r="K2902">
        <v>1404970632</v>
      </c>
      <c r="L2902" s="11">
        <f>((Table1[[#This Row],[launched_at]]/60)/60/24)+DATE(1970,1,1)</f>
        <v>41830.234166666669</v>
      </c>
      <c r="M2902">
        <f>MONTH(Table1[[#This Row],[Date Created Conversion]])</f>
        <v>7</v>
      </c>
      <c r="N2902">
        <f>YEAR(Table1[[#This Row],[Date Created Conversion]])</f>
        <v>2014</v>
      </c>
      <c r="O2902" t="b">
        <v>0</v>
      </c>
      <c r="P2902">
        <v>7</v>
      </c>
      <c r="Q2902" t="b">
        <v>0</v>
      </c>
      <c r="R2902" t="s">
        <v>8271</v>
      </c>
      <c r="S2902" s="6">
        <f>Table1[[#This Row],[pledged]]/Table1[[#This Row],[goal]]</f>
        <v>0.61909090909090914</v>
      </c>
      <c r="T2902" s="8">
        <f>IF(Table1[[#This Row],[pledged]]=0,"no backers",Table1[[#This Row],[pledged]]/Table1[[#This Row],[backers_count]])</f>
        <v>486.42857142857144</v>
      </c>
      <c r="U2902" t="str">
        <f>LEFT(Table1[[#This Row],[Category and Sub-Category]],FIND("/",Table1[[#This Row],[Category and Sub-Category]])-1)</f>
        <v>theater</v>
      </c>
      <c r="V2902" t="str">
        <f>RIGHT(Table1[[#This Row],[Category and Sub-Category]],LEN(Table1[[#This Row],[Category and Sub-Category]])-FIND("/",Table1[[#This Row],[Category and Sub-Category]]))</f>
        <v>plays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 s="12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>((Table1[[#This Row],[deadline]]/60)/60/24)+DATE(1970,1,1)</f>
        <v>42042.904386574075</v>
      </c>
      <c r="K2903">
        <v>1418161339</v>
      </c>
      <c r="L2903" s="11">
        <f>((Table1[[#This Row],[launched_at]]/60)/60/24)+DATE(1970,1,1)</f>
        <v>41982.904386574075</v>
      </c>
      <c r="M2903">
        <f>MONTH(Table1[[#This Row],[Date Created Conversion]])</f>
        <v>12</v>
      </c>
      <c r="N2903">
        <f>YEAR(Table1[[#This Row],[Date Created Conversion]])</f>
        <v>2014</v>
      </c>
      <c r="O2903" t="b">
        <v>0</v>
      </c>
      <c r="P2903">
        <v>2</v>
      </c>
      <c r="Q2903" t="b">
        <v>0</v>
      </c>
      <c r="R2903" t="s">
        <v>8271</v>
      </c>
      <c r="S2903" s="6">
        <f>Table1[[#This Row],[pledged]]/Table1[[#This Row],[goal]]</f>
        <v>8.0000000000000002E-3</v>
      </c>
      <c r="T2903" s="8">
        <f>IF(Table1[[#This Row],[pledged]]=0,"no backers",Table1[[#This Row],[pledged]]/Table1[[#This Row],[backers_count]])</f>
        <v>3</v>
      </c>
      <c r="U2903" t="str">
        <f>LEFT(Table1[[#This Row],[Category and Sub-Category]],FIND("/",Table1[[#This Row],[Category and Sub-Category]])-1)</f>
        <v>theater</v>
      </c>
      <c r="V2903" t="str">
        <f>RIGHT(Table1[[#This Row],[Category and Sub-Category]],LEN(Table1[[#This Row],[Category and Sub-Category]])-FIND("/",Table1[[#This Row],[Category and Sub-Category]]))</f>
        <v>plays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 s="12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>((Table1[[#This Row],[deadline]]/60)/60/24)+DATE(1970,1,1)</f>
        <v>42240.439768518518</v>
      </c>
      <c r="K2904">
        <v>1437820396</v>
      </c>
      <c r="L2904" s="11">
        <f>((Table1[[#This Row],[launched_at]]/60)/60/24)+DATE(1970,1,1)</f>
        <v>42210.439768518518</v>
      </c>
      <c r="M2904">
        <f>MONTH(Table1[[#This Row],[Date Created Conversion]])</f>
        <v>7</v>
      </c>
      <c r="N2904">
        <f>YEAR(Table1[[#This Row],[Date Created Conversion]])</f>
        <v>2015</v>
      </c>
      <c r="O2904" t="b">
        <v>0</v>
      </c>
      <c r="P2904">
        <v>1</v>
      </c>
      <c r="Q2904" t="b">
        <v>0</v>
      </c>
      <c r="R2904" t="s">
        <v>8271</v>
      </c>
      <c r="S2904" s="6">
        <f>Table1[[#This Row],[pledged]]/Table1[[#This Row],[goal]]</f>
        <v>1.6666666666666666E-4</v>
      </c>
      <c r="T2904" s="8">
        <f>IF(Table1[[#This Row],[pledged]]=0,"no backers",Table1[[#This Row],[pledged]]/Table1[[#This Row],[backers_count]])</f>
        <v>25</v>
      </c>
      <c r="U2904" t="str">
        <f>LEFT(Table1[[#This Row],[Category and Sub-Category]],FIND("/",Table1[[#This Row],[Category and Sub-Category]])-1)</f>
        <v>theater</v>
      </c>
      <c r="V2904" t="str">
        <f>RIGHT(Table1[[#This Row],[Category and Sub-Category]],LEN(Table1[[#This Row],[Category and Sub-Category]])-FIND("/",Table1[[#This Row],[Category and Sub-Category]]))</f>
        <v>plays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 s="12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>((Table1[[#This Row],[deadline]]/60)/60/24)+DATE(1970,1,1)</f>
        <v>42256.166874999995</v>
      </c>
      <c r="K2905">
        <v>1436587218</v>
      </c>
      <c r="L2905" s="11">
        <f>((Table1[[#This Row],[launched_at]]/60)/60/24)+DATE(1970,1,1)</f>
        <v>42196.166874999995</v>
      </c>
      <c r="M2905">
        <f>MONTH(Table1[[#This Row],[Date Created Conversion]])</f>
        <v>7</v>
      </c>
      <c r="N2905">
        <f>YEAR(Table1[[#This Row],[Date Created Conversion]])</f>
        <v>2015</v>
      </c>
      <c r="O2905" t="b">
        <v>0</v>
      </c>
      <c r="P2905">
        <v>4</v>
      </c>
      <c r="Q2905" t="b">
        <v>0</v>
      </c>
      <c r="R2905" t="s">
        <v>8271</v>
      </c>
      <c r="S2905" s="6">
        <f>Table1[[#This Row],[pledged]]/Table1[[#This Row],[goal]]</f>
        <v>7.7999999999999996E-3</v>
      </c>
      <c r="T2905" s="8">
        <f>IF(Table1[[#This Row],[pledged]]=0,"no backers",Table1[[#This Row],[pledged]]/Table1[[#This Row],[backers_count]])</f>
        <v>9.75</v>
      </c>
      <c r="U2905" t="str">
        <f>LEFT(Table1[[#This Row],[Category and Sub-Category]],FIND("/",Table1[[#This Row],[Category and Sub-Category]])-1)</f>
        <v>theater</v>
      </c>
      <c r="V2905" t="str">
        <f>RIGHT(Table1[[#This Row],[Category and Sub-Category]],LEN(Table1[[#This Row],[Category and Sub-Category]])-FIND("/",Table1[[#This Row],[Category and Sub-Category]]))</f>
        <v>plays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 s="12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>((Table1[[#This Row],[deadline]]/60)/60/24)+DATE(1970,1,1)</f>
        <v>41952.5</v>
      </c>
      <c r="K2906">
        <v>1414538031</v>
      </c>
      <c r="L2906" s="11">
        <f>((Table1[[#This Row],[launched_at]]/60)/60/24)+DATE(1970,1,1)</f>
        <v>41940.967951388891</v>
      </c>
      <c r="M2906">
        <f>MONTH(Table1[[#This Row],[Date Created Conversion]])</f>
        <v>10</v>
      </c>
      <c r="N2906">
        <f>YEAR(Table1[[#This Row],[Date Created Conversion]])</f>
        <v>2014</v>
      </c>
      <c r="O2906" t="b">
        <v>0</v>
      </c>
      <c r="P2906">
        <v>4</v>
      </c>
      <c r="Q2906" t="b">
        <v>0</v>
      </c>
      <c r="R2906" t="s">
        <v>8271</v>
      </c>
      <c r="S2906" s="6">
        <f>Table1[[#This Row],[pledged]]/Table1[[#This Row],[goal]]</f>
        <v>0.05</v>
      </c>
      <c r="T2906" s="8">
        <f>IF(Table1[[#This Row],[pledged]]=0,"no backers",Table1[[#This Row],[pledged]]/Table1[[#This Row],[backers_count]])</f>
        <v>18.75</v>
      </c>
      <c r="U2906" t="str">
        <f>LEFT(Table1[[#This Row],[Category and Sub-Category]],FIND("/",Table1[[#This Row],[Category and Sub-Category]])-1)</f>
        <v>theater</v>
      </c>
      <c r="V2906" t="str">
        <f>RIGHT(Table1[[#This Row],[Category and Sub-Category]],LEN(Table1[[#This Row],[Category and Sub-Category]])-FIND("/",Table1[[#This Row],[Category and Sub-Category]]))</f>
        <v>plays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 s="12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>((Table1[[#This Row],[deadline]]/60)/60/24)+DATE(1970,1,1)</f>
        <v>42620.056863425925</v>
      </c>
      <c r="K2907">
        <v>1472001713</v>
      </c>
      <c r="L2907" s="11">
        <f>((Table1[[#This Row],[launched_at]]/60)/60/24)+DATE(1970,1,1)</f>
        <v>42606.056863425925</v>
      </c>
      <c r="M2907">
        <f>MONTH(Table1[[#This Row],[Date Created Conversion]])</f>
        <v>8</v>
      </c>
      <c r="N2907">
        <f>YEAR(Table1[[#This Row],[Date Created Conversion]])</f>
        <v>2016</v>
      </c>
      <c r="O2907" t="b">
        <v>0</v>
      </c>
      <c r="P2907">
        <v>17</v>
      </c>
      <c r="Q2907" t="b">
        <v>0</v>
      </c>
      <c r="R2907" t="s">
        <v>8271</v>
      </c>
      <c r="S2907" s="6">
        <f>Table1[[#This Row],[pledged]]/Table1[[#This Row],[goal]]</f>
        <v>0.17771428571428571</v>
      </c>
      <c r="T2907" s="8">
        <f>IF(Table1[[#This Row],[pledged]]=0,"no backers",Table1[[#This Row],[pledged]]/Table1[[#This Row],[backers_count]])</f>
        <v>36.588235294117645</v>
      </c>
      <c r="U2907" t="str">
        <f>LEFT(Table1[[#This Row],[Category and Sub-Category]],FIND("/",Table1[[#This Row],[Category and Sub-Category]])-1)</f>
        <v>theater</v>
      </c>
      <c r="V2907" t="str">
        <f>RIGHT(Table1[[#This Row],[Category and Sub-Category]],LEN(Table1[[#This Row],[Category and Sub-Category]])-FIND("/",Table1[[#This Row],[Category and Sub-Category]]))</f>
        <v>plays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 s="12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>((Table1[[#This Row],[deadline]]/60)/60/24)+DATE(1970,1,1)</f>
        <v>42217.041666666672</v>
      </c>
      <c r="K2908">
        <v>1436888066</v>
      </c>
      <c r="L2908" s="11">
        <f>((Table1[[#This Row],[launched_at]]/60)/60/24)+DATE(1970,1,1)</f>
        <v>42199.648912037039</v>
      </c>
      <c r="M2908">
        <f>MONTH(Table1[[#This Row],[Date Created Conversion]])</f>
        <v>7</v>
      </c>
      <c r="N2908">
        <f>YEAR(Table1[[#This Row],[Date Created Conversion]])</f>
        <v>2015</v>
      </c>
      <c r="O2908" t="b">
        <v>0</v>
      </c>
      <c r="P2908">
        <v>7</v>
      </c>
      <c r="Q2908" t="b">
        <v>0</v>
      </c>
      <c r="R2908" t="s">
        <v>8271</v>
      </c>
      <c r="S2908" s="6">
        <f>Table1[[#This Row],[pledged]]/Table1[[#This Row],[goal]]</f>
        <v>9.4166666666666662E-2</v>
      </c>
      <c r="T2908" s="8">
        <f>IF(Table1[[#This Row],[pledged]]=0,"no backers",Table1[[#This Row],[pledged]]/Table1[[#This Row],[backers_count]])</f>
        <v>80.714285714285708</v>
      </c>
      <c r="U2908" t="str">
        <f>LEFT(Table1[[#This Row],[Category and Sub-Category]],FIND("/",Table1[[#This Row],[Category and Sub-Category]])-1)</f>
        <v>theater</v>
      </c>
      <c r="V2908" t="str">
        <f>RIGHT(Table1[[#This Row],[Category and Sub-Category]],LEN(Table1[[#This Row],[Category and Sub-Category]])-FIND("/",Table1[[#This Row],[Category and Sub-Category]]))</f>
        <v>plays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 s="12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>((Table1[[#This Row],[deadline]]/60)/60/24)+DATE(1970,1,1)</f>
        <v>42504.877743055549</v>
      </c>
      <c r="K2909">
        <v>1458075837</v>
      </c>
      <c r="L2909" s="11">
        <f>((Table1[[#This Row],[launched_at]]/60)/60/24)+DATE(1970,1,1)</f>
        <v>42444.877743055549</v>
      </c>
      <c r="M2909">
        <f>MONTH(Table1[[#This Row],[Date Created Conversion]])</f>
        <v>3</v>
      </c>
      <c r="N2909">
        <f>YEAR(Table1[[#This Row],[Date Created Conversion]])</f>
        <v>2016</v>
      </c>
      <c r="O2909" t="b">
        <v>0</v>
      </c>
      <c r="P2909">
        <v>2</v>
      </c>
      <c r="Q2909" t="b">
        <v>0</v>
      </c>
      <c r="R2909" t="s">
        <v>8271</v>
      </c>
      <c r="S2909" s="6">
        <f>Table1[[#This Row],[pledged]]/Table1[[#This Row],[goal]]</f>
        <v>8.0000000000000004E-4</v>
      </c>
      <c r="T2909" s="8">
        <f>IF(Table1[[#This Row],[pledged]]=0,"no backers",Table1[[#This Row],[pledged]]/Table1[[#This Row],[backers_count]])</f>
        <v>1</v>
      </c>
      <c r="U2909" t="str">
        <f>LEFT(Table1[[#This Row],[Category and Sub-Category]],FIND("/",Table1[[#This Row],[Category and Sub-Category]])-1)</f>
        <v>theater</v>
      </c>
      <c r="V2909" t="str">
        <f>RIGHT(Table1[[#This Row],[Category and Sub-Category]],LEN(Table1[[#This Row],[Category and Sub-Category]])-FIND("/",Table1[[#This Row],[Category and Sub-Category]]))</f>
        <v>plays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 s="12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>((Table1[[#This Row],[deadline]]/60)/60/24)+DATE(1970,1,1)</f>
        <v>42529.731701388882</v>
      </c>
      <c r="K2910">
        <v>1462815219</v>
      </c>
      <c r="L2910" s="11">
        <f>((Table1[[#This Row],[launched_at]]/60)/60/24)+DATE(1970,1,1)</f>
        <v>42499.731701388882</v>
      </c>
      <c r="M2910">
        <f>MONTH(Table1[[#This Row],[Date Created Conversion]])</f>
        <v>5</v>
      </c>
      <c r="N2910">
        <f>YEAR(Table1[[#This Row],[Date Created Conversion]])</f>
        <v>2016</v>
      </c>
      <c r="O2910" t="b">
        <v>0</v>
      </c>
      <c r="P2910">
        <v>5</v>
      </c>
      <c r="Q2910" t="b">
        <v>0</v>
      </c>
      <c r="R2910" t="s">
        <v>8271</v>
      </c>
      <c r="S2910" s="6">
        <f>Table1[[#This Row],[pledged]]/Table1[[#This Row],[goal]]</f>
        <v>2.75E-2</v>
      </c>
      <c r="T2910" s="8">
        <f>IF(Table1[[#This Row],[pledged]]=0,"no backers",Table1[[#This Row],[pledged]]/Table1[[#This Row],[backers_count]])</f>
        <v>52.8</v>
      </c>
      <c r="U2910" t="str">
        <f>LEFT(Table1[[#This Row],[Category and Sub-Category]],FIND("/",Table1[[#This Row],[Category and Sub-Category]])-1)</f>
        <v>theater</v>
      </c>
      <c r="V2910" t="str">
        <f>RIGHT(Table1[[#This Row],[Category and Sub-Category]],LEN(Table1[[#This Row],[Category and Sub-Category]])-FIND("/",Table1[[#This Row],[Category and Sub-Category]]))</f>
        <v>plays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 s="12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>((Table1[[#This Row],[deadline]]/60)/60/24)+DATE(1970,1,1)</f>
        <v>41968.823611111111</v>
      </c>
      <c r="K2911">
        <v>1413527001</v>
      </c>
      <c r="L2911" s="11">
        <f>((Table1[[#This Row],[launched_at]]/60)/60/24)+DATE(1970,1,1)</f>
        <v>41929.266215277778</v>
      </c>
      <c r="M2911">
        <f>MONTH(Table1[[#This Row],[Date Created Conversion]])</f>
        <v>10</v>
      </c>
      <c r="N2911">
        <f>YEAR(Table1[[#This Row],[Date Created Conversion]])</f>
        <v>2014</v>
      </c>
      <c r="O2911" t="b">
        <v>0</v>
      </c>
      <c r="P2911">
        <v>1</v>
      </c>
      <c r="Q2911" t="b">
        <v>0</v>
      </c>
      <c r="R2911" t="s">
        <v>8271</v>
      </c>
      <c r="S2911" s="6">
        <f>Table1[[#This Row],[pledged]]/Table1[[#This Row],[goal]]</f>
        <v>1.1111111111111112E-4</v>
      </c>
      <c r="T2911" s="8">
        <f>IF(Table1[[#This Row],[pledged]]=0,"no backers",Table1[[#This Row],[pledged]]/Table1[[#This Row],[backers_count]])</f>
        <v>20</v>
      </c>
      <c r="U2911" t="str">
        <f>LEFT(Table1[[#This Row],[Category and Sub-Category]],FIND("/",Table1[[#This Row],[Category and Sub-Category]])-1)</f>
        <v>theater</v>
      </c>
      <c r="V2911" t="str">
        <f>RIGHT(Table1[[#This Row],[Category and Sub-Category]],LEN(Table1[[#This Row],[Category and Sub-Category]])-FIND("/",Table1[[#This Row],[Category and Sub-Category]]))</f>
        <v>plays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 s="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>((Table1[[#This Row],[deadline]]/60)/60/24)+DATE(1970,1,1)</f>
        <v>42167.841284722221</v>
      </c>
      <c r="K2912">
        <v>1428955887</v>
      </c>
      <c r="L2912" s="11">
        <f>((Table1[[#This Row],[launched_at]]/60)/60/24)+DATE(1970,1,1)</f>
        <v>42107.841284722221</v>
      </c>
      <c r="M2912">
        <f>MONTH(Table1[[#This Row],[Date Created Conversion]])</f>
        <v>4</v>
      </c>
      <c r="N2912">
        <f>YEAR(Table1[[#This Row],[Date Created Conversion]])</f>
        <v>2015</v>
      </c>
      <c r="O2912" t="b">
        <v>0</v>
      </c>
      <c r="P2912">
        <v>1</v>
      </c>
      <c r="Q2912" t="b">
        <v>0</v>
      </c>
      <c r="R2912" t="s">
        <v>8271</v>
      </c>
      <c r="S2912" s="6">
        <f>Table1[[#This Row],[pledged]]/Table1[[#This Row],[goal]]</f>
        <v>3.3333333333333335E-5</v>
      </c>
      <c r="T2912" s="8">
        <f>IF(Table1[[#This Row],[pledged]]=0,"no backers",Table1[[#This Row],[pledged]]/Table1[[#This Row],[backers_count]])</f>
        <v>1</v>
      </c>
      <c r="U2912" t="str">
        <f>LEFT(Table1[[#This Row],[Category and Sub-Category]],FIND("/",Table1[[#This Row],[Category and Sub-Category]])-1)</f>
        <v>theater</v>
      </c>
      <c r="V2912" t="str">
        <f>RIGHT(Table1[[#This Row],[Category and Sub-Category]],LEN(Table1[[#This Row],[Category and Sub-Category]])-FIND("/",Table1[[#This Row],[Category and Sub-Category]]))</f>
        <v>plays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 s="12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>((Table1[[#This Row],[deadline]]/60)/60/24)+DATE(1970,1,1)</f>
        <v>42182.768819444449</v>
      </c>
      <c r="K2913">
        <v>1431973626</v>
      </c>
      <c r="L2913" s="11">
        <f>((Table1[[#This Row],[launched_at]]/60)/60/24)+DATE(1970,1,1)</f>
        <v>42142.768819444449</v>
      </c>
      <c r="M2913">
        <f>MONTH(Table1[[#This Row],[Date Created Conversion]])</f>
        <v>5</v>
      </c>
      <c r="N2913">
        <f>YEAR(Table1[[#This Row],[Date Created Conversion]])</f>
        <v>2015</v>
      </c>
      <c r="O2913" t="b">
        <v>0</v>
      </c>
      <c r="P2913">
        <v>14</v>
      </c>
      <c r="Q2913" t="b">
        <v>0</v>
      </c>
      <c r="R2913" t="s">
        <v>8271</v>
      </c>
      <c r="S2913" s="6">
        <f>Table1[[#This Row],[pledged]]/Table1[[#This Row],[goal]]</f>
        <v>0.36499999999999999</v>
      </c>
      <c r="T2913" s="8">
        <f>IF(Table1[[#This Row],[pledged]]=0,"no backers",Table1[[#This Row],[pledged]]/Table1[[#This Row],[backers_count]])</f>
        <v>46.928571428571431</v>
      </c>
      <c r="U2913" t="str">
        <f>LEFT(Table1[[#This Row],[Category and Sub-Category]],FIND("/",Table1[[#This Row],[Category and Sub-Category]])-1)</f>
        <v>theater</v>
      </c>
      <c r="V2913" t="str">
        <f>RIGHT(Table1[[#This Row],[Category and Sub-Category]],LEN(Table1[[#This Row],[Category and Sub-Category]])-FIND("/",Table1[[#This Row],[Category and Sub-Category]]))</f>
        <v>plays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 s="12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>((Table1[[#This Row],[deadline]]/60)/60/24)+DATE(1970,1,1)</f>
        <v>42384.131643518514</v>
      </c>
      <c r="K2914">
        <v>1450235374</v>
      </c>
      <c r="L2914" s="11">
        <f>((Table1[[#This Row],[launched_at]]/60)/60/24)+DATE(1970,1,1)</f>
        <v>42354.131643518514</v>
      </c>
      <c r="M2914">
        <f>MONTH(Table1[[#This Row],[Date Created Conversion]])</f>
        <v>12</v>
      </c>
      <c r="N2914">
        <f>YEAR(Table1[[#This Row],[Date Created Conversion]])</f>
        <v>2015</v>
      </c>
      <c r="O2914" t="b">
        <v>0</v>
      </c>
      <c r="P2914">
        <v>26</v>
      </c>
      <c r="Q2914" t="b">
        <v>0</v>
      </c>
      <c r="R2914" t="s">
        <v>8271</v>
      </c>
      <c r="S2914" s="6">
        <f>Table1[[#This Row],[pledged]]/Table1[[#This Row],[goal]]</f>
        <v>0.14058171745152354</v>
      </c>
      <c r="T2914" s="8">
        <f>IF(Table1[[#This Row],[pledged]]=0,"no backers",Table1[[#This Row],[pledged]]/Table1[[#This Row],[backers_count]])</f>
        <v>78.07692307692308</v>
      </c>
      <c r="U2914" t="str">
        <f>LEFT(Table1[[#This Row],[Category and Sub-Category]],FIND("/",Table1[[#This Row],[Category and Sub-Category]])-1)</f>
        <v>theater</v>
      </c>
      <c r="V2914" t="str">
        <f>RIGHT(Table1[[#This Row],[Category and Sub-Category]],LEN(Table1[[#This Row],[Category and Sub-Category]])-FIND("/",Table1[[#This Row],[Category and Sub-Category]]))</f>
        <v>plays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 s="12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>((Table1[[#This Row],[deadline]]/60)/60/24)+DATE(1970,1,1)</f>
        <v>41888.922905092593</v>
      </c>
      <c r="K2915">
        <v>1404857339</v>
      </c>
      <c r="L2915" s="11">
        <f>((Table1[[#This Row],[launched_at]]/60)/60/24)+DATE(1970,1,1)</f>
        <v>41828.922905092593</v>
      </c>
      <c r="M2915">
        <f>MONTH(Table1[[#This Row],[Date Created Conversion]])</f>
        <v>7</v>
      </c>
      <c r="N2915">
        <f>YEAR(Table1[[#This Row],[Date Created Conversion]])</f>
        <v>2014</v>
      </c>
      <c r="O2915" t="b">
        <v>0</v>
      </c>
      <c r="P2915">
        <v>2</v>
      </c>
      <c r="Q2915" t="b">
        <v>0</v>
      </c>
      <c r="R2915" t="s">
        <v>8271</v>
      </c>
      <c r="S2915" s="6">
        <f>Table1[[#This Row],[pledged]]/Table1[[#This Row],[goal]]</f>
        <v>2.0000000000000001E-4</v>
      </c>
      <c r="T2915" s="8">
        <f>IF(Table1[[#This Row],[pledged]]=0,"no backers",Table1[[#This Row],[pledged]]/Table1[[#This Row],[backers_count]])</f>
        <v>1</v>
      </c>
      <c r="U2915" t="str">
        <f>LEFT(Table1[[#This Row],[Category and Sub-Category]],FIND("/",Table1[[#This Row],[Category and Sub-Category]])-1)</f>
        <v>theater</v>
      </c>
      <c r="V2915" t="str">
        <f>RIGHT(Table1[[#This Row],[Category and Sub-Category]],LEN(Table1[[#This Row],[Category and Sub-Category]])-FIND("/",Table1[[#This Row],[Category and Sub-Category]]))</f>
        <v>plays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 s="12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>((Table1[[#This Row],[deadline]]/60)/60/24)+DATE(1970,1,1)</f>
        <v>42077.865671296298</v>
      </c>
      <c r="K2916">
        <v>1421185594</v>
      </c>
      <c r="L2916" s="11">
        <f>((Table1[[#This Row],[launched_at]]/60)/60/24)+DATE(1970,1,1)</f>
        <v>42017.907337962963</v>
      </c>
      <c r="M2916">
        <f>MONTH(Table1[[#This Row],[Date Created Conversion]])</f>
        <v>1</v>
      </c>
      <c r="N2916">
        <f>YEAR(Table1[[#This Row],[Date Created Conversion]])</f>
        <v>2015</v>
      </c>
      <c r="O2916" t="b">
        <v>0</v>
      </c>
      <c r="P2916">
        <v>1</v>
      </c>
      <c r="Q2916" t="b">
        <v>0</v>
      </c>
      <c r="R2916" t="s">
        <v>8271</v>
      </c>
      <c r="S2916" s="6">
        <f>Table1[[#This Row],[pledged]]/Table1[[#This Row],[goal]]</f>
        <v>4.0000000000000003E-5</v>
      </c>
      <c r="T2916" s="8">
        <f>IF(Table1[[#This Row],[pledged]]=0,"no backers",Table1[[#This Row],[pledged]]/Table1[[#This Row],[backers_count]])</f>
        <v>1</v>
      </c>
      <c r="U2916" t="str">
        <f>LEFT(Table1[[#This Row],[Category and Sub-Category]],FIND("/",Table1[[#This Row],[Category and Sub-Category]])-1)</f>
        <v>theater</v>
      </c>
      <c r="V2916" t="str">
        <f>RIGHT(Table1[[#This Row],[Category and Sub-Category]],LEN(Table1[[#This Row],[Category and Sub-Category]])-FIND("/",Table1[[#This Row],[Category and Sub-Category]]))</f>
        <v>plays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 s="12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>((Table1[[#This Row],[deadline]]/60)/60/24)+DATE(1970,1,1)</f>
        <v>42445.356365740736</v>
      </c>
      <c r="K2917">
        <v>1455528790</v>
      </c>
      <c r="L2917" s="11">
        <f>((Table1[[#This Row],[launched_at]]/60)/60/24)+DATE(1970,1,1)</f>
        <v>42415.398032407407</v>
      </c>
      <c r="M2917">
        <f>MONTH(Table1[[#This Row],[Date Created Conversion]])</f>
        <v>2</v>
      </c>
      <c r="N2917">
        <f>YEAR(Table1[[#This Row],[Date Created Conversion]])</f>
        <v>2016</v>
      </c>
      <c r="O2917" t="b">
        <v>0</v>
      </c>
      <c r="P2917">
        <v>3</v>
      </c>
      <c r="Q2917" t="b">
        <v>0</v>
      </c>
      <c r="R2917" t="s">
        <v>8271</v>
      </c>
      <c r="S2917" s="6">
        <f>Table1[[#This Row],[pledged]]/Table1[[#This Row],[goal]]</f>
        <v>0.61099999999999999</v>
      </c>
      <c r="T2917" s="8">
        <f>IF(Table1[[#This Row],[pledged]]=0,"no backers",Table1[[#This Row],[pledged]]/Table1[[#This Row],[backers_count]])</f>
        <v>203.66666666666666</v>
      </c>
      <c r="U2917" t="str">
        <f>LEFT(Table1[[#This Row],[Category and Sub-Category]],FIND("/",Table1[[#This Row],[Category and Sub-Category]])-1)</f>
        <v>theater</v>
      </c>
      <c r="V2917" t="str">
        <f>RIGHT(Table1[[#This Row],[Category and Sub-Category]],LEN(Table1[[#This Row],[Category and Sub-Category]])-FIND("/",Table1[[#This Row],[Category and Sub-Category]]))</f>
        <v>plays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 s="12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>((Table1[[#This Row],[deadline]]/60)/60/24)+DATE(1970,1,1)</f>
        <v>41778.476724537039</v>
      </c>
      <c r="K2918">
        <v>1398511589</v>
      </c>
      <c r="L2918" s="11">
        <f>((Table1[[#This Row],[launched_at]]/60)/60/24)+DATE(1970,1,1)</f>
        <v>41755.476724537039</v>
      </c>
      <c r="M2918">
        <f>MONTH(Table1[[#This Row],[Date Created Conversion]])</f>
        <v>4</v>
      </c>
      <c r="N2918">
        <f>YEAR(Table1[[#This Row],[Date Created Conversion]])</f>
        <v>2014</v>
      </c>
      <c r="O2918" t="b">
        <v>0</v>
      </c>
      <c r="P2918">
        <v>7</v>
      </c>
      <c r="Q2918" t="b">
        <v>0</v>
      </c>
      <c r="R2918" t="s">
        <v>8271</v>
      </c>
      <c r="S2918" s="6">
        <f>Table1[[#This Row],[pledged]]/Table1[[#This Row],[goal]]</f>
        <v>7.8378378378378383E-2</v>
      </c>
      <c r="T2918" s="8">
        <f>IF(Table1[[#This Row],[pledged]]=0,"no backers",Table1[[#This Row],[pledged]]/Table1[[#This Row],[backers_count]])</f>
        <v>20.714285714285715</v>
      </c>
      <c r="U2918" t="str">
        <f>LEFT(Table1[[#This Row],[Category and Sub-Category]],FIND("/",Table1[[#This Row],[Category and Sub-Category]])-1)</f>
        <v>theater</v>
      </c>
      <c r="V2918" t="str">
        <f>RIGHT(Table1[[#This Row],[Category and Sub-Category]],LEN(Table1[[#This Row],[Category and Sub-Category]])-FIND("/",Table1[[#This Row],[Category and Sub-Category]]))</f>
        <v>plays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 s="12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>((Table1[[#This Row],[deadline]]/60)/60/24)+DATE(1970,1,1)</f>
        <v>42263.234340277777</v>
      </c>
      <c r="K2919">
        <v>1440826647</v>
      </c>
      <c r="L2919" s="11">
        <f>((Table1[[#This Row],[launched_at]]/60)/60/24)+DATE(1970,1,1)</f>
        <v>42245.234340277777</v>
      </c>
      <c r="M2919">
        <f>MONTH(Table1[[#This Row],[Date Created Conversion]])</f>
        <v>8</v>
      </c>
      <c r="N2919">
        <f>YEAR(Table1[[#This Row],[Date Created Conversion]])</f>
        <v>2015</v>
      </c>
      <c r="O2919" t="b">
        <v>0</v>
      </c>
      <c r="P2919">
        <v>9</v>
      </c>
      <c r="Q2919" t="b">
        <v>0</v>
      </c>
      <c r="R2919" t="s">
        <v>8271</v>
      </c>
      <c r="S2919" s="6">
        <f>Table1[[#This Row],[pledged]]/Table1[[#This Row],[goal]]</f>
        <v>0.2185</v>
      </c>
      <c r="T2919" s="8">
        <f>IF(Table1[[#This Row],[pledged]]=0,"no backers",Table1[[#This Row],[pledged]]/Table1[[#This Row],[backers_count]])</f>
        <v>48.555555555555557</v>
      </c>
      <c r="U2919" t="str">
        <f>LEFT(Table1[[#This Row],[Category and Sub-Category]],FIND("/",Table1[[#This Row],[Category and Sub-Category]])-1)</f>
        <v>theater</v>
      </c>
      <c r="V2919" t="str">
        <f>RIGHT(Table1[[#This Row],[Category and Sub-Category]],LEN(Table1[[#This Row],[Category and Sub-Category]])-FIND("/",Table1[[#This Row],[Category and Sub-Category]]))</f>
        <v>plays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 s="12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>((Table1[[#This Row],[deadline]]/60)/60/24)+DATE(1970,1,1)</f>
        <v>42306.629710648151</v>
      </c>
      <c r="K2920">
        <v>1443712007</v>
      </c>
      <c r="L2920" s="11">
        <f>((Table1[[#This Row],[launched_at]]/60)/60/24)+DATE(1970,1,1)</f>
        <v>42278.629710648151</v>
      </c>
      <c r="M2920">
        <f>MONTH(Table1[[#This Row],[Date Created Conversion]])</f>
        <v>10</v>
      </c>
      <c r="N2920">
        <f>YEAR(Table1[[#This Row],[Date Created Conversion]])</f>
        <v>2015</v>
      </c>
      <c r="O2920" t="b">
        <v>0</v>
      </c>
      <c r="P2920">
        <v>20</v>
      </c>
      <c r="Q2920" t="b">
        <v>0</v>
      </c>
      <c r="R2920" t="s">
        <v>8271</v>
      </c>
      <c r="S2920" s="6">
        <f>Table1[[#This Row],[pledged]]/Table1[[#This Row],[goal]]</f>
        <v>0.27239999999999998</v>
      </c>
      <c r="T2920" s="8">
        <f>IF(Table1[[#This Row],[pledged]]=0,"no backers",Table1[[#This Row],[pledged]]/Table1[[#This Row],[backers_count]])</f>
        <v>68.099999999999994</v>
      </c>
      <c r="U2920" t="str">
        <f>LEFT(Table1[[#This Row],[Category and Sub-Category]],FIND("/",Table1[[#This Row],[Category and Sub-Category]])-1)</f>
        <v>theater</v>
      </c>
      <c r="V2920" t="str">
        <f>RIGHT(Table1[[#This Row],[Category and Sub-Category]],LEN(Table1[[#This Row],[Category and Sub-Category]])-FIND("/",Table1[[#This Row],[Category and Sub-Category]]))</f>
        <v>plays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 s="12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>((Table1[[#This Row],[deadline]]/60)/60/24)+DATE(1970,1,1)</f>
        <v>41856.61954861111</v>
      </c>
      <c r="K2921">
        <v>1404658329</v>
      </c>
      <c r="L2921" s="11">
        <f>((Table1[[#This Row],[launched_at]]/60)/60/24)+DATE(1970,1,1)</f>
        <v>41826.61954861111</v>
      </c>
      <c r="M2921">
        <f>MONTH(Table1[[#This Row],[Date Created Conversion]])</f>
        <v>7</v>
      </c>
      <c r="N2921">
        <f>YEAR(Table1[[#This Row],[Date Created Conversion]])</f>
        <v>2014</v>
      </c>
      <c r="O2921" t="b">
        <v>0</v>
      </c>
      <c r="P2921">
        <v>6</v>
      </c>
      <c r="Q2921" t="b">
        <v>0</v>
      </c>
      <c r="R2921" t="s">
        <v>8271</v>
      </c>
      <c r="S2921" s="6">
        <f>Table1[[#This Row],[pledged]]/Table1[[#This Row],[goal]]</f>
        <v>8.5000000000000006E-2</v>
      </c>
      <c r="T2921" s="8">
        <f>IF(Table1[[#This Row],[pledged]]=0,"no backers",Table1[[#This Row],[pledged]]/Table1[[#This Row],[backers_count]])</f>
        <v>8.5</v>
      </c>
      <c r="U2921" t="str">
        <f>LEFT(Table1[[#This Row],[Category and Sub-Category]],FIND("/",Table1[[#This Row],[Category and Sub-Category]])-1)</f>
        <v>theater</v>
      </c>
      <c r="V2921" t="str">
        <f>RIGHT(Table1[[#This Row],[Category and Sub-Category]],LEN(Table1[[#This Row],[Category and Sub-Category]])-FIND("/",Table1[[#This Row],[Category and Sub-Category]]))</f>
        <v>plays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 s="1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>((Table1[[#This Row],[deadline]]/60)/60/24)+DATE(1970,1,1)</f>
        <v>42088.750810185185</v>
      </c>
      <c r="K2922">
        <v>1424718070</v>
      </c>
      <c r="L2922" s="11">
        <f>((Table1[[#This Row],[launched_at]]/60)/60/24)+DATE(1970,1,1)</f>
        <v>42058.792476851857</v>
      </c>
      <c r="M2922">
        <f>MONTH(Table1[[#This Row],[Date Created Conversion]])</f>
        <v>2</v>
      </c>
      <c r="N2922">
        <f>YEAR(Table1[[#This Row],[Date Created Conversion]])</f>
        <v>2015</v>
      </c>
      <c r="O2922" t="b">
        <v>0</v>
      </c>
      <c r="P2922">
        <v>13</v>
      </c>
      <c r="Q2922" t="b">
        <v>0</v>
      </c>
      <c r="R2922" t="s">
        <v>8271</v>
      </c>
      <c r="S2922" s="6">
        <f>Table1[[#This Row],[pledged]]/Table1[[#This Row],[goal]]</f>
        <v>0.26840000000000003</v>
      </c>
      <c r="T2922" s="8">
        <f>IF(Table1[[#This Row],[pledged]]=0,"no backers",Table1[[#This Row],[pledged]]/Table1[[#This Row],[backers_count]])</f>
        <v>51.615384615384613</v>
      </c>
      <c r="U2922" t="str">
        <f>LEFT(Table1[[#This Row],[Category and Sub-Category]],FIND("/",Table1[[#This Row],[Category and Sub-Category]])-1)</f>
        <v>theater</v>
      </c>
      <c r="V2922" t="str">
        <f>RIGHT(Table1[[#This Row],[Category and Sub-Category]],LEN(Table1[[#This Row],[Category and Sub-Category]])-FIND("/",Table1[[#This Row],[Category and Sub-Category]]))</f>
        <v>plays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 s="12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>((Table1[[#This Row],[deadline]]/60)/60/24)+DATE(1970,1,1)</f>
        <v>41907.886620370373</v>
      </c>
      <c r="K2923">
        <v>1409087804</v>
      </c>
      <c r="L2923" s="11">
        <f>((Table1[[#This Row],[launched_at]]/60)/60/24)+DATE(1970,1,1)</f>
        <v>41877.886620370373</v>
      </c>
      <c r="M2923">
        <f>MONTH(Table1[[#This Row],[Date Created Conversion]])</f>
        <v>8</v>
      </c>
      <c r="N2923">
        <f>YEAR(Table1[[#This Row],[Date Created Conversion]])</f>
        <v>2014</v>
      </c>
      <c r="O2923" t="b">
        <v>0</v>
      </c>
      <c r="P2923">
        <v>3</v>
      </c>
      <c r="Q2923" t="b">
        <v>1</v>
      </c>
      <c r="R2923" t="s">
        <v>8305</v>
      </c>
      <c r="S2923" s="6">
        <f>Table1[[#This Row],[pledged]]/Table1[[#This Row],[goal]]</f>
        <v>1.29</v>
      </c>
      <c r="T2923" s="8">
        <f>IF(Table1[[#This Row],[pledged]]=0,"no backers",Table1[[#This Row],[pledged]]/Table1[[#This Row],[backers_count]])</f>
        <v>43</v>
      </c>
      <c r="U2923" t="str">
        <f>LEFT(Table1[[#This Row],[Category and Sub-Category]],FIND("/",Table1[[#This Row],[Category and Sub-Category]])-1)</f>
        <v>theater</v>
      </c>
      <c r="V2923" t="str">
        <f>RIGHT(Table1[[#This Row],[Category and Sub-Category]],LEN(Table1[[#This Row],[Category and Sub-Category]])-FIND("/",Table1[[#This Row],[Category and Sub-Category]]))</f>
        <v>musical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 s="12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>((Table1[[#This Row],[deadline]]/60)/60/24)+DATE(1970,1,1)</f>
        <v>42142.874155092592</v>
      </c>
      <c r="K2924">
        <v>1428094727</v>
      </c>
      <c r="L2924" s="11">
        <f>((Table1[[#This Row],[launched_at]]/60)/60/24)+DATE(1970,1,1)</f>
        <v>42097.874155092592</v>
      </c>
      <c r="M2924">
        <f>MONTH(Table1[[#This Row],[Date Created Conversion]])</f>
        <v>4</v>
      </c>
      <c r="N2924">
        <f>YEAR(Table1[[#This Row],[Date Created Conversion]])</f>
        <v>2015</v>
      </c>
      <c r="O2924" t="b">
        <v>0</v>
      </c>
      <c r="P2924">
        <v>6</v>
      </c>
      <c r="Q2924" t="b">
        <v>1</v>
      </c>
      <c r="R2924" t="s">
        <v>8305</v>
      </c>
      <c r="S2924" s="6">
        <f>Table1[[#This Row],[pledged]]/Table1[[#This Row],[goal]]</f>
        <v>1</v>
      </c>
      <c r="T2924" s="8">
        <f>IF(Table1[[#This Row],[pledged]]=0,"no backers",Table1[[#This Row],[pledged]]/Table1[[#This Row],[backers_count]])</f>
        <v>83.333333333333329</v>
      </c>
      <c r="U2924" t="str">
        <f>LEFT(Table1[[#This Row],[Category and Sub-Category]],FIND("/",Table1[[#This Row],[Category and Sub-Category]])-1)</f>
        <v>theater</v>
      </c>
      <c r="V2924" t="str">
        <f>RIGHT(Table1[[#This Row],[Category and Sub-Category]],LEN(Table1[[#This Row],[Category and Sub-Category]])-FIND("/",Table1[[#This Row],[Category and Sub-Category]]))</f>
        <v>musical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 s="12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>((Table1[[#This Row],[deadline]]/60)/60/24)+DATE(1970,1,1)</f>
        <v>42028.125</v>
      </c>
      <c r="K2925">
        <v>1420774779</v>
      </c>
      <c r="L2925" s="11">
        <f>((Table1[[#This Row],[launched_at]]/60)/60/24)+DATE(1970,1,1)</f>
        <v>42013.15253472222</v>
      </c>
      <c r="M2925">
        <f>MONTH(Table1[[#This Row],[Date Created Conversion]])</f>
        <v>1</v>
      </c>
      <c r="N2925">
        <f>YEAR(Table1[[#This Row],[Date Created Conversion]])</f>
        <v>2015</v>
      </c>
      <c r="O2925" t="b">
        <v>0</v>
      </c>
      <c r="P2925">
        <v>10</v>
      </c>
      <c r="Q2925" t="b">
        <v>1</v>
      </c>
      <c r="R2925" t="s">
        <v>8305</v>
      </c>
      <c r="S2925" s="6">
        <f>Table1[[#This Row],[pledged]]/Table1[[#This Row],[goal]]</f>
        <v>1</v>
      </c>
      <c r="T2925" s="8">
        <f>IF(Table1[[#This Row],[pledged]]=0,"no backers",Table1[[#This Row],[pledged]]/Table1[[#This Row],[backers_count]])</f>
        <v>30</v>
      </c>
      <c r="U2925" t="str">
        <f>LEFT(Table1[[#This Row],[Category and Sub-Category]],FIND("/",Table1[[#This Row],[Category and Sub-Category]])-1)</f>
        <v>theater</v>
      </c>
      <c r="V2925" t="str">
        <f>RIGHT(Table1[[#This Row],[Category and Sub-Category]],LEN(Table1[[#This Row],[Category and Sub-Category]])-FIND("/",Table1[[#This Row],[Category and Sub-Category]]))</f>
        <v>musical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 s="12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>((Table1[[#This Row],[deadline]]/60)/60/24)+DATE(1970,1,1)</f>
        <v>42133.165972222225</v>
      </c>
      <c r="K2926">
        <v>1428585710</v>
      </c>
      <c r="L2926" s="11">
        <f>((Table1[[#This Row],[launched_at]]/60)/60/24)+DATE(1970,1,1)</f>
        <v>42103.556828703702</v>
      </c>
      <c r="M2926">
        <f>MONTH(Table1[[#This Row],[Date Created Conversion]])</f>
        <v>4</v>
      </c>
      <c r="N2926">
        <f>YEAR(Table1[[#This Row],[Date Created Conversion]])</f>
        <v>2015</v>
      </c>
      <c r="O2926" t="b">
        <v>0</v>
      </c>
      <c r="P2926">
        <v>147</v>
      </c>
      <c r="Q2926" t="b">
        <v>1</v>
      </c>
      <c r="R2926" t="s">
        <v>8305</v>
      </c>
      <c r="S2926" s="6">
        <f>Table1[[#This Row],[pledged]]/Table1[[#This Row],[goal]]</f>
        <v>1.032</v>
      </c>
      <c r="T2926" s="8">
        <f>IF(Table1[[#This Row],[pledged]]=0,"no backers",Table1[[#This Row],[pledged]]/Table1[[#This Row],[backers_count]])</f>
        <v>175.51020408163265</v>
      </c>
      <c r="U2926" t="str">
        <f>LEFT(Table1[[#This Row],[Category and Sub-Category]],FIND("/",Table1[[#This Row],[Category and Sub-Category]])-1)</f>
        <v>theater</v>
      </c>
      <c r="V2926" t="str">
        <f>RIGHT(Table1[[#This Row],[Category and Sub-Category]],LEN(Table1[[#This Row],[Category and Sub-Category]])-FIND("/",Table1[[#This Row],[Category and Sub-Category]]))</f>
        <v>musical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 s="12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>((Table1[[#This Row],[deadline]]/60)/60/24)+DATE(1970,1,1)</f>
        <v>41893.584120370368</v>
      </c>
      <c r="K2927">
        <v>1407852068</v>
      </c>
      <c r="L2927" s="11">
        <f>((Table1[[#This Row],[launched_at]]/60)/60/24)+DATE(1970,1,1)</f>
        <v>41863.584120370368</v>
      </c>
      <c r="M2927">
        <f>MONTH(Table1[[#This Row],[Date Created Conversion]])</f>
        <v>8</v>
      </c>
      <c r="N2927">
        <f>YEAR(Table1[[#This Row],[Date Created Conversion]])</f>
        <v>2014</v>
      </c>
      <c r="O2927" t="b">
        <v>0</v>
      </c>
      <c r="P2927">
        <v>199</v>
      </c>
      <c r="Q2927" t="b">
        <v>1</v>
      </c>
      <c r="R2927" t="s">
        <v>8305</v>
      </c>
      <c r="S2927" s="6">
        <f>Table1[[#This Row],[pledged]]/Table1[[#This Row],[goal]]</f>
        <v>1.0244597777777777</v>
      </c>
      <c r="T2927" s="8">
        <f>IF(Table1[[#This Row],[pledged]]=0,"no backers",Table1[[#This Row],[pledged]]/Table1[[#This Row],[backers_count]])</f>
        <v>231.66175879396985</v>
      </c>
      <c r="U2927" t="str">
        <f>LEFT(Table1[[#This Row],[Category and Sub-Category]],FIND("/",Table1[[#This Row],[Category and Sub-Category]])-1)</f>
        <v>theater</v>
      </c>
      <c r="V2927" t="str">
        <f>RIGHT(Table1[[#This Row],[Category and Sub-Category]],LEN(Table1[[#This Row],[Category and Sub-Category]])-FIND("/",Table1[[#This Row],[Category and Sub-Category]]))</f>
        <v>musical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 s="12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>((Table1[[#This Row],[deadline]]/60)/60/24)+DATE(1970,1,1)</f>
        <v>42058.765960648147</v>
      </c>
      <c r="K2928">
        <v>1423506179</v>
      </c>
      <c r="L2928" s="11">
        <f>((Table1[[#This Row],[launched_at]]/60)/60/24)+DATE(1970,1,1)</f>
        <v>42044.765960648147</v>
      </c>
      <c r="M2928">
        <f>MONTH(Table1[[#This Row],[Date Created Conversion]])</f>
        <v>2</v>
      </c>
      <c r="N2928">
        <f>YEAR(Table1[[#This Row],[Date Created Conversion]])</f>
        <v>2015</v>
      </c>
      <c r="O2928" t="b">
        <v>0</v>
      </c>
      <c r="P2928">
        <v>50</v>
      </c>
      <c r="Q2928" t="b">
        <v>1</v>
      </c>
      <c r="R2928" t="s">
        <v>8305</v>
      </c>
      <c r="S2928" s="6">
        <f>Table1[[#This Row],[pledged]]/Table1[[#This Row],[goal]]</f>
        <v>1.25</v>
      </c>
      <c r="T2928" s="8">
        <f>IF(Table1[[#This Row],[pledged]]=0,"no backers",Table1[[#This Row],[pledged]]/Table1[[#This Row],[backers_count]])</f>
        <v>75</v>
      </c>
      <c r="U2928" t="str">
        <f>LEFT(Table1[[#This Row],[Category and Sub-Category]],FIND("/",Table1[[#This Row],[Category and Sub-Category]])-1)</f>
        <v>theater</v>
      </c>
      <c r="V2928" t="str">
        <f>RIGHT(Table1[[#This Row],[Category and Sub-Category]],LEN(Table1[[#This Row],[Category and Sub-Category]])-FIND("/",Table1[[#This Row],[Category and Sub-Category]]))</f>
        <v>musical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 s="12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>((Table1[[#This Row],[deadline]]/60)/60/24)+DATE(1970,1,1)</f>
        <v>41835.208333333336</v>
      </c>
      <c r="K2929">
        <v>1402934629</v>
      </c>
      <c r="L2929" s="11">
        <f>((Table1[[#This Row],[launched_at]]/60)/60/24)+DATE(1970,1,1)</f>
        <v>41806.669317129628</v>
      </c>
      <c r="M2929">
        <f>MONTH(Table1[[#This Row],[Date Created Conversion]])</f>
        <v>6</v>
      </c>
      <c r="N2929">
        <f>YEAR(Table1[[#This Row],[Date Created Conversion]])</f>
        <v>2014</v>
      </c>
      <c r="O2929" t="b">
        <v>0</v>
      </c>
      <c r="P2929">
        <v>21</v>
      </c>
      <c r="Q2929" t="b">
        <v>1</v>
      </c>
      <c r="R2929" t="s">
        <v>8305</v>
      </c>
      <c r="S2929" s="6">
        <f>Table1[[#This Row],[pledged]]/Table1[[#This Row],[goal]]</f>
        <v>1.3083333333333333</v>
      </c>
      <c r="T2929" s="8">
        <f>IF(Table1[[#This Row],[pledged]]=0,"no backers",Table1[[#This Row],[pledged]]/Table1[[#This Row],[backers_count]])</f>
        <v>112.14285714285714</v>
      </c>
      <c r="U2929" t="str">
        <f>LEFT(Table1[[#This Row],[Category and Sub-Category]],FIND("/",Table1[[#This Row],[Category and Sub-Category]])-1)</f>
        <v>theater</v>
      </c>
      <c r="V2929" t="str">
        <f>RIGHT(Table1[[#This Row],[Category and Sub-Category]],LEN(Table1[[#This Row],[Category and Sub-Category]])-FIND("/",Table1[[#This Row],[Category and Sub-Category]]))</f>
        <v>musical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 s="12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>((Table1[[#This Row],[deadline]]/60)/60/24)+DATE(1970,1,1)</f>
        <v>42433.998217592598</v>
      </c>
      <c r="K2930">
        <v>1454543846</v>
      </c>
      <c r="L2930" s="11">
        <f>((Table1[[#This Row],[launched_at]]/60)/60/24)+DATE(1970,1,1)</f>
        <v>42403.998217592598</v>
      </c>
      <c r="M2930">
        <f>MONTH(Table1[[#This Row],[Date Created Conversion]])</f>
        <v>2</v>
      </c>
      <c r="N2930">
        <f>YEAR(Table1[[#This Row],[Date Created Conversion]])</f>
        <v>2016</v>
      </c>
      <c r="O2930" t="b">
        <v>0</v>
      </c>
      <c r="P2930">
        <v>24</v>
      </c>
      <c r="Q2930" t="b">
        <v>1</v>
      </c>
      <c r="R2930" t="s">
        <v>8305</v>
      </c>
      <c r="S2930" s="6">
        <f>Table1[[#This Row],[pledged]]/Table1[[#This Row],[goal]]</f>
        <v>1</v>
      </c>
      <c r="T2930" s="8">
        <f>IF(Table1[[#This Row],[pledged]]=0,"no backers",Table1[[#This Row],[pledged]]/Table1[[#This Row],[backers_count]])</f>
        <v>41.666666666666664</v>
      </c>
      <c r="U2930" t="str">
        <f>LEFT(Table1[[#This Row],[Category and Sub-Category]],FIND("/",Table1[[#This Row],[Category and Sub-Category]])-1)</f>
        <v>theater</v>
      </c>
      <c r="V2930" t="str">
        <f>RIGHT(Table1[[#This Row],[Category and Sub-Category]],LEN(Table1[[#This Row],[Category and Sub-Category]])-FIND("/",Table1[[#This Row],[Category and Sub-Category]]))</f>
        <v>musical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 s="12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>((Table1[[#This Row],[deadline]]/60)/60/24)+DATE(1970,1,1)</f>
        <v>41784.564328703702</v>
      </c>
      <c r="K2931">
        <v>1398432758</v>
      </c>
      <c r="L2931" s="11">
        <f>((Table1[[#This Row],[launched_at]]/60)/60/24)+DATE(1970,1,1)</f>
        <v>41754.564328703702</v>
      </c>
      <c r="M2931">
        <f>MONTH(Table1[[#This Row],[Date Created Conversion]])</f>
        <v>4</v>
      </c>
      <c r="N2931">
        <f>YEAR(Table1[[#This Row],[Date Created Conversion]])</f>
        <v>2014</v>
      </c>
      <c r="O2931" t="b">
        <v>0</v>
      </c>
      <c r="P2931">
        <v>32</v>
      </c>
      <c r="Q2931" t="b">
        <v>1</v>
      </c>
      <c r="R2931" t="s">
        <v>8305</v>
      </c>
      <c r="S2931" s="6">
        <f>Table1[[#This Row],[pledged]]/Table1[[#This Row],[goal]]</f>
        <v>1.02069375</v>
      </c>
      <c r="T2931" s="8">
        <f>IF(Table1[[#This Row],[pledged]]=0,"no backers",Table1[[#This Row],[pledged]]/Table1[[#This Row],[backers_count]])</f>
        <v>255.17343750000001</v>
      </c>
      <c r="U2931" t="str">
        <f>LEFT(Table1[[#This Row],[Category and Sub-Category]],FIND("/",Table1[[#This Row],[Category and Sub-Category]])-1)</f>
        <v>theater</v>
      </c>
      <c r="V2931" t="str">
        <f>RIGHT(Table1[[#This Row],[Category and Sub-Category]],LEN(Table1[[#This Row],[Category and Sub-Category]])-FIND("/",Table1[[#This Row],[Category and Sub-Category]]))</f>
        <v>musical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 s="1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>((Table1[[#This Row],[deadline]]/60)/60/24)+DATE(1970,1,1)</f>
        <v>42131.584074074075</v>
      </c>
      <c r="K2932">
        <v>1428415264</v>
      </c>
      <c r="L2932" s="11">
        <f>((Table1[[#This Row],[launched_at]]/60)/60/24)+DATE(1970,1,1)</f>
        <v>42101.584074074075</v>
      </c>
      <c r="M2932">
        <f>MONTH(Table1[[#This Row],[Date Created Conversion]])</f>
        <v>4</v>
      </c>
      <c r="N2932">
        <f>YEAR(Table1[[#This Row],[Date Created Conversion]])</f>
        <v>2015</v>
      </c>
      <c r="O2932" t="b">
        <v>0</v>
      </c>
      <c r="P2932">
        <v>62</v>
      </c>
      <c r="Q2932" t="b">
        <v>1</v>
      </c>
      <c r="R2932" t="s">
        <v>8305</v>
      </c>
      <c r="S2932" s="6">
        <f>Table1[[#This Row],[pledged]]/Table1[[#This Row],[goal]]</f>
        <v>1.0092000000000001</v>
      </c>
      <c r="T2932" s="8">
        <f>IF(Table1[[#This Row],[pledged]]=0,"no backers",Table1[[#This Row],[pledged]]/Table1[[#This Row],[backers_count]])</f>
        <v>162.7741935483871</v>
      </c>
      <c r="U2932" t="str">
        <f>LEFT(Table1[[#This Row],[Category and Sub-Category]],FIND("/",Table1[[#This Row],[Category and Sub-Category]])-1)</f>
        <v>theater</v>
      </c>
      <c r="V2932" t="str">
        <f>RIGHT(Table1[[#This Row],[Category and Sub-Category]],LEN(Table1[[#This Row],[Category and Sub-Category]])-FIND("/",Table1[[#This Row],[Category and Sub-Category]]))</f>
        <v>musical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 s="12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>((Table1[[#This Row],[deadline]]/60)/60/24)+DATE(1970,1,1)</f>
        <v>41897.255555555559</v>
      </c>
      <c r="K2933">
        <v>1408604363</v>
      </c>
      <c r="L2933" s="11">
        <f>((Table1[[#This Row],[launched_at]]/60)/60/24)+DATE(1970,1,1)</f>
        <v>41872.291238425925</v>
      </c>
      <c r="M2933">
        <f>MONTH(Table1[[#This Row],[Date Created Conversion]])</f>
        <v>8</v>
      </c>
      <c r="N2933">
        <f>YEAR(Table1[[#This Row],[Date Created Conversion]])</f>
        <v>2014</v>
      </c>
      <c r="O2933" t="b">
        <v>0</v>
      </c>
      <c r="P2933">
        <v>9</v>
      </c>
      <c r="Q2933" t="b">
        <v>1</v>
      </c>
      <c r="R2933" t="s">
        <v>8305</v>
      </c>
      <c r="S2933" s="6">
        <f>Table1[[#This Row],[pledged]]/Table1[[#This Row],[goal]]</f>
        <v>1.06</v>
      </c>
      <c r="T2933" s="8">
        <f>IF(Table1[[#This Row],[pledged]]=0,"no backers",Table1[[#This Row],[pledged]]/Table1[[#This Row],[backers_count]])</f>
        <v>88.333333333333329</v>
      </c>
      <c r="U2933" t="str">
        <f>LEFT(Table1[[#This Row],[Category and Sub-Category]],FIND("/",Table1[[#This Row],[Category and Sub-Category]])-1)</f>
        <v>theater</v>
      </c>
      <c r="V2933" t="str">
        <f>RIGHT(Table1[[#This Row],[Category and Sub-Category]],LEN(Table1[[#This Row],[Category and Sub-Category]])-FIND("/",Table1[[#This Row],[Category and Sub-Category]]))</f>
        <v>musical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 s="12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>((Table1[[#This Row],[deadline]]/60)/60/24)+DATE(1970,1,1)</f>
        <v>42056.458333333328</v>
      </c>
      <c r="K2934">
        <v>1421812637</v>
      </c>
      <c r="L2934" s="11">
        <f>((Table1[[#This Row],[launched_at]]/60)/60/24)+DATE(1970,1,1)</f>
        <v>42025.164780092593</v>
      </c>
      <c r="M2934">
        <f>MONTH(Table1[[#This Row],[Date Created Conversion]])</f>
        <v>1</v>
      </c>
      <c r="N2934">
        <f>YEAR(Table1[[#This Row],[Date Created Conversion]])</f>
        <v>2015</v>
      </c>
      <c r="O2934" t="b">
        <v>0</v>
      </c>
      <c r="P2934">
        <v>38</v>
      </c>
      <c r="Q2934" t="b">
        <v>1</v>
      </c>
      <c r="R2934" t="s">
        <v>8305</v>
      </c>
      <c r="S2934" s="6">
        <f>Table1[[#This Row],[pledged]]/Table1[[#This Row],[goal]]</f>
        <v>1.0509677419354839</v>
      </c>
      <c r="T2934" s="8">
        <f>IF(Table1[[#This Row],[pledged]]=0,"no backers",Table1[[#This Row],[pledged]]/Table1[[#This Row],[backers_count]])</f>
        <v>85.736842105263165</v>
      </c>
      <c r="U2934" t="str">
        <f>LEFT(Table1[[#This Row],[Category and Sub-Category]],FIND("/",Table1[[#This Row],[Category and Sub-Category]])-1)</f>
        <v>theater</v>
      </c>
      <c r="V2934" t="str">
        <f>RIGHT(Table1[[#This Row],[Category and Sub-Category]],LEN(Table1[[#This Row],[Category and Sub-Category]])-FIND("/",Table1[[#This Row],[Category and Sub-Category]]))</f>
        <v>musical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 s="12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>((Table1[[#This Row],[deadline]]/60)/60/24)+DATE(1970,1,1)</f>
        <v>42525.956631944442</v>
      </c>
      <c r="K2935">
        <v>1462489053</v>
      </c>
      <c r="L2935" s="11">
        <f>((Table1[[#This Row],[launched_at]]/60)/60/24)+DATE(1970,1,1)</f>
        <v>42495.956631944442</v>
      </c>
      <c r="M2935">
        <f>MONTH(Table1[[#This Row],[Date Created Conversion]])</f>
        <v>5</v>
      </c>
      <c r="N2935">
        <f>YEAR(Table1[[#This Row],[Date Created Conversion]])</f>
        <v>2016</v>
      </c>
      <c r="O2935" t="b">
        <v>0</v>
      </c>
      <c r="P2935">
        <v>54</v>
      </c>
      <c r="Q2935" t="b">
        <v>1</v>
      </c>
      <c r="R2935" t="s">
        <v>8305</v>
      </c>
      <c r="S2935" s="6">
        <f>Table1[[#This Row],[pledged]]/Table1[[#This Row],[goal]]</f>
        <v>1.0276000000000001</v>
      </c>
      <c r="T2935" s="8">
        <f>IF(Table1[[#This Row],[pledged]]=0,"no backers",Table1[[#This Row],[pledged]]/Table1[[#This Row],[backers_count]])</f>
        <v>47.574074074074076</v>
      </c>
      <c r="U2935" t="str">
        <f>LEFT(Table1[[#This Row],[Category and Sub-Category]],FIND("/",Table1[[#This Row],[Category and Sub-Category]])-1)</f>
        <v>theater</v>
      </c>
      <c r="V2935" t="str">
        <f>RIGHT(Table1[[#This Row],[Category and Sub-Category]],LEN(Table1[[#This Row],[Category and Sub-Category]])-FIND("/",Table1[[#This Row],[Category and Sub-Category]]))</f>
        <v>musical</v>
      </c>
    </row>
    <row r="2936" spans="1:22" ht="43.2" x14ac:dyDescent="0.3">
      <c r="A2936">
        <v>2934</v>
      </c>
      <c r="B2936" s="3" t="s">
        <v>2934</v>
      </c>
      <c r="C2936" s="3" t="s">
        <v>7044</v>
      </c>
      <c r="D2936" s="12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>((Table1[[#This Row],[deadline]]/60)/60/24)+DATE(1970,1,1)</f>
        <v>41805.636157407411</v>
      </c>
      <c r="K2936">
        <v>1400253364</v>
      </c>
      <c r="L2936" s="11">
        <f>((Table1[[#This Row],[launched_at]]/60)/60/24)+DATE(1970,1,1)</f>
        <v>41775.636157407411</v>
      </c>
      <c r="M2936">
        <f>MONTH(Table1[[#This Row],[Date Created Conversion]])</f>
        <v>5</v>
      </c>
      <c r="N2936">
        <f>YEAR(Table1[[#This Row],[Date Created Conversion]])</f>
        <v>2014</v>
      </c>
      <c r="O2936" t="b">
        <v>0</v>
      </c>
      <c r="P2936">
        <v>37</v>
      </c>
      <c r="Q2936" t="b">
        <v>1</v>
      </c>
      <c r="R2936" t="s">
        <v>8305</v>
      </c>
      <c r="S2936" s="6">
        <f>Table1[[#This Row],[pledged]]/Table1[[#This Row],[goal]]</f>
        <v>1.08</v>
      </c>
      <c r="T2936" s="8">
        <f>IF(Table1[[#This Row],[pledged]]=0,"no backers",Table1[[#This Row],[pledged]]/Table1[[#This Row],[backers_count]])</f>
        <v>72.972972972972968</v>
      </c>
      <c r="U2936" t="str">
        <f>LEFT(Table1[[#This Row],[Category and Sub-Category]],FIND("/",Table1[[#This Row],[Category and Sub-Category]])-1)</f>
        <v>theater</v>
      </c>
      <c r="V2936" t="str">
        <f>RIGHT(Table1[[#This Row],[Category and Sub-Category]],LEN(Table1[[#This Row],[Category and Sub-Category]])-FIND("/",Table1[[#This Row],[Category and Sub-Category]]))</f>
        <v>musical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 s="12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>((Table1[[#This Row],[deadline]]/60)/60/24)+DATE(1970,1,1)</f>
        <v>42611.708333333328</v>
      </c>
      <c r="K2937">
        <v>1467468008</v>
      </c>
      <c r="L2937" s="11">
        <f>((Table1[[#This Row],[launched_at]]/60)/60/24)+DATE(1970,1,1)</f>
        <v>42553.583425925928</v>
      </c>
      <c r="M2937">
        <f>MONTH(Table1[[#This Row],[Date Created Conversion]])</f>
        <v>7</v>
      </c>
      <c r="N2937">
        <f>YEAR(Table1[[#This Row],[Date Created Conversion]])</f>
        <v>2016</v>
      </c>
      <c r="O2937" t="b">
        <v>0</v>
      </c>
      <c r="P2937">
        <v>39</v>
      </c>
      <c r="Q2937" t="b">
        <v>1</v>
      </c>
      <c r="R2937" t="s">
        <v>8305</v>
      </c>
      <c r="S2937" s="6">
        <f>Table1[[#This Row],[pledged]]/Table1[[#This Row],[goal]]</f>
        <v>1.0088571428571429</v>
      </c>
      <c r="T2937" s="8">
        <f>IF(Table1[[#This Row],[pledged]]=0,"no backers",Table1[[#This Row],[pledged]]/Table1[[#This Row],[backers_count]])</f>
        <v>90.538461538461533</v>
      </c>
      <c r="U2937" t="str">
        <f>LEFT(Table1[[#This Row],[Category and Sub-Category]],FIND("/",Table1[[#This Row],[Category and Sub-Category]])-1)</f>
        <v>theater</v>
      </c>
      <c r="V2937" t="str">
        <f>RIGHT(Table1[[#This Row],[Category and Sub-Category]],LEN(Table1[[#This Row],[Category and Sub-Category]])-FIND("/",Table1[[#This Row],[Category and Sub-Category]]))</f>
        <v>musical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 s="12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>((Table1[[#This Row],[deadline]]/60)/60/24)+DATE(1970,1,1)</f>
        <v>41925.207638888889</v>
      </c>
      <c r="K2938">
        <v>1412091423</v>
      </c>
      <c r="L2938" s="11">
        <f>((Table1[[#This Row],[launched_at]]/60)/60/24)+DATE(1970,1,1)</f>
        <v>41912.650729166664</v>
      </c>
      <c r="M2938">
        <f>MONTH(Table1[[#This Row],[Date Created Conversion]])</f>
        <v>9</v>
      </c>
      <c r="N2938">
        <f>YEAR(Table1[[#This Row],[Date Created Conversion]])</f>
        <v>2014</v>
      </c>
      <c r="O2938" t="b">
        <v>0</v>
      </c>
      <c r="P2938">
        <v>34</v>
      </c>
      <c r="Q2938" t="b">
        <v>1</v>
      </c>
      <c r="R2938" t="s">
        <v>8305</v>
      </c>
      <c r="S2938" s="6">
        <f>Table1[[#This Row],[pledged]]/Table1[[#This Row],[goal]]</f>
        <v>1.28</v>
      </c>
      <c r="T2938" s="8">
        <f>IF(Table1[[#This Row],[pledged]]=0,"no backers",Table1[[#This Row],[pledged]]/Table1[[#This Row],[backers_count]])</f>
        <v>37.647058823529413</v>
      </c>
      <c r="U2938" t="str">
        <f>LEFT(Table1[[#This Row],[Category and Sub-Category]],FIND("/",Table1[[#This Row],[Category and Sub-Category]])-1)</f>
        <v>theater</v>
      </c>
      <c r="V2938" t="str">
        <f>RIGHT(Table1[[#This Row],[Category and Sub-Category]],LEN(Table1[[#This Row],[Category and Sub-Category]])-FIND("/",Table1[[#This Row],[Category and Sub-Category]]))</f>
        <v>musical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 s="12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>((Table1[[#This Row],[deadline]]/60)/60/24)+DATE(1970,1,1)</f>
        <v>41833.457326388889</v>
      </c>
      <c r="K2939">
        <v>1402657113</v>
      </c>
      <c r="L2939" s="11">
        <f>((Table1[[#This Row],[launched_at]]/60)/60/24)+DATE(1970,1,1)</f>
        <v>41803.457326388889</v>
      </c>
      <c r="M2939">
        <f>MONTH(Table1[[#This Row],[Date Created Conversion]])</f>
        <v>6</v>
      </c>
      <c r="N2939">
        <f>YEAR(Table1[[#This Row],[Date Created Conversion]])</f>
        <v>2014</v>
      </c>
      <c r="O2939" t="b">
        <v>0</v>
      </c>
      <c r="P2939">
        <v>55</v>
      </c>
      <c r="Q2939" t="b">
        <v>1</v>
      </c>
      <c r="R2939" t="s">
        <v>8305</v>
      </c>
      <c r="S2939" s="6">
        <f>Table1[[#This Row],[pledged]]/Table1[[#This Row],[goal]]</f>
        <v>1.3333333333333333</v>
      </c>
      <c r="T2939" s="8">
        <f>IF(Table1[[#This Row],[pledged]]=0,"no backers",Table1[[#This Row],[pledged]]/Table1[[#This Row],[backers_count]])</f>
        <v>36.363636363636367</v>
      </c>
      <c r="U2939" t="str">
        <f>LEFT(Table1[[#This Row],[Category and Sub-Category]],FIND("/",Table1[[#This Row],[Category and Sub-Category]])-1)</f>
        <v>theater</v>
      </c>
      <c r="V2939" t="str">
        <f>RIGHT(Table1[[#This Row],[Category and Sub-Category]],LEN(Table1[[#This Row],[Category and Sub-Category]])-FIND("/",Table1[[#This Row],[Category and Sub-Category]]))</f>
        <v>musical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 s="12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>((Table1[[#This Row],[deadline]]/60)/60/24)+DATE(1970,1,1)</f>
        <v>42034.703865740739</v>
      </c>
      <c r="K2940">
        <v>1420044814</v>
      </c>
      <c r="L2940" s="11">
        <f>((Table1[[#This Row],[launched_at]]/60)/60/24)+DATE(1970,1,1)</f>
        <v>42004.703865740739</v>
      </c>
      <c r="M2940">
        <f>MONTH(Table1[[#This Row],[Date Created Conversion]])</f>
        <v>12</v>
      </c>
      <c r="N2940">
        <f>YEAR(Table1[[#This Row],[Date Created Conversion]])</f>
        <v>2014</v>
      </c>
      <c r="O2940" t="b">
        <v>0</v>
      </c>
      <c r="P2940">
        <v>32</v>
      </c>
      <c r="Q2940" t="b">
        <v>1</v>
      </c>
      <c r="R2940" t="s">
        <v>8305</v>
      </c>
      <c r="S2940" s="6">
        <f>Table1[[#This Row],[pledged]]/Table1[[#This Row],[goal]]</f>
        <v>1.0137499999999999</v>
      </c>
      <c r="T2940" s="8">
        <f>IF(Table1[[#This Row],[pledged]]=0,"no backers",Table1[[#This Row],[pledged]]/Table1[[#This Row],[backers_count]])</f>
        <v>126.71875</v>
      </c>
      <c r="U2940" t="str">
        <f>LEFT(Table1[[#This Row],[Category and Sub-Category]],FIND("/",Table1[[#This Row],[Category and Sub-Category]])-1)</f>
        <v>theater</v>
      </c>
      <c r="V2940" t="str">
        <f>RIGHT(Table1[[#This Row],[Category and Sub-Category]],LEN(Table1[[#This Row],[Category and Sub-Category]])-FIND("/",Table1[[#This Row],[Category and Sub-Category]]))</f>
        <v>musical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 s="12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>((Table1[[#This Row],[deadline]]/60)/60/24)+DATE(1970,1,1)</f>
        <v>41879.041666666664</v>
      </c>
      <c r="K2941">
        <v>1406316312</v>
      </c>
      <c r="L2941" s="11">
        <f>((Table1[[#This Row],[launched_at]]/60)/60/24)+DATE(1970,1,1)</f>
        <v>41845.809166666666</v>
      </c>
      <c r="M2941">
        <f>MONTH(Table1[[#This Row],[Date Created Conversion]])</f>
        <v>7</v>
      </c>
      <c r="N2941">
        <f>YEAR(Table1[[#This Row],[Date Created Conversion]])</f>
        <v>2014</v>
      </c>
      <c r="O2941" t="b">
        <v>0</v>
      </c>
      <c r="P2941">
        <v>25</v>
      </c>
      <c r="Q2941" t="b">
        <v>1</v>
      </c>
      <c r="R2941" t="s">
        <v>8305</v>
      </c>
      <c r="S2941" s="6">
        <f>Table1[[#This Row],[pledged]]/Table1[[#This Row],[goal]]</f>
        <v>1.0287500000000001</v>
      </c>
      <c r="T2941" s="8">
        <f>IF(Table1[[#This Row],[pledged]]=0,"no backers",Table1[[#This Row],[pledged]]/Table1[[#This Row],[backers_count]])</f>
        <v>329.2</v>
      </c>
      <c r="U2941" t="str">
        <f>LEFT(Table1[[#This Row],[Category and Sub-Category]],FIND("/",Table1[[#This Row],[Category and Sub-Category]])-1)</f>
        <v>theater</v>
      </c>
      <c r="V2941" t="str">
        <f>RIGHT(Table1[[#This Row],[Category and Sub-Category]],LEN(Table1[[#This Row],[Category and Sub-Category]])-FIND("/",Table1[[#This Row],[Category and Sub-Category]]))</f>
        <v>musical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 s="1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>((Table1[[#This Row],[deadline]]/60)/60/24)+DATE(1970,1,1)</f>
        <v>42022.773356481484</v>
      </c>
      <c r="K2942">
        <v>1418150018</v>
      </c>
      <c r="L2942" s="11">
        <f>((Table1[[#This Row],[launched_at]]/60)/60/24)+DATE(1970,1,1)</f>
        <v>41982.773356481484</v>
      </c>
      <c r="M2942">
        <f>MONTH(Table1[[#This Row],[Date Created Conversion]])</f>
        <v>12</v>
      </c>
      <c r="N2942">
        <f>YEAR(Table1[[#This Row],[Date Created Conversion]])</f>
        <v>2014</v>
      </c>
      <c r="O2942" t="b">
        <v>0</v>
      </c>
      <c r="P2942">
        <v>33</v>
      </c>
      <c r="Q2942" t="b">
        <v>1</v>
      </c>
      <c r="R2942" t="s">
        <v>8305</v>
      </c>
      <c r="S2942" s="6">
        <f>Table1[[#This Row],[pledged]]/Table1[[#This Row],[goal]]</f>
        <v>1.0724</v>
      </c>
      <c r="T2942" s="8">
        <f>IF(Table1[[#This Row],[pledged]]=0,"no backers",Table1[[#This Row],[pledged]]/Table1[[#This Row],[backers_count]])</f>
        <v>81.242424242424249</v>
      </c>
      <c r="U2942" t="str">
        <f>LEFT(Table1[[#This Row],[Category and Sub-Category]],FIND("/",Table1[[#This Row],[Category and Sub-Category]])-1)</f>
        <v>theater</v>
      </c>
      <c r="V2942" t="str">
        <f>RIGHT(Table1[[#This Row],[Category and Sub-Category]],LEN(Table1[[#This Row],[Category and Sub-Category]])-FIND("/",Table1[[#This Row],[Category and Sub-Category]]))</f>
        <v>musical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 s="12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>((Table1[[#This Row],[deadline]]/60)/60/24)+DATE(1970,1,1)</f>
        <v>42064.960127314815</v>
      </c>
      <c r="K2943">
        <v>1422658955</v>
      </c>
      <c r="L2943" s="11">
        <f>((Table1[[#This Row],[launched_at]]/60)/60/24)+DATE(1970,1,1)</f>
        <v>42034.960127314815</v>
      </c>
      <c r="M2943">
        <f>MONTH(Table1[[#This Row],[Date Created Conversion]])</f>
        <v>1</v>
      </c>
      <c r="N2943">
        <f>YEAR(Table1[[#This Row],[Date Created Conversion]])</f>
        <v>2015</v>
      </c>
      <c r="O2943" t="b">
        <v>0</v>
      </c>
      <c r="P2943">
        <v>1</v>
      </c>
      <c r="Q2943" t="b">
        <v>0</v>
      </c>
      <c r="R2943" t="s">
        <v>8303</v>
      </c>
      <c r="S2943" s="6">
        <f>Table1[[#This Row],[pledged]]/Table1[[#This Row],[goal]]</f>
        <v>4.0000000000000003E-5</v>
      </c>
      <c r="T2943" s="8">
        <f>IF(Table1[[#This Row],[pledged]]=0,"no backers",Table1[[#This Row],[pledged]]/Table1[[#This Row],[backers_count]])</f>
        <v>1</v>
      </c>
      <c r="U2943" t="str">
        <f>LEFT(Table1[[#This Row],[Category and Sub-Category]],FIND("/",Table1[[#This Row],[Category and Sub-Category]])-1)</f>
        <v>theater</v>
      </c>
      <c r="V2943" t="str">
        <f>RIGHT(Table1[[#This Row],[Category and Sub-Category]],LEN(Table1[[#This Row],[Category and Sub-Category]])-FIND("/",Table1[[#This Row],[Category and Sub-Category]]))</f>
        <v>spaces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 s="12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>((Table1[[#This Row],[deadline]]/60)/60/24)+DATE(1970,1,1)</f>
        <v>42354.845833333333</v>
      </c>
      <c r="K2944">
        <v>1448565459</v>
      </c>
      <c r="L2944" s="11">
        <f>((Table1[[#This Row],[launched_at]]/60)/60/24)+DATE(1970,1,1)</f>
        <v>42334.803923611107</v>
      </c>
      <c r="M2944">
        <f>MONTH(Table1[[#This Row],[Date Created Conversion]])</f>
        <v>11</v>
      </c>
      <c r="N2944">
        <f>YEAR(Table1[[#This Row],[Date Created Conversion]])</f>
        <v>2015</v>
      </c>
      <c r="O2944" t="b">
        <v>0</v>
      </c>
      <c r="P2944">
        <v>202</v>
      </c>
      <c r="Q2944" t="b">
        <v>0</v>
      </c>
      <c r="R2944" t="s">
        <v>8303</v>
      </c>
      <c r="S2944" s="6">
        <f>Table1[[#This Row],[pledged]]/Table1[[#This Row],[goal]]</f>
        <v>0.20424999999999999</v>
      </c>
      <c r="T2944" s="8">
        <f>IF(Table1[[#This Row],[pledged]]=0,"no backers",Table1[[#This Row],[pledged]]/Table1[[#This Row],[backers_count]])</f>
        <v>202.22772277227722</v>
      </c>
      <c r="U2944" t="str">
        <f>LEFT(Table1[[#This Row],[Category and Sub-Category]],FIND("/",Table1[[#This Row],[Category and Sub-Category]])-1)</f>
        <v>theater</v>
      </c>
      <c r="V2944" t="str">
        <f>RIGHT(Table1[[#This Row],[Category and Sub-Category]],LEN(Table1[[#This Row],[Category and Sub-Category]])-FIND("/",Table1[[#This Row],[Category and Sub-Category]]))</f>
        <v>spaces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 s="12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>((Table1[[#This Row],[deadline]]/60)/60/24)+DATE(1970,1,1)</f>
        <v>42107.129398148143</v>
      </c>
      <c r="K2945">
        <v>1426302380</v>
      </c>
      <c r="L2945" s="11">
        <f>((Table1[[#This Row],[launched_at]]/60)/60/24)+DATE(1970,1,1)</f>
        <v>42077.129398148143</v>
      </c>
      <c r="M2945">
        <f>MONTH(Table1[[#This Row],[Date Created Conversion]])</f>
        <v>3</v>
      </c>
      <c r="N2945">
        <f>YEAR(Table1[[#This Row],[Date Created Conversion]])</f>
        <v>2015</v>
      </c>
      <c r="O2945" t="b">
        <v>0</v>
      </c>
      <c r="P2945">
        <v>0</v>
      </c>
      <c r="Q2945" t="b">
        <v>0</v>
      </c>
      <c r="R2945" t="s">
        <v>8303</v>
      </c>
      <c r="S2945" s="6">
        <f>Table1[[#This Row],[pledged]]/Table1[[#This Row],[goal]]</f>
        <v>0</v>
      </c>
      <c r="T2945" s="8" t="str">
        <f>IF(Table1[[#This Row],[pledged]]=0,"no backers",Table1[[#This Row],[pledged]]/Table1[[#This Row],[backers_count]])</f>
        <v>no backers</v>
      </c>
      <c r="U2945" t="str">
        <f>LEFT(Table1[[#This Row],[Category and Sub-Category]],FIND("/",Table1[[#This Row],[Category and Sub-Category]])-1)</f>
        <v>theater</v>
      </c>
      <c r="V2945" t="str">
        <f>RIGHT(Table1[[#This Row],[Category and Sub-Category]],LEN(Table1[[#This Row],[Category and Sub-Category]])-FIND("/",Table1[[#This Row],[Category and Sub-Category]]))</f>
        <v>spaces</v>
      </c>
    </row>
    <row r="2946" spans="1:22" ht="43.2" x14ac:dyDescent="0.3">
      <c r="A2946">
        <v>2944</v>
      </c>
      <c r="B2946" s="3" t="s">
        <v>2944</v>
      </c>
      <c r="C2946" s="3" t="s">
        <v>7054</v>
      </c>
      <c r="D2946" s="12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>((Table1[[#This Row],[deadline]]/60)/60/24)+DATE(1970,1,1)</f>
        <v>42162.9143287037</v>
      </c>
      <c r="K2946">
        <v>1431122198</v>
      </c>
      <c r="L2946" s="11">
        <f>((Table1[[#This Row],[launched_at]]/60)/60/24)+DATE(1970,1,1)</f>
        <v>42132.9143287037</v>
      </c>
      <c r="M2946">
        <f>MONTH(Table1[[#This Row],[Date Created Conversion]])</f>
        <v>5</v>
      </c>
      <c r="N2946">
        <f>YEAR(Table1[[#This Row],[Date Created Conversion]])</f>
        <v>2015</v>
      </c>
      <c r="O2946" t="b">
        <v>0</v>
      </c>
      <c r="P2946">
        <v>1</v>
      </c>
      <c r="Q2946" t="b">
        <v>0</v>
      </c>
      <c r="R2946" t="s">
        <v>8303</v>
      </c>
      <c r="S2946" s="6">
        <f>Table1[[#This Row],[pledged]]/Table1[[#This Row],[goal]]</f>
        <v>0.01</v>
      </c>
      <c r="T2946" s="8">
        <f>IF(Table1[[#This Row],[pledged]]=0,"no backers",Table1[[#This Row],[pledged]]/Table1[[#This Row],[backers_count]])</f>
        <v>100</v>
      </c>
      <c r="U2946" t="str">
        <f>LEFT(Table1[[#This Row],[Category and Sub-Category]],FIND("/",Table1[[#This Row],[Category and Sub-Category]])-1)</f>
        <v>theater</v>
      </c>
      <c r="V2946" t="str">
        <f>RIGHT(Table1[[#This Row],[Category and Sub-Category]],LEN(Table1[[#This Row],[Category and Sub-Category]])-FIND("/",Table1[[#This Row],[Category and Sub-Category]]))</f>
        <v>spaces</v>
      </c>
    </row>
    <row r="2947" spans="1:22" ht="57.6" x14ac:dyDescent="0.3">
      <c r="A2947">
        <v>2945</v>
      </c>
      <c r="B2947" s="3" t="s">
        <v>2945</v>
      </c>
      <c r="C2947" s="3" t="s">
        <v>7055</v>
      </c>
      <c r="D2947" s="12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>((Table1[[#This Row],[deadline]]/60)/60/24)+DATE(1970,1,1)</f>
        <v>42148.139583333337</v>
      </c>
      <c r="K2947">
        <v>1429845660</v>
      </c>
      <c r="L2947" s="11">
        <f>((Table1[[#This Row],[launched_at]]/60)/60/24)+DATE(1970,1,1)</f>
        <v>42118.139583333337</v>
      </c>
      <c r="M2947">
        <f>MONTH(Table1[[#This Row],[Date Created Conversion]])</f>
        <v>4</v>
      </c>
      <c r="N2947">
        <f>YEAR(Table1[[#This Row],[Date Created Conversion]])</f>
        <v>2015</v>
      </c>
      <c r="O2947" t="b">
        <v>0</v>
      </c>
      <c r="P2947">
        <v>0</v>
      </c>
      <c r="Q2947" t="b">
        <v>0</v>
      </c>
      <c r="R2947" t="s">
        <v>8303</v>
      </c>
      <c r="S2947" s="6">
        <f>Table1[[#This Row],[pledged]]/Table1[[#This Row],[goal]]</f>
        <v>0</v>
      </c>
      <c r="T2947" s="8" t="str">
        <f>IF(Table1[[#This Row],[pledged]]=0,"no backers",Table1[[#This Row],[pledged]]/Table1[[#This Row],[backers_count]])</f>
        <v>no backers</v>
      </c>
      <c r="U2947" t="str">
        <f>LEFT(Table1[[#This Row],[Category and Sub-Category]],FIND("/",Table1[[#This Row],[Category and Sub-Category]])-1)</f>
        <v>theater</v>
      </c>
      <c r="V2947" t="str">
        <f>RIGHT(Table1[[#This Row],[Category and Sub-Category]],LEN(Table1[[#This Row],[Category and Sub-Category]])-FIND("/",Table1[[#This Row],[Category and Sub-Category]]))</f>
        <v>spaces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 s="12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>((Table1[[#This Row],[deadline]]/60)/60/24)+DATE(1970,1,1)</f>
        <v>42597.531157407408</v>
      </c>
      <c r="K2948">
        <v>1468673092</v>
      </c>
      <c r="L2948" s="11">
        <f>((Table1[[#This Row],[launched_at]]/60)/60/24)+DATE(1970,1,1)</f>
        <v>42567.531157407408</v>
      </c>
      <c r="M2948">
        <f>MONTH(Table1[[#This Row],[Date Created Conversion]])</f>
        <v>7</v>
      </c>
      <c r="N2948">
        <f>YEAR(Table1[[#This Row],[Date Created Conversion]])</f>
        <v>2016</v>
      </c>
      <c r="O2948" t="b">
        <v>0</v>
      </c>
      <c r="P2948">
        <v>2</v>
      </c>
      <c r="Q2948" t="b">
        <v>0</v>
      </c>
      <c r="R2948" t="s">
        <v>8303</v>
      </c>
      <c r="S2948" s="6">
        <f>Table1[[#This Row],[pledged]]/Table1[[#This Row],[goal]]</f>
        <v>1E-3</v>
      </c>
      <c r="T2948" s="8">
        <f>IF(Table1[[#This Row],[pledged]]=0,"no backers",Table1[[#This Row],[pledged]]/Table1[[#This Row],[backers_count]])</f>
        <v>1</v>
      </c>
      <c r="U2948" t="str">
        <f>LEFT(Table1[[#This Row],[Category and Sub-Category]],FIND("/",Table1[[#This Row],[Category and Sub-Category]])-1)</f>
        <v>theater</v>
      </c>
      <c r="V2948" t="str">
        <f>RIGHT(Table1[[#This Row],[Category and Sub-Category]],LEN(Table1[[#This Row],[Category and Sub-Category]])-FIND("/",Table1[[#This Row],[Category and Sub-Category]]))</f>
        <v>spaces</v>
      </c>
    </row>
    <row r="2949" spans="1:22" ht="57.6" x14ac:dyDescent="0.3">
      <c r="A2949">
        <v>2947</v>
      </c>
      <c r="B2949" s="3" t="s">
        <v>2947</v>
      </c>
      <c r="C2949" s="3" t="s">
        <v>7057</v>
      </c>
      <c r="D2949" s="12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>((Table1[[#This Row],[deadline]]/60)/60/24)+DATE(1970,1,1)</f>
        <v>42698.715972222228</v>
      </c>
      <c r="K2949">
        <v>1475760567</v>
      </c>
      <c r="L2949" s="11">
        <f>((Table1[[#This Row],[launched_at]]/60)/60/24)+DATE(1970,1,1)</f>
        <v>42649.562118055561</v>
      </c>
      <c r="M2949">
        <f>MONTH(Table1[[#This Row],[Date Created Conversion]])</f>
        <v>10</v>
      </c>
      <c r="N2949">
        <f>YEAR(Table1[[#This Row],[Date Created Conversion]])</f>
        <v>2016</v>
      </c>
      <c r="O2949" t="b">
        <v>0</v>
      </c>
      <c r="P2949">
        <v>13</v>
      </c>
      <c r="Q2949" t="b">
        <v>0</v>
      </c>
      <c r="R2949" t="s">
        <v>8303</v>
      </c>
      <c r="S2949" s="6">
        <f>Table1[[#This Row],[pledged]]/Table1[[#This Row],[goal]]</f>
        <v>4.2880000000000001E-2</v>
      </c>
      <c r="T2949" s="8">
        <f>IF(Table1[[#This Row],[pledged]]=0,"no backers",Table1[[#This Row],[pledged]]/Table1[[#This Row],[backers_count]])</f>
        <v>82.461538461538467</v>
      </c>
      <c r="U2949" t="str">
        <f>LEFT(Table1[[#This Row],[Category and Sub-Category]],FIND("/",Table1[[#This Row],[Category and Sub-Category]])-1)</f>
        <v>theater</v>
      </c>
      <c r="V2949" t="str">
        <f>RIGHT(Table1[[#This Row],[Category and Sub-Category]],LEN(Table1[[#This Row],[Category and Sub-Category]])-FIND("/",Table1[[#This Row],[Category and Sub-Category]]))</f>
        <v>spaces</v>
      </c>
    </row>
    <row r="2950" spans="1:22" ht="57.6" x14ac:dyDescent="0.3">
      <c r="A2950">
        <v>2948</v>
      </c>
      <c r="B2950" s="3" t="s">
        <v>2948</v>
      </c>
      <c r="C2950" s="3" t="s">
        <v>7058</v>
      </c>
      <c r="D2950" s="12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>((Table1[[#This Row],[deadline]]/60)/60/24)+DATE(1970,1,1)</f>
        <v>42157.649224537032</v>
      </c>
      <c r="K2950">
        <v>1428075293</v>
      </c>
      <c r="L2950" s="11">
        <f>((Table1[[#This Row],[launched_at]]/60)/60/24)+DATE(1970,1,1)</f>
        <v>42097.649224537032</v>
      </c>
      <c r="M2950">
        <f>MONTH(Table1[[#This Row],[Date Created Conversion]])</f>
        <v>4</v>
      </c>
      <c r="N2950">
        <f>YEAR(Table1[[#This Row],[Date Created Conversion]])</f>
        <v>2015</v>
      </c>
      <c r="O2950" t="b">
        <v>0</v>
      </c>
      <c r="P2950">
        <v>9</v>
      </c>
      <c r="Q2950" t="b">
        <v>0</v>
      </c>
      <c r="R2950" t="s">
        <v>8303</v>
      </c>
      <c r="S2950" s="6">
        <f>Table1[[#This Row],[pledged]]/Table1[[#This Row],[goal]]</f>
        <v>4.8000000000000001E-5</v>
      </c>
      <c r="T2950" s="8">
        <f>IF(Table1[[#This Row],[pledged]]=0,"no backers",Table1[[#This Row],[pledged]]/Table1[[#This Row],[backers_count]])</f>
        <v>2.6666666666666665</v>
      </c>
      <c r="U2950" t="str">
        <f>LEFT(Table1[[#This Row],[Category and Sub-Category]],FIND("/",Table1[[#This Row],[Category and Sub-Category]])-1)</f>
        <v>theater</v>
      </c>
      <c r="V2950" t="str">
        <f>RIGHT(Table1[[#This Row],[Category and Sub-Category]],LEN(Table1[[#This Row],[Category and Sub-Category]])-FIND("/",Table1[[#This Row],[Category and Sub-Category]]))</f>
        <v>spaces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 s="12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>((Table1[[#This Row],[deadline]]/60)/60/24)+DATE(1970,1,1)</f>
        <v>42327.864780092597</v>
      </c>
      <c r="K2951">
        <v>1445370317</v>
      </c>
      <c r="L2951" s="11">
        <f>((Table1[[#This Row],[launched_at]]/60)/60/24)+DATE(1970,1,1)</f>
        <v>42297.823113425926</v>
      </c>
      <c r="M2951">
        <f>MONTH(Table1[[#This Row],[Date Created Conversion]])</f>
        <v>10</v>
      </c>
      <c r="N2951">
        <f>YEAR(Table1[[#This Row],[Date Created Conversion]])</f>
        <v>2015</v>
      </c>
      <c r="O2951" t="b">
        <v>0</v>
      </c>
      <c r="P2951">
        <v>2</v>
      </c>
      <c r="Q2951" t="b">
        <v>0</v>
      </c>
      <c r="R2951" t="s">
        <v>8303</v>
      </c>
      <c r="S2951" s="6">
        <f>Table1[[#This Row],[pledged]]/Table1[[#This Row],[goal]]</f>
        <v>2.5000000000000001E-2</v>
      </c>
      <c r="T2951" s="8">
        <f>IF(Table1[[#This Row],[pledged]]=0,"no backers",Table1[[#This Row],[pledged]]/Table1[[#This Row],[backers_count]])</f>
        <v>12.5</v>
      </c>
      <c r="U2951" t="str">
        <f>LEFT(Table1[[#This Row],[Category and Sub-Category]],FIND("/",Table1[[#This Row],[Category and Sub-Category]])-1)</f>
        <v>theater</v>
      </c>
      <c r="V2951" t="str">
        <f>RIGHT(Table1[[#This Row],[Category and Sub-Category]],LEN(Table1[[#This Row],[Category and Sub-Category]])-FIND("/",Table1[[#This Row],[Category and Sub-Category]]))</f>
        <v>spaces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 s="1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>((Table1[[#This Row],[deadline]]/60)/60/24)+DATE(1970,1,1)</f>
        <v>42392.36518518519</v>
      </c>
      <c r="K2952">
        <v>1450946752</v>
      </c>
      <c r="L2952" s="11">
        <f>((Table1[[#This Row],[launched_at]]/60)/60/24)+DATE(1970,1,1)</f>
        <v>42362.36518518519</v>
      </c>
      <c r="M2952">
        <f>MONTH(Table1[[#This Row],[Date Created Conversion]])</f>
        <v>12</v>
      </c>
      <c r="N2952">
        <f>YEAR(Table1[[#This Row],[Date Created Conversion]])</f>
        <v>2015</v>
      </c>
      <c r="O2952" t="b">
        <v>0</v>
      </c>
      <c r="P2952">
        <v>0</v>
      </c>
      <c r="Q2952" t="b">
        <v>0</v>
      </c>
      <c r="R2952" t="s">
        <v>8303</v>
      </c>
      <c r="S2952" s="6">
        <f>Table1[[#This Row],[pledged]]/Table1[[#This Row],[goal]]</f>
        <v>0</v>
      </c>
      <c r="T2952" s="8" t="str">
        <f>IF(Table1[[#This Row],[pledged]]=0,"no backers",Table1[[#This Row],[pledged]]/Table1[[#This Row],[backers_count]])</f>
        <v>no backers</v>
      </c>
      <c r="U2952" t="str">
        <f>LEFT(Table1[[#This Row],[Category and Sub-Category]],FIND("/",Table1[[#This Row],[Category and Sub-Category]])-1)</f>
        <v>theater</v>
      </c>
      <c r="V2952" t="str">
        <f>RIGHT(Table1[[#This Row],[Category and Sub-Category]],LEN(Table1[[#This Row],[Category and Sub-Category]])-FIND("/",Table1[[#This Row],[Category and Sub-Category]]))</f>
        <v>spaces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 s="12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>((Table1[[#This Row],[deadline]]/60)/60/24)+DATE(1970,1,1)</f>
        <v>41917.802928240737</v>
      </c>
      <c r="K2953">
        <v>1408648573</v>
      </c>
      <c r="L2953" s="11">
        <f>((Table1[[#This Row],[launched_at]]/60)/60/24)+DATE(1970,1,1)</f>
        <v>41872.802928240737</v>
      </c>
      <c r="M2953">
        <f>MONTH(Table1[[#This Row],[Date Created Conversion]])</f>
        <v>8</v>
      </c>
      <c r="N2953">
        <f>YEAR(Table1[[#This Row],[Date Created Conversion]])</f>
        <v>2014</v>
      </c>
      <c r="O2953" t="b">
        <v>0</v>
      </c>
      <c r="P2953">
        <v>58</v>
      </c>
      <c r="Q2953" t="b">
        <v>0</v>
      </c>
      <c r="R2953" t="s">
        <v>8303</v>
      </c>
      <c r="S2953" s="6">
        <f>Table1[[#This Row],[pledged]]/Table1[[#This Row],[goal]]</f>
        <v>2.1919999999999999E-2</v>
      </c>
      <c r="T2953" s="8">
        <f>IF(Table1[[#This Row],[pledged]]=0,"no backers",Table1[[#This Row],[pledged]]/Table1[[#This Row],[backers_count]])</f>
        <v>18.896551724137932</v>
      </c>
      <c r="U2953" t="str">
        <f>LEFT(Table1[[#This Row],[Category and Sub-Category]],FIND("/",Table1[[#This Row],[Category and Sub-Category]])-1)</f>
        <v>theater</v>
      </c>
      <c r="V2953" t="str">
        <f>RIGHT(Table1[[#This Row],[Category and Sub-Category]],LEN(Table1[[#This Row],[Category and Sub-Category]])-FIND("/",Table1[[#This Row],[Category and Sub-Category]]))</f>
        <v>spaces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 s="12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>((Table1[[#This Row],[deadline]]/60)/60/24)+DATE(1970,1,1)</f>
        <v>42660.166666666672</v>
      </c>
      <c r="K2954">
        <v>1473957239</v>
      </c>
      <c r="L2954" s="11">
        <f>((Table1[[#This Row],[launched_at]]/60)/60/24)+DATE(1970,1,1)</f>
        <v>42628.690266203703</v>
      </c>
      <c r="M2954">
        <f>MONTH(Table1[[#This Row],[Date Created Conversion]])</f>
        <v>9</v>
      </c>
      <c r="N2954">
        <f>YEAR(Table1[[#This Row],[Date Created Conversion]])</f>
        <v>2016</v>
      </c>
      <c r="O2954" t="b">
        <v>0</v>
      </c>
      <c r="P2954">
        <v>8</v>
      </c>
      <c r="Q2954" t="b">
        <v>0</v>
      </c>
      <c r="R2954" t="s">
        <v>8303</v>
      </c>
      <c r="S2954" s="6">
        <f>Table1[[#This Row],[pledged]]/Table1[[#This Row],[goal]]</f>
        <v>8.0250000000000002E-2</v>
      </c>
      <c r="T2954" s="8">
        <f>IF(Table1[[#This Row],[pledged]]=0,"no backers",Table1[[#This Row],[pledged]]/Table1[[#This Row],[backers_count]])</f>
        <v>200.625</v>
      </c>
      <c r="U2954" t="str">
        <f>LEFT(Table1[[#This Row],[Category and Sub-Category]],FIND("/",Table1[[#This Row],[Category and Sub-Category]])-1)</f>
        <v>theater</v>
      </c>
      <c r="V2954" t="str">
        <f>RIGHT(Table1[[#This Row],[Category and Sub-Category]],LEN(Table1[[#This Row],[Category and Sub-Category]])-FIND("/",Table1[[#This Row],[Category and Sub-Category]]))</f>
        <v>spaces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 s="12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>((Table1[[#This Row],[deadline]]/60)/60/24)+DATE(1970,1,1)</f>
        <v>42285.791909722218</v>
      </c>
      <c r="K2955">
        <v>1441738821</v>
      </c>
      <c r="L2955" s="11">
        <f>((Table1[[#This Row],[launched_at]]/60)/60/24)+DATE(1970,1,1)</f>
        <v>42255.791909722218</v>
      </c>
      <c r="M2955">
        <f>MONTH(Table1[[#This Row],[Date Created Conversion]])</f>
        <v>9</v>
      </c>
      <c r="N2955">
        <f>YEAR(Table1[[#This Row],[Date Created Conversion]])</f>
        <v>2015</v>
      </c>
      <c r="O2955" t="b">
        <v>0</v>
      </c>
      <c r="P2955">
        <v>3</v>
      </c>
      <c r="Q2955" t="b">
        <v>0</v>
      </c>
      <c r="R2955" t="s">
        <v>8303</v>
      </c>
      <c r="S2955" s="6">
        <f>Table1[[#This Row],[pledged]]/Table1[[#This Row],[goal]]</f>
        <v>1.5125E-3</v>
      </c>
      <c r="T2955" s="8">
        <f>IF(Table1[[#This Row],[pledged]]=0,"no backers",Table1[[#This Row],[pledged]]/Table1[[#This Row],[backers_count]])</f>
        <v>201.66666666666666</v>
      </c>
      <c r="U2955" t="str">
        <f>LEFT(Table1[[#This Row],[Category and Sub-Category]],FIND("/",Table1[[#This Row],[Category and Sub-Category]])-1)</f>
        <v>theater</v>
      </c>
      <c r="V2955" t="str">
        <f>RIGHT(Table1[[#This Row],[Category and Sub-Category]],LEN(Table1[[#This Row],[Category and Sub-Category]])-FIND("/",Table1[[#This Row],[Category and Sub-Category]]))</f>
        <v>spaces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 s="12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>((Table1[[#This Row],[deadline]]/60)/60/24)+DATE(1970,1,1)</f>
        <v>42810.541701388895</v>
      </c>
      <c r="K2956">
        <v>1487944803</v>
      </c>
      <c r="L2956" s="11">
        <f>((Table1[[#This Row],[launched_at]]/60)/60/24)+DATE(1970,1,1)</f>
        <v>42790.583368055552</v>
      </c>
      <c r="M2956">
        <f>MONTH(Table1[[#This Row],[Date Created Conversion]])</f>
        <v>2</v>
      </c>
      <c r="N2956">
        <f>YEAR(Table1[[#This Row],[Date Created Conversion]])</f>
        <v>2017</v>
      </c>
      <c r="O2956" t="b">
        <v>0</v>
      </c>
      <c r="P2956">
        <v>0</v>
      </c>
      <c r="Q2956" t="b">
        <v>0</v>
      </c>
      <c r="R2956" t="s">
        <v>8303</v>
      </c>
      <c r="S2956" s="6">
        <f>Table1[[#This Row],[pledged]]/Table1[[#This Row],[goal]]</f>
        <v>0</v>
      </c>
      <c r="T2956" s="8" t="str">
        <f>IF(Table1[[#This Row],[pledged]]=0,"no backers",Table1[[#This Row],[pledged]]/Table1[[#This Row],[backers_count]])</f>
        <v>no backers</v>
      </c>
      <c r="U2956" t="str">
        <f>LEFT(Table1[[#This Row],[Category and Sub-Category]],FIND("/",Table1[[#This Row],[Category and Sub-Category]])-1)</f>
        <v>theater</v>
      </c>
      <c r="V2956" t="str">
        <f>RIGHT(Table1[[#This Row],[Category and Sub-Category]],LEN(Table1[[#This Row],[Category and Sub-Category]])-FIND("/",Table1[[#This Row],[Category and Sub-Category]]))</f>
        <v>spaces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 s="12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>((Table1[[#This Row],[deadline]]/60)/60/24)+DATE(1970,1,1)</f>
        <v>42171.741307870368</v>
      </c>
      <c r="K2957">
        <v>1431884849</v>
      </c>
      <c r="L2957" s="11">
        <f>((Table1[[#This Row],[launched_at]]/60)/60/24)+DATE(1970,1,1)</f>
        <v>42141.741307870368</v>
      </c>
      <c r="M2957">
        <f>MONTH(Table1[[#This Row],[Date Created Conversion]])</f>
        <v>5</v>
      </c>
      <c r="N2957">
        <f>YEAR(Table1[[#This Row],[Date Created Conversion]])</f>
        <v>2015</v>
      </c>
      <c r="O2957" t="b">
        <v>0</v>
      </c>
      <c r="P2957">
        <v>11</v>
      </c>
      <c r="Q2957" t="b">
        <v>0</v>
      </c>
      <c r="R2957" t="s">
        <v>8303</v>
      </c>
      <c r="S2957" s="6">
        <f>Table1[[#This Row],[pledged]]/Table1[[#This Row],[goal]]</f>
        <v>0.59583333333333333</v>
      </c>
      <c r="T2957" s="8">
        <f>IF(Table1[[#This Row],[pledged]]=0,"no backers",Table1[[#This Row],[pledged]]/Table1[[#This Row],[backers_count]])</f>
        <v>65</v>
      </c>
      <c r="U2957" t="str">
        <f>LEFT(Table1[[#This Row],[Category and Sub-Category]],FIND("/",Table1[[#This Row],[Category and Sub-Category]])-1)</f>
        <v>theater</v>
      </c>
      <c r="V2957" t="str">
        <f>RIGHT(Table1[[#This Row],[Category and Sub-Category]],LEN(Table1[[#This Row],[Category and Sub-Category]])-FIND("/",Table1[[#This Row],[Category and Sub-Category]]))</f>
        <v>spaces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 s="12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>((Table1[[#This Row],[deadline]]/60)/60/24)+DATE(1970,1,1)</f>
        <v>42494.958912037036</v>
      </c>
      <c r="K2958">
        <v>1459810850</v>
      </c>
      <c r="L2958" s="11">
        <f>((Table1[[#This Row],[launched_at]]/60)/60/24)+DATE(1970,1,1)</f>
        <v>42464.958912037036</v>
      </c>
      <c r="M2958">
        <f>MONTH(Table1[[#This Row],[Date Created Conversion]])</f>
        <v>4</v>
      </c>
      <c r="N2958">
        <f>YEAR(Table1[[#This Row],[Date Created Conversion]])</f>
        <v>2016</v>
      </c>
      <c r="O2958" t="b">
        <v>0</v>
      </c>
      <c r="P2958">
        <v>20</v>
      </c>
      <c r="Q2958" t="b">
        <v>0</v>
      </c>
      <c r="R2958" t="s">
        <v>8303</v>
      </c>
      <c r="S2958" s="6">
        <f>Table1[[#This Row],[pledged]]/Table1[[#This Row],[goal]]</f>
        <v>0.16734177215189874</v>
      </c>
      <c r="T2958" s="8">
        <f>IF(Table1[[#This Row],[pledged]]=0,"no backers",Table1[[#This Row],[pledged]]/Table1[[#This Row],[backers_count]])</f>
        <v>66.099999999999994</v>
      </c>
      <c r="U2958" t="str">
        <f>LEFT(Table1[[#This Row],[Category and Sub-Category]],FIND("/",Table1[[#This Row],[Category and Sub-Category]])-1)</f>
        <v>theater</v>
      </c>
      <c r="V2958" t="str">
        <f>RIGHT(Table1[[#This Row],[Category and Sub-Category]],LEN(Table1[[#This Row],[Category and Sub-Category]])-FIND("/",Table1[[#This Row],[Category and Sub-Category]]))</f>
        <v>spaces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 s="12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>((Table1[[#This Row],[deadline]]/60)/60/24)+DATE(1970,1,1)</f>
        <v>42090.969583333332</v>
      </c>
      <c r="K2959">
        <v>1422317772</v>
      </c>
      <c r="L2959" s="11">
        <f>((Table1[[#This Row],[launched_at]]/60)/60/24)+DATE(1970,1,1)</f>
        <v>42031.011249999996</v>
      </c>
      <c r="M2959">
        <f>MONTH(Table1[[#This Row],[Date Created Conversion]])</f>
        <v>1</v>
      </c>
      <c r="N2959">
        <f>YEAR(Table1[[#This Row],[Date Created Conversion]])</f>
        <v>2015</v>
      </c>
      <c r="O2959" t="b">
        <v>0</v>
      </c>
      <c r="P2959">
        <v>3</v>
      </c>
      <c r="Q2959" t="b">
        <v>0</v>
      </c>
      <c r="R2959" t="s">
        <v>8303</v>
      </c>
      <c r="S2959" s="6">
        <f>Table1[[#This Row],[pledged]]/Table1[[#This Row],[goal]]</f>
        <v>1.8666666666666668E-2</v>
      </c>
      <c r="T2959" s="8">
        <f>IF(Table1[[#This Row],[pledged]]=0,"no backers",Table1[[#This Row],[pledged]]/Table1[[#This Row],[backers_count]])</f>
        <v>93.333333333333329</v>
      </c>
      <c r="U2959" t="str">
        <f>LEFT(Table1[[#This Row],[Category and Sub-Category]],FIND("/",Table1[[#This Row],[Category and Sub-Category]])-1)</f>
        <v>theater</v>
      </c>
      <c r="V2959" t="str">
        <f>RIGHT(Table1[[#This Row],[Category and Sub-Category]],LEN(Table1[[#This Row],[Category and Sub-Category]])-FIND("/",Table1[[#This Row],[Category and Sub-Category]]))</f>
        <v>spaces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 s="12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>((Table1[[#This Row],[deadline]]/60)/60/24)+DATE(1970,1,1)</f>
        <v>42498.73746527778</v>
      </c>
      <c r="K2960">
        <v>1457548917</v>
      </c>
      <c r="L2960" s="11">
        <f>((Table1[[#This Row],[launched_at]]/60)/60/24)+DATE(1970,1,1)</f>
        <v>42438.779131944444</v>
      </c>
      <c r="M2960">
        <f>MONTH(Table1[[#This Row],[Date Created Conversion]])</f>
        <v>3</v>
      </c>
      <c r="N2960">
        <f>YEAR(Table1[[#This Row],[Date Created Conversion]])</f>
        <v>2016</v>
      </c>
      <c r="O2960" t="b">
        <v>0</v>
      </c>
      <c r="P2960">
        <v>0</v>
      </c>
      <c r="Q2960" t="b">
        <v>0</v>
      </c>
      <c r="R2960" t="s">
        <v>8303</v>
      </c>
      <c r="S2960" s="6">
        <f>Table1[[#This Row],[pledged]]/Table1[[#This Row],[goal]]</f>
        <v>0</v>
      </c>
      <c r="T2960" s="8" t="str">
        <f>IF(Table1[[#This Row],[pledged]]=0,"no backers",Table1[[#This Row],[pledged]]/Table1[[#This Row],[backers_count]])</f>
        <v>no backers</v>
      </c>
      <c r="U2960" t="str">
        <f>LEFT(Table1[[#This Row],[Category and Sub-Category]],FIND("/",Table1[[#This Row],[Category and Sub-Category]])-1)</f>
        <v>theater</v>
      </c>
      <c r="V2960" t="str">
        <f>RIGHT(Table1[[#This Row],[Category and Sub-Category]],LEN(Table1[[#This Row],[Category and Sub-Category]])-FIND("/",Table1[[#This Row],[Category and Sub-Category]]))</f>
        <v>spaces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 s="12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>((Table1[[#This Row],[deadline]]/60)/60/24)+DATE(1970,1,1)</f>
        <v>42528.008391203708</v>
      </c>
      <c r="K2961">
        <v>1462666325</v>
      </c>
      <c r="L2961" s="11">
        <f>((Table1[[#This Row],[launched_at]]/60)/60/24)+DATE(1970,1,1)</f>
        <v>42498.008391203708</v>
      </c>
      <c r="M2961">
        <f>MONTH(Table1[[#This Row],[Date Created Conversion]])</f>
        <v>5</v>
      </c>
      <c r="N2961">
        <f>YEAR(Table1[[#This Row],[Date Created Conversion]])</f>
        <v>2016</v>
      </c>
      <c r="O2961" t="b">
        <v>0</v>
      </c>
      <c r="P2961">
        <v>0</v>
      </c>
      <c r="Q2961" t="b">
        <v>0</v>
      </c>
      <c r="R2961" t="s">
        <v>8303</v>
      </c>
      <c r="S2961" s="6">
        <f>Table1[[#This Row],[pledged]]/Table1[[#This Row],[goal]]</f>
        <v>0</v>
      </c>
      <c r="T2961" s="8" t="str">
        <f>IF(Table1[[#This Row],[pledged]]=0,"no backers",Table1[[#This Row],[pledged]]/Table1[[#This Row],[backers_count]])</f>
        <v>no backers</v>
      </c>
      <c r="U2961" t="str">
        <f>LEFT(Table1[[#This Row],[Category and Sub-Category]],FIND("/",Table1[[#This Row],[Category and Sub-Category]])-1)</f>
        <v>theater</v>
      </c>
      <c r="V2961" t="str">
        <f>RIGHT(Table1[[#This Row],[Category and Sub-Category]],LEN(Table1[[#This Row],[Category and Sub-Category]])-FIND("/",Table1[[#This Row],[Category and Sub-Category]]))</f>
        <v>spaces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 s="1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>((Table1[[#This Row],[deadline]]/60)/60/24)+DATE(1970,1,1)</f>
        <v>41893.757210648146</v>
      </c>
      <c r="K2962">
        <v>1407867023</v>
      </c>
      <c r="L2962" s="11">
        <f>((Table1[[#This Row],[launched_at]]/60)/60/24)+DATE(1970,1,1)</f>
        <v>41863.757210648146</v>
      </c>
      <c r="M2962">
        <f>MONTH(Table1[[#This Row],[Date Created Conversion]])</f>
        <v>8</v>
      </c>
      <c r="N2962">
        <f>YEAR(Table1[[#This Row],[Date Created Conversion]])</f>
        <v>2014</v>
      </c>
      <c r="O2962" t="b">
        <v>0</v>
      </c>
      <c r="P2962">
        <v>0</v>
      </c>
      <c r="Q2962" t="b">
        <v>0</v>
      </c>
      <c r="R2962" t="s">
        <v>8303</v>
      </c>
      <c r="S2962" s="6">
        <f>Table1[[#This Row],[pledged]]/Table1[[#This Row],[goal]]</f>
        <v>0</v>
      </c>
      <c r="T2962" s="8" t="str">
        <f>IF(Table1[[#This Row],[pledged]]=0,"no backers",Table1[[#This Row],[pledged]]/Table1[[#This Row],[backers_count]])</f>
        <v>no backers</v>
      </c>
      <c r="U2962" t="str">
        <f>LEFT(Table1[[#This Row],[Category and Sub-Category]],FIND("/",Table1[[#This Row],[Category and Sub-Category]])-1)</f>
        <v>theater</v>
      </c>
      <c r="V2962" t="str">
        <f>RIGHT(Table1[[#This Row],[Category and Sub-Category]],LEN(Table1[[#This Row],[Category and Sub-Category]])-FIND("/",Table1[[#This Row],[Category and Sub-Category]]))</f>
        <v>spaces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 s="12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>((Table1[[#This Row],[deadline]]/60)/60/24)+DATE(1970,1,1)</f>
        <v>42089.166666666672</v>
      </c>
      <c r="K2963">
        <v>1424927159</v>
      </c>
      <c r="L2963" s="11">
        <f>((Table1[[#This Row],[launched_at]]/60)/60/24)+DATE(1970,1,1)</f>
        <v>42061.212488425925</v>
      </c>
      <c r="M2963">
        <f>MONTH(Table1[[#This Row],[Date Created Conversion]])</f>
        <v>2</v>
      </c>
      <c r="N2963">
        <f>YEAR(Table1[[#This Row],[Date Created Conversion]])</f>
        <v>2015</v>
      </c>
      <c r="O2963" t="b">
        <v>0</v>
      </c>
      <c r="P2963">
        <v>108</v>
      </c>
      <c r="Q2963" t="b">
        <v>1</v>
      </c>
      <c r="R2963" t="s">
        <v>8271</v>
      </c>
      <c r="S2963" s="6">
        <f>Table1[[#This Row],[pledged]]/Table1[[#This Row],[goal]]</f>
        <v>1.0962000000000001</v>
      </c>
      <c r="T2963" s="8">
        <f>IF(Table1[[#This Row],[pledged]]=0,"no backers",Table1[[#This Row],[pledged]]/Table1[[#This Row],[backers_count]])</f>
        <v>50.75</v>
      </c>
      <c r="U2963" t="str">
        <f>LEFT(Table1[[#This Row],[Category and Sub-Category]],FIND("/",Table1[[#This Row],[Category and Sub-Category]])-1)</f>
        <v>theater</v>
      </c>
      <c r="V2963" t="str">
        <f>RIGHT(Table1[[#This Row],[Category and Sub-Category]],LEN(Table1[[#This Row],[Category and Sub-Category]])-FIND("/",Table1[[#This Row],[Category and Sub-Category]]))</f>
        <v>plays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 s="12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>((Table1[[#This Row],[deadline]]/60)/60/24)+DATE(1970,1,1)</f>
        <v>42064.290972222225</v>
      </c>
      <c r="K2964">
        <v>1422769906</v>
      </c>
      <c r="L2964" s="11">
        <f>((Table1[[#This Row],[launched_at]]/60)/60/24)+DATE(1970,1,1)</f>
        <v>42036.24428240741</v>
      </c>
      <c r="M2964">
        <f>MONTH(Table1[[#This Row],[Date Created Conversion]])</f>
        <v>2</v>
      </c>
      <c r="N2964">
        <f>YEAR(Table1[[#This Row],[Date Created Conversion]])</f>
        <v>2015</v>
      </c>
      <c r="O2964" t="b">
        <v>0</v>
      </c>
      <c r="P2964">
        <v>20</v>
      </c>
      <c r="Q2964" t="b">
        <v>1</v>
      </c>
      <c r="R2964" t="s">
        <v>8271</v>
      </c>
      <c r="S2964" s="6">
        <f>Table1[[#This Row],[pledged]]/Table1[[#This Row],[goal]]</f>
        <v>1.218</v>
      </c>
      <c r="T2964" s="8">
        <f>IF(Table1[[#This Row],[pledged]]=0,"no backers",Table1[[#This Row],[pledged]]/Table1[[#This Row],[backers_count]])</f>
        <v>60.9</v>
      </c>
      <c r="U2964" t="str">
        <f>LEFT(Table1[[#This Row],[Category and Sub-Category]],FIND("/",Table1[[#This Row],[Category and Sub-Category]])-1)</f>
        <v>theater</v>
      </c>
      <c r="V2964" t="str">
        <f>RIGHT(Table1[[#This Row],[Category and Sub-Category]],LEN(Table1[[#This Row],[Category and Sub-Category]])-FIND("/",Table1[[#This Row],[Category and Sub-Category]]))</f>
        <v>plays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 s="12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>((Table1[[#This Row],[deadline]]/60)/60/24)+DATE(1970,1,1)</f>
        <v>42187.470185185186</v>
      </c>
      <c r="K2965">
        <v>1433243824</v>
      </c>
      <c r="L2965" s="11">
        <f>((Table1[[#This Row],[launched_at]]/60)/60/24)+DATE(1970,1,1)</f>
        <v>42157.470185185186</v>
      </c>
      <c r="M2965">
        <f>MONTH(Table1[[#This Row],[Date Created Conversion]])</f>
        <v>6</v>
      </c>
      <c r="N2965">
        <f>YEAR(Table1[[#This Row],[Date Created Conversion]])</f>
        <v>2015</v>
      </c>
      <c r="O2965" t="b">
        <v>0</v>
      </c>
      <c r="P2965">
        <v>98</v>
      </c>
      <c r="Q2965" t="b">
        <v>1</v>
      </c>
      <c r="R2965" t="s">
        <v>8271</v>
      </c>
      <c r="S2965" s="6">
        <f>Table1[[#This Row],[pledged]]/Table1[[#This Row],[goal]]</f>
        <v>1.0685</v>
      </c>
      <c r="T2965" s="8">
        <f>IF(Table1[[#This Row],[pledged]]=0,"no backers",Table1[[#This Row],[pledged]]/Table1[[#This Row],[backers_count]])</f>
        <v>109.03061224489795</v>
      </c>
      <c r="U2965" t="str">
        <f>LEFT(Table1[[#This Row],[Category and Sub-Category]],FIND("/",Table1[[#This Row],[Category and Sub-Category]])-1)</f>
        <v>theater</v>
      </c>
      <c r="V2965" t="str">
        <f>RIGHT(Table1[[#This Row],[Category and Sub-Category]],LEN(Table1[[#This Row],[Category and Sub-Category]])-FIND("/",Table1[[#This Row],[Category and Sub-Category]]))</f>
        <v>plays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 s="12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>((Table1[[#This Row],[deadline]]/60)/60/24)+DATE(1970,1,1)</f>
        <v>41857.897222222222</v>
      </c>
      <c r="K2966">
        <v>1404769819</v>
      </c>
      <c r="L2966" s="11">
        <f>((Table1[[#This Row],[launched_at]]/60)/60/24)+DATE(1970,1,1)</f>
        <v>41827.909942129627</v>
      </c>
      <c r="M2966">
        <f>MONTH(Table1[[#This Row],[Date Created Conversion]])</f>
        <v>7</v>
      </c>
      <c r="N2966">
        <f>YEAR(Table1[[#This Row],[Date Created Conversion]])</f>
        <v>2014</v>
      </c>
      <c r="O2966" t="b">
        <v>0</v>
      </c>
      <c r="P2966">
        <v>196</v>
      </c>
      <c r="Q2966" t="b">
        <v>1</v>
      </c>
      <c r="R2966" t="s">
        <v>8271</v>
      </c>
      <c r="S2966" s="6">
        <f>Table1[[#This Row],[pledged]]/Table1[[#This Row],[goal]]</f>
        <v>1.0071379999999999</v>
      </c>
      <c r="T2966" s="8">
        <f>IF(Table1[[#This Row],[pledged]]=0,"no backers",Table1[[#This Row],[pledged]]/Table1[[#This Row],[backers_count]])</f>
        <v>25.692295918367346</v>
      </c>
      <c r="U2966" t="str">
        <f>LEFT(Table1[[#This Row],[Category and Sub-Category]],FIND("/",Table1[[#This Row],[Category and Sub-Category]])-1)</f>
        <v>theater</v>
      </c>
      <c r="V2966" t="str">
        <f>RIGHT(Table1[[#This Row],[Category and Sub-Category]],LEN(Table1[[#This Row],[Category and Sub-Category]])-FIND("/",Table1[[#This Row],[Category and Sub-Category]]))</f>
        <v>plays</v>
      </c>
    </row>
    <row r="2967" spans="1:22" ht="57.6" x14ac:dyDescent="0.3">
      <c r="A2967">
        <v>2965</v>
      </c>
      <c r="B2967" s="3" t="s">
        <v>2965</v>
      </c>
      <c r="C2967" s="3" t="s">
        <v>7075</v>
      </c>
      <c r="D2967" s="12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>((Table1[[#This Row],[deadline]]/60)/60/24)+DATE(1970,1,1)</f>
        <v>42192.729548611111</v>
      </c>
      <c r="K2967">
        <v>1433698233</v>
      </c>
      <c r="L2967" s="11">
        <f>((Table1[[#This Row],[launched_at]]/60)/60/24)+DATE(1970,1,1)</f>
        <v>42162.729548611111</v>
      </c>
      <c r="M2967">
        <f>MONTH(Table1[[#This Row],[Date Created Conversion]])</f>
        <v>6</v>
      </c>
      <c r="N2967">
        <f>YEAR(Table1[[#This Row],[Date Created Conversion]])</f>
        <v>2015</v>
      </c>
      <c r="O2967" t="b">
        <v>0</v>
      </c>
      <c r="P2967">
        <v>39</v>
      </c>
      <c r="Q2967" t="b">
        <v>1</v>
      </c>
      <c r="R2967" t="s">
        <v>8271</v>
      </c>
      <c r="S2967" s="6">
        <f>Table1[[#This Row],[pledged]]/Table1[[#This Row],[goal]]</f>
        <v>1.0900000000000001</v>
      </c>
      <c r="T2967" s="8">
        <f>IF(Table1[[#This Row],[pledged]]=0,"no backers",Table1[[#This Row],[pledged]]/Table1[[#This Row],[backers_count]])</f>
        <v>41.92307692307692</v>
      </c>
      <c r="U2967" t="str">
        <f>LEFT(Table1[[#This Row],[Category and Sub-Category]],FIND("/",Table1[[#This Row],[Category and Sub-Category]])-1)</f>
        <v>theater</v>
      </c>
      <c r="V2967" t="str">
        <f>RIGHT(Table1[[#This Row],[Category and Sub-Category]],LEN(Table1[[#This Row],[Category and Sub-Category]])-FIND("/",Table1[[#This Row],[Category and Sub-Category]]))</f>
        <v>plays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 s="12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>((Table1[[#This Row],[deadline]]/60)/60/24)+DATE(1970,1,1)</f>
        <v>42263.738564814819</v>
      </c>
      <c r="K2968">
        <v>1439833412</v>
      </c>
      <c r="L2968" s="11">
        <f>((Table1[[#This Row],[launched_at]]/60)/60/24)+DATE(1970,1,1)</f>
        <v>42233.738564814819</v>
      </c>
      <c r="M2968">
        <f>MONTH(Table1[[#This Row],[Date Created Conversion]])</f>
        <v>8</v>
      </c>
      <c r="N2968">
        <f>YEAR(Table1[[#This Row],[Date Created Conversion]])</f>
        <v>2015</v>
      </c>
      <c r="O2968" t="b">
        <v>0</v>
      </c>
      <c r="P2968">
        <v>128</v>
      </c>
      <c r="Q2968" t="b">
        <v>1</v>
      </c>
      <c r="R2968" t="s">
        <v>8271</v>
      </c>
      <c r="S2968" s="6">
        <f>Table1[[#This Row],[pledged]]/Table1[[#This Row],[goal]]</f>
        <v>1.1363000000000001</v>
      </c>
      <c r="T2968" s="8">
        <f>IF(Table1[[#This Row],[pledged]]=0,"no backers",Table1[[#This Row],[pledged]]/Table1[[#This Row],[backers_count]])</f>
        <v>88.7734375</v>
      </c>
      <c r="U2968" t="str">
        <f>LEFT(Table1[[#This Row],[Category and Sub-Category]],FIND("/",Table1[[#This Row],[Category and Sub-Category]])-1)</f>
        <v>theater</v>
      </c>
      <c r="V2968" t="str">
        <f>RIGHT(Table1[[#This Row],[Category and Sub-Category]],LEN(Table1[[#This Row],[Category and Sub-Category]])-FIND("/",Table1[[#This Row],[Category and Sub-Category]]))</f>
        <v>plays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 s="12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>((Table1[[#This Row],[deadline]]/60)/60/24)+DATE(1970,1,1)</f>
        <v>42072.156157407408</v>
      </c>
      <c r="K2969">
        <v>1423284292</v>
      </c>
      <c r="L2969" s="11">
        <f>((Table1[[#This Row],[launched_at]]/60)/60/24)+DATE(1970,1,1)</f>
        <v>42042.197824074072</v>
      </c>
      <c r="M2969">
        <f>MONTH(Table1[[#This Row],[Date Created Conversion]])</f>
        <v>2</v>
      </c>
      <c r="N2969">
        <f>YEAR(Table1[[#This Row],[Date Created Conversion]])</f>
        <v>2015</v>
      </c>
      <c r="O2969" t="b">
        <v>0</v>
      </c>
      <c r="P2969">
        <v>71</v>
      </c>
      <c r="Q2969" t="b">
        <v>1</v>
      </c>
      <c r="R2969" t="s">
        <v>8271</v>
      </c>
      <c r="S2969" s="6">
        <f>Table1[[#This Row],[pledged]]/Table1[[#This Row],[goal]]</f>
        <v>1.1392</v>
      </c>
      <c r="T2969" s="8">
        <f>IF(Table1[[#This Row],[pledged]]=0,"no backers",Table1[[#This Row],[pledged]]/Table1[[#This Row],[backers_count]])</f>
        <v>80.225352112676063</v>
      </c>
      <c r="U2969" t="str">
        <f>LEFT(Table1[[#This Row],[Category and Sub-Category]],FIND("/",Table1[[#This Row],[Category and Sub-Category]])-1)</f>
        <v>theater</v>
      </c>
      <c r="V2969" t="str">
        <f>RIGHT(Table1[[#This Row],[Category and Sub-Category]],LEN(Table1[[#This Row],[Category and Sub-Category]])-FIND("/",Table1[[#This Row],[Category and Sub-Category]]))</f>
        <v>plays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 s="12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>((Table1[[#This Row],[deadline]]/60)/60/24)+DATE(1970,1,1)</f>
        <v>42599.165972222225</v>
      </c>
      <c r="K2970">
        <v>1470227660</v>
      </c>
      <c r="L2970" s="11">
        <f>((Table1[[#This Row],[launched_at]]/60)/60/24)+DATE(1970,1,1)</f>
        <v>42585.523842592593</v>
      </c>
      <c r="M2970">
        <f>MONTH(Table1[[#This Row],[Date Created Conversion]])</f>
        <v>8</v>
      </c>
      <c r="N2970">
        <f>YEAR(Table1[[#This Row],[Date Created Conversion]])</f>
        <v>2016</v>
      </c>
      <c r="O2970" t="b">
        <v>0</v>
      </c>
      <c r="P2970">
        <v>47</v>
      </c>
      <c r="Q2970" t="b">
        <v>1</v>
      </c>
      <c r="R2970" t="s">
        <v>8271</v>
      </c>
      <c r="S2970" s="6">
        <f>Table1[[#This Row],[pledged]]/Table1[[#This Row],[goal]]</f>
        <v>1.06</v>
      </c>
      <c r="T2970" s="8">
        <f>IF(Table1[[#This Row],[pledged]]=0,"no backers",Table1[[#This Row],[pledged]]/Table1[[#This Row],[backers_count]])</f>
        <v>78.936170212765958</v>
      </c>
      <c r="U2970" t="str">
        <f>LEFT(Table1[[#This Row],[Category and Sub-Category]],FIND("/",Table1[[#This Row],[Category and Sub-Category]])-1)</f>
        <v>theater</v>
      </c>
      <c r="V2970" t="str">
        <f>RIGHT(Table1[[#This Row],[Category and Sub-Category]],LEN(Table1[[#This Row],[Category and Sub-Category]])-FIND("/",Table1[[#This Row],[Category and Sub-Category]]))</f>
        <v>plays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 s="12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>((Table1[[#This Row],[deadline]]/60)/60/24)+DATE(1970,1,1)</f>
        <v>42127.952083333337</v>
      </c>
      <c r="K2971">
        <v>1428087153</v>
      </c>
      <c r="L2971" s="11">
        <f>((Table1[[#This Row],[launched_at]]/60)/60/24)+DATE(1970,1,1)</f>
        <v>42097.786493055552</v>
      </c>
      <c r="M2971">
        <f>MONTH(Table1[[#This Row],[Date Created Conversion]])</f>
        <v>4</v>
      </c>
      <c r="N2971">
        <f>YEAR(Table1[[#This Row],[Date Created Conversion]])</f>
        <v>2015</v>
      </c>
      <c r="O2971" t="b">
        <v>0</v>
      </c>
      <c r="P2971">
        <v>17</v>
      </c>
      <c r="Q2971" t="b">
        <v>1</v>
      </c>
      <c r="R2971" t="s">
        <v>8271</v>
      </c>
      <c r="S2971" s="6">
        <f>Table1[[#This Row],[pledged]]/Table1[[#This Row],[goal]]</f>
        <v>1.625</v>
      </c>
      <c r="T2971" s="8">
        <f>IF(Table1[[#This Row],[pledged]]=0,"no backers",Table1[[#This Row],[pledged]]/Table1[[#This Row],[backers_count]])</f>
        <v>95.588235294117652</v>
      </c>
      <c r="U2971" t="str">
        <f>LEFT(Table1[[#This Row],[Category and Sub-Category]],FIND("/",Table1[[#This Row],[Category and Sub-Category]])-1)</f>
        <v>theater</v>
      </c>
      <c r="V2971" t="str">
        <f>RIGHT(Table1[[#This Row],[Category and Sub-Category]],LEN(Table1[[#This Row],[Category and Sub-Category]])-FIND("/",Table1[[#This Row],[Category and Sub-Category]]))</f>
        <v>plays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 s="1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>((Table1[[#This Row],[deadline]]/60)/60/24)+DATE(1970,1,1)</f>
        <v>41838.669571759259</v>
      </c>
      <c r="K2972">
        <v>1403107451</v>
      </c>
      <c r="L2972" s="11">
        <f>((Table1[[#This Row],[launched_at]]/60)/60/24)+DATE(1970,1,1)</f>
        <v>41808.669571759259</v>
      </c>
      <c r="M2972">
        <f>MONTH(Table1[[#This Row],[Date Created Conversion]])</f>
        <v>6</v>
      </c>
      <c r="N2972">
        <f>YEAR(Table1[[#This Row],[Date Created Conversion]])</f>
        <v>2014</v>
      </c>
      <c r="O2972" t="b">
        <v>0</v>
      </c>
      <c r="P2972">
        <v>91</v>
      </c>
      <c r="Q2972" t="b">
        <v>1</v>
      </c>
      <c r="R2972" t="s">
        <v>8271</v>
      </c>
      <c r="S2972" s="6">
        <f>Table1[[#This Row],[pledged]]/Table1[[#This Row],[goal]]</f>
        <v>1.06</v>
      </c>
      <c r="T2972" s="8">
        <f>IF(Table1[[#This Row],[pledged]]=0,"no backers",Table1[[#This Row],[pledged]]/Table1[[#This Row],[backers_count]])</f>
        <v>69.890109890109883</v>
      </c>
      <c r="U2972" t="str">
        <f>LEFT(Table1[[#This Row],[Category and Sub-Category]],FIND("/",Table1[[#This Row],[Category and Sub-Category]])-1)</f>
        <v>theater</v>
      </c>
      <c r="V2972" t="str">
        <f>RIGHT(Table1[[#This Row],[Category and Sub-Category]],LEN(Table1[[#This Row],[Category and Sub-Category]])-FIND("/",Table1[[#This Row],[Category and Sub-Category]]))</f>
        <v>plays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 s="12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>((Table1[[#This Row],[deadline]]/60)/60/24)+DATE(1970,1,1)</f>
        <v>41882.658310185187</v>
      </c>
      <c r="K2973">
        <v>1406908078</v>
      </c>
      <c r="L2973" s="11">
        <f>((Table1[[#This Row],[launched_at]]/60)/60/24)+DATE(1970,1,1)</f>
        <v>41852.658310185187</v>
      </c>
      <c r="M2973">
        <f>MONTH(Table1[[#This Row],[Date Created Conversion]])</f>
        <v>8</v>
      </c>
      <c r="N2973">
        <f>YEAR(Table1[[#This Row],[Date Created Conversion]])</f>
        <v>2014</v>
      </c>
      <c r="O2973" t="b">
        <v>0</v>
      </c>
      <c r="P2973">
        <v>43</v>
      </c>
      <c r="Q2973" t="b">
        <v>1</v>
      </c>
      <c r="R2973" t="s">
        <v>8271</v>
      </c>
      <c r="S2973" s="6">
        <f>Table1[[#This Row],[pledged]]/Table1[[#This Row],[goal]]</f>
        <v>1.0015624999999999</v>
      </c>
      <c r="T2973" s="8">
        <f>IF(Table1[[#This Row],[pledged]]=0,"no backers",Table1[[#This Row],[pledged]]/Table1[[#This Row],[backers_count]])</f>
        <v>74.534883720930239</v>
      </c>
      <c r="U2973" t="str">
        <f>LEFT(Table1[[#This Row],[Category and Sub-Category]],FIND("/",Table1[[#This Row],[Category and Sub-Category]])-1)</f>
        <v>theater</v>
      </c>
      <c r="V2973" t="str">
        <f>RIGHT(Table1[[#This Row],[Category and Sub-Category]],LEN(Table1[[#This Row],[Category and Sub-Category]])-FIND("/",Table1[[#This Row],[Category and Sub-Category]]))</f>
        <v>plays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 s="12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>((Table1[[#This Row],[deadline]]/60)/60/24)+DATE(1970,1,1)</f>
        <v>42709.041666666672</v>
      </c>
      <c r="K2974">
        <v>1479609520</v>
      </c>
      <c r="L2974" s="11">
        <f>((Table1[[#This Row],[launched_at]]/60)/60/24)+DATE(1970,1,1)</f>
        <v>42694.110185185185</v>
      </c>
      <c r="M2974">
        <f>MONTH(Table1[[#This Row],[Date Created Conversion]])</f>
        <v>11</v>
      </c>
      <c r="N2974">
        <f>YEAR(Table1[[#This Row],[Date Created Conversion]])</f>
        <v>2016</v>
      </c>
      <c r="O2974" t="b">
        <v>0</v>
      </c>
      <c r="P2974">
        <v>17</v>
      </c>
      <c r="Q2974" t="b">
        <v>1</v>
      </c>
      <c r="R2974" t="s">
        <v>8271</v>
      </c>
      <c r="S2974" s="6">
        <f>Table1[[#This Row],[pledged]]/Table1[[#This Row],[goal]]</f>
        <v>1.0535000000000001</v>
      </c>
      <c r="T2974" s="8">
        <f>IF(Table1[[#This Row],[pledged]]=0,"no backers",Table1[[#This Row],[pledged]]/Table1[[#This Row],[backers_count]])</f>
        <v>123.94117647058823</v>
      </c>
      <c r="U2974" t="str">
        <f>LEFT(Table1[[#This Row],[Category and Sub-Category]],FIND("/",Table1[[#This Row],[Category and Sub-Category]])-1)</f>
        <v>theater</v>
      </c>
      <c r="V2974" t="str">
        <f>RIGHT(Table1[[#This Row],[Category and Sub-Category]],LEN(Table1[[#This Row],[Category and Sub-Category]])-FIND("/",Table1[[#This Row],[Category and Sub-Category]]))</f>
        <v>plays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 s="12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>((Table1[[#This Row],[deadline]]/60)/60/24)+DATE(1970,1,1)</f>
        <v>42370.166666666672</v>
      </c>
      <c r="K2975">
        <v>1449171508</v>
      </c>
      <c r="L2975" s="11">
        <f>((Table1[[#This Row],[launched_at]]/60)/60/24)+DATE(1970,1,1)</f>
        <v>42341.818379629629</v>
      </c>
      <c r="M2975">
        <f>MONTH(Table1[[#This Row],[Date Created Conversion]])</f>
        <v>12</v>
      </c>
      <c r="N2975">
        <f>YEAR(Table1[[#This Row],[Date Created Conversion]])</f>
        <v>2015</v>
      </c>
      <c r="O2975" t="b">
        <v>0</v>
      </c>
      <c r="P2975">
        <v>33</v>
      </c>
      <c r="Q2975" t="b">
        <v>1</v>
      </c>
      <c r="R2975" t="s">
        <v>8271</v>
      </c>
      <c r="S2975" s="6">
        <f>Table1[[#This Row],[pledged]]/Table1[[#This Row],[goal]]</f>
        <v>1.748</v>
      </c>
      <c r="T2975" s="8">
        <f>IF(Table1[[#This Row],[pledged]]=0,"no backers",Table1[[#This Row],[pledged]]/Table1[[#This Row],[backers_count]])</f>
        <v>264.84848484848487</v>
      </c>
      <c r="U2975" t="str">
        <f>LEFT(Table1[[#This Row],[Category and Sub-Category]],FIND("/",Table1[[#This Row],[Category and Sub-Category]])-1)</f>
        <v>theater</v>
      </c>
      <c r="V2975" t="str">
        <f>RIGHT(Table1[[#This Row],[Category and Sub-Category]],LEN(Table1[[#This Row],[Category and Sub-Category]])-FIND("/",Table1[[#This Row],[Category and Sub-Category]]))</f>
        <v>plays</v>
      </c>
    </row>
    <row r="2976" spans="1:22" ht="57.6" x14ac:dyDescent="0.3">
      <c r="A2976">
        <v>2974</v>
      </c>
      <c r="B2976" s="3" t="s">
        <v>2974</v>
      </c>
      <c r="C2976" s="3" t="s">
        <v>7084</v>
      </c>
      <c r="D2976" s="12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>((Table1[[#This Row],[deadline]]/60)/60/24)+DATE(1970,1,1)</f>
        <v>41908.065972222219</v>
      </c>
      <c r="K2976">
        <v>1409275671</v>
      </c>
      <c r="L2976" s="11">
        <f>((Table1[[#This Row],[launched_at]]/60)/60/24)+DATE(1970,1,1)</f>
        <v>41880.061006944445</v>
      </c>
      <c r="M2976">
        <f>MONTH(Table1[[#This Row],[Date Created Conversion]])</f>
        <v>8</v>
      </c>
      <c r="N2976">
        <f>YEAR(Table1[[#This Row],[Date Created Conversion]])</f>
        <v>2014</v>
      </c>
      <c r="O2976" t="b">
        <v>0</v>
      </c>
      <c r="P2976">
        <v>87</v>
      </c>
      <c r="Q2976" t="b">
        <v>1</v>
      </c>
      <c r="R2976" t="s">
        <v>8271</v>
      </c>
      <c r="S2976" s="6">
        <f>Table1[[#This Row],[pledged]]/Table1[[#This Row],[goal]]</f>
        <v>1.02</v>
      </c>
      <c r="T2976" s="8">
        <f>IF(Table1[[#This Row],[pledged]]=0,"no backers",Table1[[#This Row],[pledged]]/Table1[[#This Row],[backers_count]])</f>
        <v>58.620689655172413</v>
      </c>
      <c r="U2976" t="str">
        <f>LEFT(Table1[[#This Row],[Category and Sub-Category]],FIND("/",Table1[[#This Row],[Category and Sub-Category]])-1)</f>
        <v>theater</v>
      </c>
      <c r="V2976" t="str">
        <f>RIGHT(Table1[[#This Row],[Category and Sub-Category]],LEN(Table1[[#This Row],[Category and Sub-Category]])-FIND("/",Table1[[#This Row],[Category and Sub-Category]]))</f>
        <v>plays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 s="12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>((Table1[[#This Row],[deadline]]/60)/60/24)+DATE(1970,1,1)</f>
        <v>41970.125</v>
      </c>
      <c r="K2977">
        <v>1414599886</v>
      </c>
      <c r="L2977" s="11">
        <f>((Table1[[#This Row],[launched_at]]/60)/60/24)+DATE(1970,1,1)</f>
        <v>41941.683865740742</v>
      </c>
      <c r="M2977">
        <f>MONTH(Table1[[#This Row],[Date Created Conversion]])</f>
        <v>10</v>
      </c>
      <c r="N2977">
        <f>YEAR(Table1[[#This Row],[Date Created Conversion]])</f>
        <v>2014</v>
      </c>
      <c r="O2977" t="b">
        <v>0</v>
      </c>
      <c r="P2977">
        <v>113</v>
      </c>
      <c r="Q2977" t="b">
        <v>1</v>
      </c>
      <c r="R2977" t="s">
        <v>8271</v>
      </c>
      <c r="S2977" s="6">
        <f>Table1[[#This Row],[pledged]]/Table1[[#This Row],[goal]]</f>
        <v>1.00125</v>
      </c>
      <c r="T2977" s="8">
        <f>IF(Table1[[#This Row],[pledged]]=0,"no backers",Table1[[#This Row],[pledged]]/Table1[[#This Row],[backers_count]])</f>
        <v>70.884955752212392</v>
      </c>
      <c r="U2977" t="str">
        <f>LEFT(Table1[[#This Row],[Category and Sub-Category]],FIND("/",Table1[[#This Row],[Category and Sub-Category]])-1)</f>
        <v>theater</v>
      </c>
      <c r="V2977" t="str">
        <f>RIGHT(Table1[[#This Row],[Category and Sub-Category]],LEN(Table1[[#This Row],[Category and Sub-Category]])-FIND("/",Table1[[#This Row],[Category and Sub-Category]]))</f>
        <v>plays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 s="12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>((Table1[[#This Row],[deadline]]/60)/60/24)+DATE(1970,1,1)</f>
        <v>42442.5</v>
      </c>
      <c r="K2978">
        <v>1456421530</v>
      </c>
      <c r="L2978" s="11">
        <f>((Table1[[#This Row],[launched_at]]/60)/60/24)+DATE(1970,1,1)</f>
        <v>42425.730671296296</v>
      </c>
      <c r="M2978">
        <f>MONTH(Table1[[#This Row],[Date Created Conversion]])</f>
        <v>2</v>
      </c>
      <c r="N2978">
        <f>YEAR(Table1[[#This Row],[Date Created Conversion]])</f>
        <v>2016</v>
      </c>
      <c r="O2978" t="b">
        <v>0</v>
      </c>
      <c r="P2978">
        <v>14</v>
      </c>
      <c r="Q2978" t="b">
        <v>1</v>
      </c>
      <c r="R2978" t="s">
        <v>8271</v>
      </c>
      <c r="S2978" s="6">
        <f>Table1[[#This Row],[pledged]]/Table1[[#This Row],[goal]]</f>
        <v>1.7142857142857142</v>
      </c>
      <c r="T2978" s="8">
        <f>IF(Table1[[#This Row],[pledged]]=0,"no backers",Table1[[#This Row],[pledged]]/Table1[[#This Row],[backers_count]])</f>
        <v>8.5714285714285712</v>
      </c>
      <c r="U2978" t="str">
        <f>LEFT(Table1[[#This Row],[Category and Sub-Category]],FIND("/",Table1[[#This Row],[Category and Sub-Category]])-1)</f>
        <v>theater</v>
      </c>
      <c r="V2978" t="str">
        <f>RIGHT(Table1[[#This Row],[Category and Sub-Category]],LEN(Table1[[#This Row],[Category and Sub-Category]])-FIND("/",Table1[[#This Row],[Category and Sub-Category]]))</f>
        <v>plays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 s="12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>((Table1[[#This Row],[deadline]]/60)/60/24)+DATE(1970,1,1)</f>
        <v>42086.093055555553</v>
      </c>
      <c r="K2979">
        <v>1421960934</v>
      </c>
      <c r="L2979" s="11">
        <f>((Table1[[#This Row],[launched_at]]/60)/60/24)+DATE(1970,1,1)</f>
        <v>42026.88118055556</v>
      </c>
      <c r="M2979">
        <f>MONTH(Table1[[#This Row],[Date Created Conversion]])</f>
        <v>1</v>
      </c>
      <c r="N2979">
        <f>YEAR(Table1[[#This Row],[Date Created Conversion]])</f>
        <v>2015</v>
      </c>
      <c r="O2979" t="b">
        <v>0</v>
      </c>
      <c r="P2979">
        <v>30</v>
      </c>
      <c r="Q2979" t="b">
        <v>1</v>
      </c>
      <c r="R2979" t="s">
        <v>8271</v>
      </c>
      <c r="S2979" s="6">
        <f>Table1[[#This Row],[pledged]]/Table1[[#This Row],[goal]]</f>
        <v>1.1356666666666666</v>
      </c>
      <c r="T2979" s="8">
        <f>IF(Table1[[#This Row],[pledged]]=0,"no backers",Table1[[#This Row],[pledged]]/Table1[[#This Row],[backers_count]])</f>
        <v>113.56666666666666</v>
      </c>
      <c r="U2979" t="str">
        <f>LEFT(Table1[[#This Row],[Category and Sub-Category]],FIND("/",Table1[[#This Row],[Category and Sub-Category]])-1)</f>
        <v>theater</v>
      </c>
      <c r="V2979" t="str">
        <f>RIGHT(Table1[[#This Row],[Category and Sub-Category]],LEN(Table1[[#This Row],[Category and Sub-Category]])-FIND("/",Table1[[#This Row],[Category and Sub-Category]]))</f>
        <v>plays</v>
      </c>
    </row>
    <row r="2980" spans="1:22" ht="57.6" x14ac:dyDescent="0.3">
      <c r="A2980">
        <v>2978</v>
      </c>
      <c r="B2980" s="3" t="s">
        <v>2978</v>
      </c>
      <c r="C2980" s="3" t="s">
        <v>7088</v>
      </c>
      <c r="D2980" s="12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>((Table1[[#This Row],[deadline]]/60)/60/24)+DATE(1970,1,1)</f>
        <v>41932.249305555553</v>
      </c>
      <c r="K2980">
        <v>1412954547</v>
      </c>
      <c r="L2980" s="11">
        <f>((Table1[[#This Row],[launched_at]]/60)/60/24)+DATE(1970,1,1)</f>
        <v>41922.640590277777</v>
      </c>
      <c r="M2980">
        <f>MONTH(Table1[[#This Row],[Date Created Conversion]])</f>
        <v>10</v>
      </c>
      <c r="N2980">
        <f>YEAR(Table1[[#This Row],[Date Created Conversion]])</f>
        <v>2014</v>
      </c>
      <c r="O2980" t="b">
        <v>0</v>
      </c>
      <c r="P2980">
        <v>16</v>
      </c>
      <c r="Q2980" t="b">
        <v>1</v>
      </c>
      <c r="R2980" t="s">
        <v>8271</v>
      </c>
      <c r="S2980" s="6">
        <f>Table1[[#This Row],[pledged]]/Table1[[#This Row],[goal]]</f>
        <v>1.2946666666666666</v>
      </c>
      <c r="T2980" s="8">
        <f>IF(Table1[[#This Row],[pledged]]=0,"no backers",Table1[[#This Row],[pledged]]/Table1[[#This Row],[backers_count]])</f>
        <v>60.6875</v>
      </c>
      <c r="U2980" t="str">
        <f>LEFT(Table1[[#This Row],[Category and Sub-Category]],FIND("/",Table1[[#This Row],[Category and Sub-Category]])-1)</f>
        <v>theater</v>
      </c>
      <c r="V2980" t="str">
        <f>RIGHT(Table1[[#This Row],[Category and Sub-Category]],LEN(Table1[[#This Row],[Category and Sub-Category]])-FIND("/",Table1[[#This Row],[Category and Sub-Category]]))</f>
        <v>plays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 s="12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>((Table1[[#This Row],[deadline]]/60)/60/24)+DATE(1970,1,1)</f>
        <v>42010.25</v>
      </c>
      <c r="K2981">
        <v>1419104823</v>
      </c>
      <c r="L2981" s="11">
        <f>((Table1[[#This Row],[launched_at]]/60)/60/24)+DATE(1970,1,1)</f>
        <v>41993.824340277773</v>
      </c>
      <c r="M2981">
        <f>MONTH(Table1[[#This Row],[Date Created Conversion]])</f>
        <v>12</v>
      </c>
      <c r="N2981">
        <f>YEAR(Table1[[#This Row],[Date Created Conversion]])</f>
        <v>2014</v>
      </c>
      <c r="O2981" t="b">
        <v>0</v>
      </c>
      <c r="P2981">
        <v>46</v>
      </c>
      <c r="Q2981" t="b">
        <v>1</v>
      </c>
      <c r="R2981" t="s">
        <v>8271</v>
      </c>
      <c r="S2981" s="6">
        <f>Table1[[#This Row],[pledged]]/Table1[[#This Row],[goal]]</f>
        <v>1.014</v>
      </c>
      <c r="T2981" s="8">
        <f>IF(Table1[[#This Row],[pledged]]=0,"no backers",Table1[[#This Row],[pledged]]/Table1[[#This Row],[backers_count]])</f>
        <v>110.21739130434783</v>
      </c>
      <c r="U2981" t="str">
        <f>LEFT(Table1[[#This Row],[Category and Sub-Category]],FIND("/",Table1[[#This Row],[Category and Sub-Category]])-1)</f>
        <v>theater</v>
      </c>
      <c r="V2981" t="str">
        <f>RIGHT(Table1[[#This Row],[Category and Sub-Category]],LEN(Table1[[#This Row],[Category and Sub-Category]])-FIND("/",Table1[[#This Row],[Category and Sub-Category]]))</f>
        <v>plays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 s="1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>((Table1[[#This Row],[deadline]]/60)/60/24)+DATE(1970,1,1)</f>
        <v>42240.083333333328</v>
      </c>
      <c r="K2982">
        <v>1438639130</v>
      </c>
      <c r="L2982" s="11">
        <f>((Table1[[#This Row],[launched_at]]/60)/60/24)+DATE(1970,1,1)</f>
        <v>42219.915856481486</v>
      </c>
      <c r="M2982">
        <f>MONTH(Table1[[#This Row],[Date Created Conversion]])</f>
        <v>8</v>
      </c>
      <c r="N2982">
        <f>YEAR(Table1[[#This Row],[Date Created Conversion]])</f>
        <v>2015</v>
      </c>
      <c r="O2982" t="b">
        <v>0</v>
      </c>
      <c r="P2982">
        <v>24</v>
      </c>
      <c r="Q2982" t="b">
        <v>1</v>
      </c>
      <c r="R2982" t="s">
        <v>8271</v>
      </c>
      <c r="S2982" s="6">
        <f>Table1[[#This Row],[pledged]]/Table1[[#This Row],[goal]]</f>
        <v>1.0916666666666666</v>
      </c>
      <c r="T2982" s="8">
        <f>IF(Table1[[#This Row],[pledged]]=0,"no backers",Table1[[#This Row],[pledged]]/Table1[[#This Row],[backers_count]])</f>
        <v>136.45833333333334</v>
      </c>
      <c r="U2982" t="str">
        <f>LEFT(Table1[[#This Row],[Category and Sub-Category]],FIND("/",Table1[[#This Row],[Category and Sub-Category]])-1)</f>
        <v>theater</v>
      </c>
      <c r="V2982" t="str">
        <f>RIGHT(Table1[[#This Row],[Category and Sub-Category]],LEN(Table1[[#This Row],[Category and Sub-Category]])-FIND("/",Table1[[#This Row],[Category and Sub-Category]]))</f>
        <v>plays</v>
      </c>
    </row>
    <row r="2983" spans="1:22" ht="57.6" x14ac:dyDescent="0.3">
      <c r="A2983">
        <v>2981</v>
      </c>
      <c r="B2983" s="3" t="s">
        <v>2981</v>
      </c>
      <c r="C2983" s="3" t="s">
        <v>7091</v>
      </c>
      <c r="D2983" s="12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>((Table1[[#This Row],[deadline]]/60)/60/24)+DATE(1970,1,1)</f>
        <v>42270.559675925921</v>
      </c>
      <c r="K2983">
        <v>1439126756</v>
      </c>
      <c r="L2983" s="11">
        <f>((Table1[[#This Row],[launched_at]]/60)/60/24)+DATE(1970,1,1)</f>
        <v>42225.559675925921</v>
      </c>
      <c r="M2983">
        <f>MONTH(Table1[[#This Row],[Date Created Conversion]])</f>
        <v>8</v>
      </c>
      <c r="N2983">
        <f>YEAR(Table1[[#This Row],[Date Created Conversion]])</f>
        <v>2015</v>
      </c>
      <c r="O2983" t="b">
        <v>1</v>
      </c>
      <c r="P2983">
        <v>97</v>
      </c>
      <c r="Q2983" t="b">
        <v>1</v>
      </c>
      <c r="R2983" t="s">
        <v>8303</v>
      </c>
      <c r="S2983" s="6">
        <f>Table1[[#This Row],[pledged]]/Table1[[#This Row],[goal]]</f>
        <v>1.28925</v>
      </c>
      <c r="T2983" s="8">
        <f>IF(Table1[[#This Row],[pledged]]=0,"no backers",Table1[[#This Row],[pledged]]/Table1[[#This Row],[backers_count]])</f>
        <v>53.164948453608247</v>
      </c>
      <c r="U2983" t="str">
        <f>LEFT(Table1[[#This Row],[Category and Sub-Category]],FIND("/",Table1[[#This Row],[Category and Sub-Category]])-1)</f>
        <v>theater</v>
      </c>
      <c r="V2983" t="str">
        <f>RIGHT(Table1[[#This Row],[Category and Sub-Category]],LEN(Table1[[#This Row],[Category and Sub-Category]])-FIND("/",Table1[[#This Row],[Category and Sub-Category]]))</f>
        <v>spaces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 s="12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>((Table1[[#This Row],[deadline]]/60)/60/24)+DATE(1970,1,1)</f>
        <v>42411.686840277776</v>
      </c>
      <c r="K2984">
        <v>1452616143</v>
      </c>
      <c r="L2984" s="11">
        <f>((Table1[[#This Row],[launched_at]]/60)/60/24)+DATE(1970,1,1)</f>
        <v>42381.686840277776</v>
      </c>
      <c r="M2984">
        <f>MONTH(Table1[[#This Row],[Date Created Conversion]])</f>
        <v>1</v>
      </c>
      <c r="N2984">
        <f>YEAR(Table1[[#This Row],[Date Created Conversion]])</f>
        <v>2016</v>
      </c>
      <c r="O2984" t="b">
        <v>1</v>
      </c>
      <c r="P2984">
        <v>59</v>
      </c>
      <c r="Q2984" t="b">
        <v>1</v>
      </c>
      <c r="R2984" t="s">
        <v>8303</v>
      </c>
      <c r="S2984" s="6">
        <f>Table1[[#This Row],[pledged]]/Table1[[#This Row],[goal]]</f>
        <v>1.0206</v>
      </c>
      <c r="T2984" s="8">
        <f>IF(Table1[[#This Row],[pledged]]=0,"no backers",Table1[[#This Row],[pledged]]/Table1[[#This Row],[backers_count]])</f>
        <v>86.491525423728817</v>
      </c>
      <c r="U2984" t="str">
        <f>LEFT(Table1[[#This Row],[Category and Sub-Category]],FIND("/",Table1[[#This Row],[Category and Sub-Category]])-1)</f>
        <v>theater</v>
      </c>
      <c r="V2984" t="str">
        <f>RIGHT(Table1[[#This Row],[Category and Sub-Category]],LEN(Table1[[#This Row],[Category and Sub-Category]])-FIND("/",Table1[[#This Row],[Category and Sub-Category]]))</f>
        <v>spaces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 s="12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>((Table1[[#This Row],[deadline]]/60)/60/24)+DATE(1970,1,1)</f>
        <v>41954.674027777779</v>
      </c>
      <c r="K2985">
        <v>1410534636</v>
      </c>
      <c r="L2985" s="11">
        <f>((Table1[[#This Row],[launched_at]]/60)/60/24)+DATE(1970,1,1)</f>
        <v>41894.632361111115</v>
      </c>
      <c r="M2985">
        <f>MONTH(Table1[[#This Row],[Date Created Conversion]])</f>
        <v>9</v>
      </c>
      <c r="N2985">
        <f>YEAR(Table1[[#This Row],[Date Created Conversion]])</f>
        <v>2014</v>
      </c>
      <c r="O2985" t="b">
        <v>1</v>
      </c>
      <c r="P2985">
        <v>1095</v>
      </c>
      <c r="Q2985" t="b">
        <v>1</v>
      </c>
      <c r="R2985" t="s">
        <v>8303</v>
      </c>
      <c r="S2985" s="6">
        <f>Table1[[#This Row],[pledged]]/Table1[[#This Row],[goal]]</f>
        <v>1.465395775862069</v>
      </c>
      <c r="T2985" s="8">
        <f>IF(Table1[[#This Row],[pledged]]=0,"no backers",Table1[[#This Row],[pledged]]/Table1[[#This Row],[backers_count]])</f>
        <v>155.23827397260274</v>
      </c>
      <c r="U2985" t="str">
        <f>LEFT(Table1[[#This Row],[Category and Sub-Category]],FIND("/",Table1[[#This Row],[Category and Sub-Category]])-1)</f>
        <v>theater</v>
      </c>
      <c r="V2985" t="str">
        <f>RIGHT(Table1[[#This Row],[Category and Sub-Category]],LEN(Table1[[#This Row],[Category and Sub-Category]])-FIND("/",Table1[[#This Row],[Category and Sub-Category]]))</f>
        <v>spaces</v>
      </c>
    </row>
    <row r="2986" spans="1:22" ht="57.6" x14ac:dyDescent="0.3">
      <c r="A2986">
        <v>2984</v>
      </c>
      <c r="B2986" s="3" t="s">
        <v>2984</v>
      </c>
      <c r="C2986" s="3" t="s">
        <v>7094</v>
      </c>
      <c r="D2986" s="12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>((Table1[[#This Row],[deadline]]/60)/60/24)+DATE(1970,1,1)</f>
        <v>42606.278715277775</v>
      </c>
      <c r="K2986">
        <v>1469428881</v>
      </c>
      <c r="L2986" s="11">
        <f>((Table1[[#This Row],[launched_at]]/60)/60/24)+DATE(1970,1,1)</f>
        <v>42576.278715277775</v>
      </c>
      <c r="M2986">
        <f>MONTH(Table1[[#This Row],[Date Created Conversion]])</f>
        <v>7</v>
      </c>
      <c r="N2986">
        <f>YEAR(Table1[[#This Row],[Date Created Conversion]])</f>
        <v>2016</v>
      </c>
      <c r="O2986" t="b">
        <v>1</v>
      </c>
      <c r="P2986">
        <v>218</v>
      </c>
      <c r="Q2986" t="b">
        <v>1</v>
      </c>
      <c r="R2986" t="s">
        <v>8303</v>
      </c>
      <c r="S2986" s="6">
        <f>Table1[[#This Row],[pledged]]/Table1[[#This Row],[goal]]</f>
        <v>1.00352</v>
      </c>
      <c r="T2986" s="8">
        <f>IF(Table1[[#This Row],[pledged]]=0,"no backers",Table1[[#This Row],[pledged]]/Table1[[#This Row],[backers_count]])</f>
        <v>115.08256880733946</v>
      </c>
      <c r="U2986" t="str">
        <f>LEFT(Table1[[#This Row],[Category and Sub-Category]],FIND("/",Table1[[#This Row],[Category and Sub-Category]])-1)</f>
        <v>theater</v>
      </c>
      <c r="V2986" t="str">
        <f>RIGHT(Table1[[#This Row],[Category and Sub-Category]],LEN(Table1[[#This Row],[Category and Sub-Category]])-FIND("/",Table1[[#This Row],[Category and Sub-Category]]))</f>
        <v>spaces</v>
      </c>
    </row>
    <row r="2987" spans="1:22" ht="57.6" x14ac:dyDescent="0.3">
      <c r="A2987">
        <v>2985</v>
      </c>
      <c r="B2987" s="3" t="s">
        <v>2985</v>
      </c>
      <c r="C2987" s="3" t="s">
        <v>7095</v>
      </c>
      <c r="D2987" s="12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>((Table1[[#This Row],[deadline]]/60)/60/24)+DATE(1970,1,1)</f>
        <v>42674.166666666672</v>
      </c>
      <c r="K2987">
        <v>1476228128</v>
      </c>
      <c r="L2987" s="11">
        <f>((Table1[[#This Row],[launched_at]]/60)/60/24)+DATE(1970,1,1)</f>
        <v>42654.973703703698</v>
      </c>
      <c r="M2987">
        <f>MONTH(Table1[[#This Row],[Date Created Conversion]])</f>
        <v>10</v>
      </c>
      <c r="N2987">
        <f>YEAR(Table1[[#This Row],[Date Created Conversion]])</f>
        <v>2016</v>
      </c>
      <c r="O2987" t="b">
        <v>0</v>
      </c>
      <c r="P2987">
        <v>111</v>
      </c>
      <c r="Q2987" t="b">
        <v>1</v>
      </c>
      <c r="R2987" t="s">
        <v>8303</v>
      </c>
      <c r="S2987" s="6">
        <f>Table1[[#This Row],[pledged]]/Table1[[#This Row],[goal]]</f>
        <v>1.2164999999999999</v>
      </c>
      <c r="T2987" s="8">
        <f>IF(Table1[[#This Row],[pledged]]=0,"no backers",Table1[[#This Row],[pledged]]/Table1[[#This Row],[backers_count]])</f>
        <v>109.5945945945946</v>
      </c>
      <c r="U2987" t="str">
        <f>LEFT(Table1[[#This Row],[Category and Sub-Category]],FIND("/",Table1[[#This Row],[Category and Sub-Category]])-1)</f>
        <v>theater</v>
      </c>
      <c r="V2987" t="str">
        <f>RIGHT(Table1[[#This Row],[Category and Sub-Category]],LEN(Table1[[#This Row],[Category and Sub-Category]])-FIND("/",Table1[[#This Row],[Category and Sub-Category]]))</f>
        <v>spaces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 s="12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>((Table1[[#This Row],[deadline]]/60)/60/24)+DATE(1970,1,1)</f>
        <v>42491.458402777775</v>
      </c>
      <c r="K2988">
        <v>1456920006</v>
      </c>
      <c r="L2988" s="11">
        <f>((Table1[[#This Row],[launched_at]]/60)/60/24)+DATE(1970,1,1)</f>
        <v>42431.500069444446</v>
      </c>
      <c r="M2988">
        <f>MONTH(Table1[[#This Row],[Date Created Conversion]])</f>
        <v>3</v>
      </c>
      <c r="N2988">
        <f>YEAR(Table1[[#This Row],[Date Created Conversion]])</f>
        <v>2016</v>
      </c>
      <c r="O2988" t="b">
        <v>0</v>
      </c>
      <c r="P2988">
        <v>56</v>
      </c>
      <c r="Q2988" t="b">
        <v>1</v>
      </c>
      <c r="R2988" t="s">
        <v>8303</v>
      </c>
      <c r="S2988" s="6">
        <f>Table1[[#This Row],[pledged]]/Table1[[#This Row],[goal]]</f>
        <v>1.0549999999999999</v>
      </c>
      <c r="T2988" s="8">
        <f>IF(Table1[[#This Row],[pledged]]=0,"no backers",Table1[[#This Row],[pledged]]/Table1[[#This Row],[backers_count]])</f>
        <v>45.214285714285715</v>
      </c>
      <c r="U2988" t="str">
        <f>LEFT(Table1[[#This Row],[Category and Sub-Category]],FIND("/",Table1[[#This Row],[Category and Sub-Category]])-1)</f>
        <v>theater</v>
      </c>
      <c r="V2988" t="str">
        <f>RIGHT(Table1[[#This Row],[Category and Sub-Category]],LEN(Table1[[#This Row],[Category and Sub-Category]])-FIND("/",Table1[[#This Row],[Category and Sub-Category]]))</f>
        <v>spaces</v>
      </c>
    </row>
    <row r="2989" spans="1:22" ht="57.6" x14ac:dyDescent="0.3">
      <c r="A2989">
        <v>2987</v>
      </c>
      <c r="B2989" s="3" t="s">
        <v>2987</v>
      </c>
      <c r="C2989" s="3" t="s">
        <v>7097</v>
      </c>
      <c r="D2989" s="12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>((Table1[[#This Row],[deadline]]/60)/60/24)+DATE(1970,1,1)</f>
        <v>42656</v>
      </c>
      <c r="K2989">
        <v>1473837751</v>
      </c>
      <c r="L2989" s="11">
        <f>((Table1[[#This Row],[launched_at]]/60)/60/24)+DATE(1970,1,1)</f>
        <v>42627.307303240741</v>
      </c>
      <c r="M2989">
        <f>MONTH(Table1[[#This Row],[Date Created Conversion]])</f>
        <v>9</v>
      </c>
      <c r="N2989">
        <f>YEAR(Table1[[#This Row],[Date Created Conversion]])</f>
        <v>2016</v>
      </c>
      <c r="O2989" t="b">
        <v>0</v>
      </c>
      <c r="P2989">
        <v>265</v>
      </c>
      <c r="Q2989" t="b">
        <v>1</v>
      </c>
      <c r="R2989" t="s">
        <v>8303</v>
      </c>
      <c r="S2989" s="6">
        <f>Table1[[#This Row],[pledged]]/Table1[[#This Row],[goal]]</f>
        <v>1.1040080000000001</v>
      </c>
      <c r="T2989" s="8">
        <f>IF(Table1[[#This Row],[pledged]]=0,"no backers",Table1[[#This Row],[pledged]]/Table1[[#This Row],[backers_count]])</f>
        <v>104.15169811320754</v>
      </c>
      <c r="U2989" t="str">
        <f>LEFT(Table1[[#This Row],[Category and Sub-Category]],FIND("/",Table1[[#This Row],[Category and Sub-Category]])-1)</f>
        <v>theater</v>
      </c>
      <c r="V2989" t="str">
        <f>RIGHT(Table1[[#This Row],[Category and Sub-Category]],LEN(Table1[[#This Row],[Category and Sub-Category]])-FIND("/",Table1[[#This Row],[Category and Sub-Category]]))</f>
        <v>spaces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 s="12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>((Table1[[#This Row],[deadline]]/60)/60/24)+DATE(1970,1,1)</f>
        <v>42541.362048611118</v>
      </c>
      <c r="K2990">
        <v>1463820081</v>
      </c>
      <c r="L2990" s="11">
        <f>((Table1[[#This Row],[launched_at]]/60)/60/24)+DATE(1970,1,1)</f>
        <v>42511.362048611118</v>
      </c>
      <c r="M2990">
        <f>MONTH(Table1[[#This Row],[Date Created Conversion]])</f>
        <v>5</v>
      </c>
      <c r="N2990">
        <f>YEAR(Table1[[#This Row],[Date Created Conversion]])</f>
        <v>2016</v>
      </c>
      <c r="O2990" t="b">
        <v>0</v>
      </c>
      <c r="P2990">
        <v>28</v>
      </c>
      <c r="Q2990" t="b">
        <v>1</v>
      </c>
      <c r="R2990" t="s">
        <v>8303</v>
      </c>
      <c r="S2990" s="6">
        <f>Table1[[#This Row],[pledged]]/Table1[[#This Row],[goal]]</f>
        <v>1</v>
      </c>
      <c r="T2990" s="8">
        <f>IF(Table1[[#This Row],[pledged]]=0,"no backers",Table1[[#This Row],[pledged]]/Table1[[#This Row],[backers_count]])</f>
        <v>35.714285714285715</v>
      </c>
      <c r="U2990" t="str">
        <f>LEFT(Table1[[#This Row],[Category and Sub-Category]],FIND("/",Table1[[#This Row],[Category and Sub-Category]])-1)</f>
        <v>theater</v>
      </c>
      <c r="V2990" t="str">
        <f>RIGHT(Table1[[#This Row],[Category and Sub-Category]],LEN(Table1[[#This Row],[Category and Sub-Category]])-FIND("/",Table1[[#This Row],[Category and Sub-Category]]))</f>
        <v>spaces</v>
      </c>
    </row>
    <row r="2991" spans="1:22" x14ac:dyDescent="0.3">
      <c r="A2991">
        <v>2989</v>
      </c>
      <c r="B2991" s="3" t="s">
        <v>2989</v>
      </c>
      <c r="C2991" s="3" t="s">
        <v>7099</v>
      </c>
      <c r="D2991" s="12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>((Table1[[#This Row],[deadline]]/60)/60/24)+DATE(1970,1,1)</f>
        <v>42359.207638888889</v>
      </c>
      <c r="K2991">
        <v>1448756962</v>
      </c>
      <c r="L2991" s="11">
        <f>((Table1[[#This Row],[launched_at]]/60)/60/24)+DATE(1970,1,1)</f>
        <v>42337.02039351852</v>
      </c>
      <c r="M2991">
        <f>MONTH(Table1[[#This Row],[Date Created Conversion]])</f>
        <v>11</v>
      </c>
      <c r="N2991">
        <f>YEAR(Table1[[#This Row],[Date Created Conversion]])</f>
        <v>2015</v>
      </c>
      <c r="O2991" t="b">
        <v>0</v>
      </c>
      <c r="P2991">
        <v>364</v>
      </c>
      <c r="Q2991" t="b">
        <v>1</v>
      </c>
      <c r="R2991" t="s">
        <v>8303</v>
      </c>
      <c r="S2991" s="6">
        <f>Table1[[#This Row],[pledged]]/Table1[[#This Row],[goal]]</f>
        <v>1.76535</v>
      </c>
      <c r="T2991" s="8">
        <f>IF(Table1[[#This Row],[pledged]]=0,"no backers",Table1[[#This Row],[pledged]]/Table1[[#This Row],[backers_count]])</f>
        <v>96.997252747252745</v>
      </c>
      <c r="U2991" t="str">
        <f>LEFT(Table1[[#This Row],[Category and Sub-Category]],FIND("/",Table1[[#This Row],[Category and Sub-Category]])-1)</f>
        <v>theater</v>
      </c>
      <c r="V2991" t="str">
        <f>RIGHT(Table1[[#This Row],[Category and Sub-Category]],LEN(Table1[[#This Row],[Category and Sub-Category]])-FIND("/",Table1[[#This Row],[Category and Sub-Category]]))</f>
        <v>spaces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 s="1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>((Table1[[#This Row],[deadline]]/60)/60/24)+DATE(1970,1,1)</f>
        <v>42376.57430555555</v>
      </c>
      <c r="K2992">
        <v>1449150420</v>
      </c>
      <c r="L2992" s="11">
        <f>((Table1[[#This Row],[launched_at]]/60)/60/24)+DATE(1970,1,1)</f>
        <v>42341.57430555555</v>
      </c>
      <c r="M2992">
        <f>MONTH(Table1[[#This Row],[Date Created Conversion]])</f>
        <v>12</v>
      </c>
      <c r="N2992">
        <f>YEAR(Table1[[#This Row],[Date Created Conversion]])</f>
        <v>2015</v>
      </c>
      <c r="O2992" t="b">
        <v>0</v>
      </c>
      <c r="P2992">
        <v>27</v>
      </c>
      <c r="Q2992" t="b">
        <v>1</v>
      </c>
      <c r="R2992" t="s">
        <v>8303</v>
      </c>
      <c r="S2992" s="6">
        <f>Table1[[#This Row],[pledged]]/Table1[[#This Row],[goal]]</f>
        <v>1</v>
      </c>
      <c r="T2992" s="8">
        <f>IF(Table1[[#This Row],[pledged]]=0,"no backers",Table1[[#This Row],[pledged]]/Table1[[#This Row],[backers_count]])</f>
        <v>370.37037037037038</v>
      </c>
      <c r="U2992" t="str">
        <f>LEFT(Table1[[#This Row],[Category and Sub-Category]],FIND("/",Table1[[#This Row],[Category and Sub-Category]])-1)</f>
        <v>theater</v>
      </c>
      <c r="V2992" t="str">
        <f>RIGHT(Table1[[#This Row],[Category and Sub-Category]],LEN(Table1[[#This Row],[Category and Sub-Category]])-FIND("/",Table1[[#This Row],[Category and Sub-Category]]))</f>
        <v>spaces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 s="12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>((Table1[[#This Row],[deadline]]/60)/60/24)+DATE(1970,1,1)</f>
        <v>42762.837152777778</v>
      </c>
      <c r="K2993">
        <v>1483646730</v>
      </c>
      <c r="L2993" s="11">
        <f>((Table1[[#This Row],[launched_at]]/60)/60/24)+DATE(1970,1,1)</f>
        <v>42740.837152777778</v>
      </c>
      <c r="M2993">
        <f>MONTH(Table1[[#This Row],[Date Created Conversion]])</f>
        <v>1</v>
      </c>
      <c r="N2993">
        <f>YEAR(Table1[[#This Row],[Date Created Conversion]])</f>
        <v>2017</v>
      </c>
      <c r="O2993" t="b">
        <v>0</v>
      </c>
      <c r="P2993">
        <v>93</v>
      </c>
      <c r="Q2993" t="b">
        <v>1</v>
      </c>
      <c r="R2993" t="s">
        <v>8303</v>
      </c>
      <c r="S2993" s="6">
        <f>Table1[[#This Row],[pledged]]/Table1[[#This Row],[goal]]</f>
        <v>1.0329411764705883</v>
      </c>
      <c r="T2993" s="8">
        <f>IF(Table1[[#This Row],[pledged]]=0,"no backers",Table1[[#This Row],[pledged]]/Table1[[#This Row],[backers_count]])</f>
        <v>94.408602150537632</v>
      </c>
      <c r="U2993" t="str">
        <f>LEFT(Table1[[#This Row],[Category and Sub-Category]],FIND("/",Table1[[#This Row],[Category and Sub-Category]])-1)</f>
        <v>theater</v>
      </c>
      <c r="V2993" t="str">
        <f>RIGHT(Table1[[#This Row],[Category and Sub-Category]],LEN(Table1[[#This Row],[Category and Sub-Category]])-FIND("/",Table1[[#This Row],[Category and Sub-Category]]))</f>
        <v>spaces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 s="12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>((Table1[[#This Row],[deadline]]/60)/60/24)+DATE(1970,1,1)</f>
        <v>42652.767476851848</v>
      </c>
      <c r="K2994">
        <v>1473445510</v>
      </c>
      <c r="L2994" s="11">
        <f>((Table1[[#This Row],[launched_at]]/60)/60/24)+DATE(1970,1,1)</f>
        <v>42622.767476851848</v>
      </c>
      <c r="M2994">
        <f>MONTH(Table1[[#This Row],[Date Created Conversion]])</f>
        <v>9</v>
      </c>
      <c r="N2994">
        <f>YEAR(Table1[[#This Row],[Date Created Conversion]])</f>
        <v>2016</v>
      </c>
      <c r="O2994" t="b">
        <v>0</v>
      </c>
      <c r="P2994">
        <v>64</v>
      </c>
      <c r="Q2994" t="b">
        <v>1</v>
      </c>
      <c r="R2994" t="s">
        <v>8303</v>
      </c>
      <c r="S2994" s="6">
        <f>Table1[[#This Row],[pledged]]/Table1[[#This Row],[goal]]</f>
        <v>1.0449999999999999</v>
      </c>
      <c r="T2994" s="8">
        <f>IF(Table1[[#This Row],[pledged]]=0,"no backers",Table1[[#This Row],[pledged]]/Table1[[#This Row],[backers_count]])</f>
        <v>48.984375</v>
      </c>
      <c r="U2994" t="str">
        <f>LEFT(Table1[[#This Row],[Category and Sub-Category]],FIND("/",Table1[[#This Row],[Category and Sub-Category]])-1)</f>
        <v>theater</v>
      </c>
      <c r="V2994" t="str">
        <f>RIGHT(Table1[[#This Row],[Category and Sub-Category]],LEN(Table1[[#This Row],[Category and Sub-Category]])-FIND("/",Table1[[#This Row],[Category and Sub-Category]]))</f>
        <v>spaces</v>
      </c>
    </row>
    <row r="2995" spans="1:22" x14ac:dyDescent="0.3">
      <c r="A2995">
        <v>2993</v>
      </c>
      <c r="B2995" s="3" t="s">
        <v>2993</v>
      </c>
      <c r="C2995" s="3" t="s">
        <v>7103</v>
      </c>
      <c r="D2995" s="12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>((Table1[[#This Row],[deadline]]/60)/60/24)+DATE(1970,1,1)</f>
        <v>42420.838738425926</v>
      </c>
      <c r="K2995">
        <v>1453406867</v>
      </c>
      <c r="L2995" s="11">
        <f>((Table1[[#This Row],[launched_at]]/60)/60/24)+DATE(1970,1,1)</f>
        <v>42390.838738425926</v>
      </c>
      <c r="M2995">
        <f>MONTH(Table1[[#This Row],[Date Created Conversion]])</f>
        <v>1</v>
      </c>
      <c r="N2995">
        <f>YEAR(Table1[[#This Row],[Date Created Conversion]])</f>
        <v>2016</v>
      </c>
      <c r="O2995" t="b">
        <v>0</v>
      </c>
      <c r="P2995">
        <v>22</v>
      </c>
      <c r="Q2995" t="b">
        <v>1</v>
      </c>
      <c r="R2995" t="s">
        <v>8303</v>
      </c>
      <c r="S2995" s="6">
        <f>Table1[[#This Row],[pledged]]/Table1[[#This Row],[goal]]</f>
        <v>1.0029999999999999</v>
      </c>
      <c r="T2995" s="8">
        <f>IF(Table1[[#This Row],[pledged]]=0,"no backers",Table1[[#This Row],[pledged]]/Table1[[#This Row],[backers_count]])</f>
        <v>45.590909090909093</v>
      </c>
      <c r="U2995" t="str">
        <f>LEFT(Table1[[#This Row],[Category and Sub-Category]],FIND("/",Table1[[#This Row],[Category and Sub-Category]])-1)</f>
        <v>theater</v>
      </c>
      <c r="V2995" t="str">
        <f>RIGHT(Table1[[#This Row],[Category and Sub-Category]],LEN(Table1[[#This Row],[Category and Sub-Category]])-FIND("/",Table1[[#This Row],[Category and Sub-Category]]))</f>
        <v>spaces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 s="12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>((Table1[[#This Row],[deadline]]/60)/60/24)+DATE(1970,1,1)</f>
        <v>41915.478842592594</v>
      </c>
      <c r="K2996">
        <v>1409743772</v>
      </c>
      <c r="L2996" s="11">
        <f>((Table1[[#This Row],[launched_at]]/60)/60/24)+DATE(1970,1,1)</f>
        <v>41885.478842592594</v>
      </c>
      <c r="M2996">
        <f>MONTH(Table1[[#This Row],[Date Created Conversion]])</f>
        <v>9</v>
      </c>
      <c r="N2996">
        <f>YEAR(Table1[[#This Row],[Date Created Conversion]])</f>
        <v>2014</v>
      </c>
      <c r="O2996" t="b">
        <v>0</v>
      </c>
      <c r="P2996">
        <v>59</v>
      </c>
      <c r="Q2996" t="b">
        <v>1</v>
      </c>
      <c r="R2996" t="s">
        <v>8303</v>
      </c>
      <c r="S2996" s="6">
        <f>Table1[[#This Row],[pledged]]/Table1[[#This Row],[goal]]</f>
        <v>4.577466666666667</v>
      </c>
      <c r="T2996" s="8">
        <f>IF(Table1[[#This Row],[pledged]]=0,"no backers",Table1[[#This Row],[pledged]]/Table1[[#This Row],[backers_count]])</f>
        <v>23.275254237288134</v>
      </c>
      <c r="U2996" t="str">
        <f>LEFT(Table1[[#This Row],[Category and Sub-Category]],FIND("/",Table1[[#This Row],[Category and Sub-Category]])-1)</f>
        <v>theater</v>
      </c>
      <c r="V2996" t="str">
        <f>RIGHT(Table1[[#This Row],[Category and Sub-Category]],LEN(Table1[[#This Row],[Category and Sub-Category]])-FIND("/",Table1[[#This Row],[Category and Sub-Category]]))</f>
        <v>spaces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 s="12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>((Table1[[#This Row],[deadline]]/60)/60/24)+DATE(1970,1,1)</f>
        <v>42754.665173611109</v>
      </c>
      <c r="K2997">
        <v>1482249471</v>
      </c>
      <c r="L2997" s="11">
        <f>((Table1[[#This Row],[launched_at]]/60)/60/24)+DATE(1970,1,1)</f>
        <v>42724.665173611109</v>
      </c>
      <c r="M2997">
        <f>MONTH(Table1[[#This Row],[Date Created Conversion]])</f>
        <v>12</v>
      </c>
      <c r="N2997">
        <f>YEAR(Table1[[#This Row],[Date Created Conversion]])</f>
        <v>2016</v>
      </c>
      <c r="O2997" t="b">
        <v>0</v>
      </c>
      <c r="P2997">
        <v>249</v>
      </c>
      <c r="Q2997" t="b">
        <v>1</v>
      </c>
      <c r="R2997" t="s">
        <v>8303</v>
      </c>
      <c r="S2997" s="6">
        <f>Table1[[#This Row],[pledged]]/Table1[[#This Row],[goal]]</f>
        <v>1.0496000000000001</v>
      </c>
      <c r="T2997" s="8">
        <f>IF(Table1[[#This Row],[pledged]]=0,"no backers",Table1[[#This Row],[pledged]]/Table1[[#This Row],[backers_count]])</f>
        <v>63.2289156626506</v>
      </c>
      <c r="U2997" t="str">
        <f>LEFT(Table1[[#This Row],[Category and Sub-Category]],FIND("/",Table1[[#This Row],[Category and Sub-Category]])-1)</f>
        <v>theater</v>
      </c>
      <c r="V2997" t="str">
        <f>RIGHT(Table1[[#This Row],[Category and Sub-Category]],LEN(Table1[[#This Row],[Category and Sub-Category]])-FIND("/",Table1[[#This Row],[Category and Sub-Category]]))</f>
        <v>spaces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 s="12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>((Table1[[#This Row],[deadline]]/60)/60/24)+DATE(1970,1,1)</f>
        <v>42150.912500000006</v>
      </c>
      <c r="K2998">
        <v>1427493240</v>
      </c>
      <c r="L2998" s="11">
        <f>((Table1[[#This Row],[launched_at]]/60)/60/24)+DATE(1970,1,1)</f>
        <v>42090.912500000006</v>
      </c>
      <c r="M2998">
        <f>MONTH(Table1[[#This Row],[Date Created Conversion]])</f>
        <v>3</v>
      </c>
      <c r="N2998">
        <f>YEAR(Table1[[#This Row],[Date Created Conversion]])</f>
        <v>2015</v>
      </c>
      <c r="O2998" t="b">
        <v>0</v>
      </c>
      <c r="P2998">
        <v>392</v>
      </c>
      <c r="Q2998" t="b">
        <v>1</v>
      </c>
      <c r="R2998" t="s">
        <v>8303</v>
      </c>
      <c r="S2998" s="6">
        <f>Table1[[#This Row],[pledged]]/Table1[[#This Row],[goal]]</f>
        <v>1.7194285714285715</v>
      </c>
      <c r="T2998" s="8">
        <f>IF(Table1[[#This Row],[pledged]]=0,"no backers",Table1[[#This Row],[pledged]]/Table1[[#This Row],[backers_count]])</f>
        <v>153.5204081632653</v>
      </c>
      <c r="U2998" t="str">
        <f>LEFT(Table1[[#This Row],[Category and Sub-Category]],FIND("/",Table1[[#This Row],[Category and Sub-Category]])-1)</f>
        <v>theater</v>
      </c>
      <c r="V2998" t="str">
        <f>RIGHT(Table1[[#This Row],[Category and Sub-Category]],LEN(Table1[[#This Row],[Category and Sub-Category]])-FIND("/",Table1[[#This Row],[Category and Sub-Category]]))</f>
        <v>spaces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 s="12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>((Table1[[#This Row],[deadline]]/60)/60/24)+DATE(1970,1,1)</f>
        <v>42793.207638888889</v>
      </c>
      <c r="K2999">
        <v>1486661793</v>
      </c>
      <c r="L2999" s="11">
        <f>((Table1[[#This Row],[launched_at]]/60)/60/24)+DATE(1970,1,1)</f>
        <v>42775.733715277776</v>
      </c>
      <c r="M2999">
        <f>MONTH(Table1[[#This Row],[Date Created Conversion]])</f>
        <v>2</v>
      </c>
      <c r="N2999">
        <f>YEAR(Table1[[#This Row],[Date Created Conversion]])</f>
        <v>2017</v>
      </c>
      <c r="O2999" t="b">
        <v>0</v>
      </c>
      <c r="P2999">
        <v>115</v>
      </c>
      <c r="Q2999" t="b">
        <v>1</v>
      </c>
      <c r="R2999" t="s">
        <v>8303</v>
      </c>
      <c r="S2999" s="6">
        <f>Table1[[#This Row],[pledged]]/Table1[[#This Row],[goal]]</f>
        <v>1.0373000000000001</v>
      </c>
      <c r="T2999" s="8">
        <f>IF(Table1[[#This Row],[pledged]]=0,"no backers",Table1[[#This Row],[pledged]]/Table1[[#This Row],[backers_count]])</f>
        <v>90.2</v>
      </c>
      <c r="U2999" t="str">
        <f>LEFT(Table1[[#This Row],[Category and Sub-Category]],FIND("/",Table1[[#This Row],[Category and Sub-Category]])-1)</f>
        <v>theater</v>
      </c>
      <c r="V2999" t="str">
        <f>RIGHT(Table1[[#This Row],[Category and Sub-Category]],LEN(Table1[[#This Row],[Category and Sub-Category]])-FIND("/",Table1[[#This Row],[Category and Sub-Category]]))</f>
        <v>spaces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 s="12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>((Table1[[#This Row],[deadline]]/60)/60/24)+DATE(1970,1,1)</f>
        <v>41806.184027777781</v>
      </c>
      <c r="K3000">
        <v>1400474329</v>
      </c>
      <c r="L3000" s="11">
        <f>((Table1[[#This Row],[launched_at]]/60)/60/24)+DATE(1970,1,1)</f>
        <v>41778.193622685183</v>
      </c>
      <c r="M3000">
        <f>MONTH(Table1[[#This Row],[Date Created Conversion]])</f>
        <v>5</v>
      </c>
      <c r="N3000">
        <f>YEAR(Table1[[#This Row],[Date Created Conversion]])</f>
        <v>2014</v>
      </c>
      <c r="O3000" t="b">
        <v>0</v>
      </c>
      <c r="P3000">
        <v>433</v>
      </c>
      <c r="Q3000" t="b">
        <v>1</v>
      </c>
      <c r="R3000" t="s">
        <v>8303</v>
      </c>
      <c r="S3000" s="6">
        <f>Table1[[#This Row],[pledged]]/Table1[[#This Row],[goal]]</f>
        <v>1.0302899999999999</v>
      </c>
      <c r="T3000" s="8">
        <f>IF(Table1[[#This Row],[pledged]]=0,"no backers",Table1[[#This Row],[pledged]]/Table1[[#This Row],[backers_count]])</f>
        <v>118.97113163972287</v>
      </c>
      <c r="U3000" t="str">
        <f>LEFT(Table1[[#This Row],[Category and Sub-Category]],FIND("/",Table1[[#This Row],[Category and Sub-Category]])-1)</f>
        <v>theater</v>
      </c>
      <c r="V3000" t="str">
        <f>RIGHT(Table1[[#This Row],[Category and Sub-Category]],LEN(Table1[[#This Row],[Category and Sub-Category]])-FIND("/",Table1[[#This Row],[Category and Sub-Category]]))</f>
        <v>spaces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 s="12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>((Table1[[#This Row],[deadline]]/60)/60/24)+DATE(1970,1,1)</f>
        <v>42795.083333333328</v>
      </c>
      <c r="K3001">
        <v>1487094360</v>
      </c>
      <c r="L3001" s="11">
        <f>((Table1[[#This Row],[launched_at]]/60)/60/24)+DATE(1970,1,1)</f>
        <v>42780.740277777775</v>
      </c>
      <c r="M3001">
        <f>MONTH(Table1[[#This Row],[Date Created Conversion]])</f>
        <v>2</v>
      </c>
      <c r="N3001">
        <f>YEAR(Table1[[#This Row],[Date Created Conversion]])</f>
        <v>2017</v>
      </c>
      <c r="O3001" t="b">
        <v>0</v>
      </c>
      <c r="P3001">
        <v>20</v>
      </c>
      <c r="Q3001" t="b">
        <v>1</v>
      </c>
      <c r="R3001" t="s">
        <v>8303</v>
      </c>
      <c r="S3001" s="6">
        <f>Table1[[#This Row],[pledged]]/Table1[[#This Row],[goal]]</f>
        <v>1.1888888888888889</v>
      </c>
      <c r="T3001" s="8">
        <f>IF(Table1[[#This Row],[pledged]]=0,"no backers",Table1[[#This Row],[pledged]]/Table1[[#This Row],[backers_count]])</f>
        <v>80.25</v>
      </c>
      <c r="U3001" t="str">
        <f>LEFT(Table1[[#This Row],[Category and Sub-Category]],FIND("/",Table1[[#This Row],[Category and Sub-Category]])-1)</f>
        <v>theater</v>
      </c>
      <c r="V3001" t="str">
        <f>RIGHT(Table1[[#This Row],[Category and Sub-Category]],LEN(Table1[[#This Row],[Category and Sub-Category]])-FIND("/",Table1[[#This Row],[Category and Sub-Category]]))</f>
        <v>spaces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 s="1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>((Table1[[#This Row],[deadline]]/60)/60/24)+DATE(1970,1,1)</f>
        <v>42766.75</v>
      </c>
      <c r="K3002">
        <v>1484682670</v>
      </c>
      <c r="L3002" s="11">
        <f>((Table1[[#This Row],[launched_at]]/60)/60/24)+DATE(1970,1,1)</f>
        <v>42752.827199074076</v>
      </c>
      <c r="M3002">
        <f>MONTH(Table1[[#This Row],[Date Created Conversion]])</f>
        <v>1</v>
      </c>
      <c r="N3002">
        <f>YEAR(Table1[[#This Row],[Date Created Conversion]])</f>
        <v>2017</v>
      </c>
      <c r="O3002" t="b">
        <v>0</v>
      </c>
      <c r="P3002">
        <v>8</v>
      </c>
      <c r="Q3002" t="b">
        <v>1</v>
      </c>
      <c r="R3002" t="s">
        <v>8303</v>
      </c>
      <c r="S3002" s="6">
        <f>Table1[[#This Row],[pledged]]/Table1[[#This Row],[goal]]</f>
        <v>1</v>
      </c>
      <c r="T3002" s="8">
        <f>IF(Table1[[#This Row],[pledged]]=0,"no backers",Table1[[#This Row],[pledged]]/Table1[[#This Row],[backers_count]])</f>
        <v>62.5</v>
      </c>
      <c r="U3002" t="str">
        <f>LEFT(Table1[[#This Row],[Category and Sub-Category]],FIND("/",Table1[[#This Row],[Category and Sub-Category]])-1)</f>
        <v>theater</v>
      </c>
      <c r="V3002" t="str">
        <f>RIGHT(Table1[[#This Row],[Category and Sub-Category]],LEN(Table1[[#This Row],[Category and Sub-Category]])-FIND("/",Table1[[#This Row],[Category and Sub-Category]]))</f>
        <v>spaces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 s="12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>((Table1[[#This Row],[deadline]]/60)/60/24)+DATE(1970,1,1)</f>
        <v>42564.895625000005</v>
      </c>
      <c r="K3003">
        <v>1465853382</v>
      </c>
      <c r="L3003" s="11">
        <f>((Table1[[#This Row],[launched_at]]/60)/60/24)+DATE(1970,1,1)</f>
        <v>42534.895625000005</v>
      </c>
      <c r="M3003">
        <f>MONTH(Table1[[#This Row],[Date Created Conversion]])</f>
        <v>6</v>
      </c>
      <c r="N3003">
        <f>YEAR(Table1[[#This Row],[Date Created Conversion]])</f>
        <v>2016</v>
      </c>
      <c r="O3003" t="b">
        <v>0</v>
      </c>
      <c r="P3003">
        <v>175</v>
      </c>
      <c r="Q3003" t="b">
        <v>1</v>
      </c>
      <c r="R3003" t="s">
        <v>8303</v>
      </c>
      <c r="S3003" s="6">
        <f>Table1[[#This Row],[pledged]]/Table1[[#This Row],[goal]]</f>
        <v>3.1869988910451896</v>
      </c>
      <c r="T3003" s="8">
        <f>IF(Table1[[#This Row],[pledged]]=0,"no backers",Table1[[#This Row],[pledged]]/Table1[[#This Row],[backers_count]])</f>
        <v>131.37719999999999</v>
      </c>
      <c r="U3003" t="str">
        <f>LEFT(Table1[[#This Row],[Category and Sub-Category]],FIND("/",Table1[[#This Row],[Category and Sub-Category]])-1)</f>
        <v>theater</v>
      </c>
      <c r="V3003" t="str">
        <f>RIGHT(Table1[[#This Row],[Category and Sub-Category]],LEN(Table1[[#This Row],[Category and Sub-Category]])-FIND("/",Table1[[#This Row],[Category and Sub-Category]]))</f>
        <v>spaces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 s="12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>((Table1[[#This Row],[deadline]]/60)/60/24)+DATE(1970,1,1)</f>
        <v>41269.83625</v>
      </c>
      <c r="K3004">
        <v>1353960252</v>
      </c>
      <c r="L3004" s="11">
        <f>((Table1[[#This Row],[launched_at]]/60)/60/24)+DATE(1970,1,1)</f>
        <v>41239.83625</v>
      </c>
      <c r="M3004">
        <f>MONTH(Table1[[#This Row],[Date Created Conversion]])</f>
        <v>11</v>
      </c>
      <c r="N3004">
        <f>YEAR(Table1[[#This Row],[Date Created Conversion]])</f>
        <v>2012</v>
      </c>
      <c r="O3004" t="b">
        <v>0</v>
      </c>
      <c r="P3004">
        <v>104</v>
      </c>
      <c r="Q3004" t="b">
        <v>1</v>
      </c>
      <c r="R3004" t="s">
        <v>8303</v>
      </c>
      <c r="S3004" s="6">
        <f>Table1[[#This Row],[pledged]]/Table1[[#This Row],[goal]]</f>
        <v>1.0850614285714286</v>
      </c>
      <c r="T3004" s="8">
        <f>IF(Table1[[#This Row],[pledged]]=0,"no backers",Table1[[#This Row],[pledged]]/Table1[[#This Row],[backers_count]])</f>
        <v>73.032980769230775</v>
      </c>
      <c r="U3004" t="str">
        <f>LEFT(Table1[[#This Row],[Category and Sub-Category]],FIND("/",Table1[[#This Row],[Category and Sub-Category]])-1)</f>
        <v>theater</v>
      </c>
      <c r="V3004" t="str">
        <f>RIGHT(Table1[[#This Row],[Category and Sub-Category]],LEN(Table1[[#This Row],[Category and Sub-Category]])-FIND("/",Table1[[#This Row],[Category and Sub-Category]]))</f>
        <v>spaces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 s="12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>((Table1[[#This Row],[deadline]]/60)/60/24)+DATE(1970,1,1)</f>
        <v>42430.249305555553</v>
      </c>
      <c r="K3005">
        <v>1454098976</v>
      </c>
      <c r="L3005" s="11">
        <f>((Table1[[#This Row],[launched_at]]/60)/60/24)+DATE(1970,1,1)</f>
        <v>42398.849259259259</v>
      </c>
      <c r="M3005">
        <f>MONTH(Table1[[#This Row],[Date Created Conversion]])</f>
        <v>1</v>
      </c>
      <c r="N3005">
        <f>YEAR(Table1[[#This Row],[Date Created Conversion]])</f>
        <v>2016</v>
      </c>
      <c r="O3005" t="b">
        <v>0</v>
      </c>
      <c r="P3005">
        <v>17</v>
      </c>
      <c r="Q3005" t="b">
        <v>1</v>
      </c>
      <c r="R3005" t="s">
        <v>8303</v>
      </c>
      <c r="S3005" s="6">
        <f>Table1[[#This Row],[pledged]]/Table1[[#This Row],[goal]]</f>
        <v>1.0116666666666667</v>
      </c>
      <c r="T3005" s="8">
        <f>IF(Table1[[#This Row],[pledged]]=0,"no backers",Table1[[#This Row],[pledged]]/Table1[[#This Row],[backers_count]])</f>
        <v>178.52941176470588</v>
      </c>
      <c r="U3005" t="str">
        <f>LEFT(Table1[[#This Row],[Category and Sub-Category]],FIND("/",Table1[[#This Row],[Category and Sub-Category]])-1)</f>
        <v>theater</v>
      </c>
      <c r="V3005" t="str">
        <f>RIGHT(Table1[[#This Row],[Category and Sub-Category]],LEN(Table1[[#This Row],[Category and Sub-Category]])-FIND("/",Table1[[#This Row],[Category and Sub-Category]]))</f>
        <v>spaces</v>
      </c>
    </row>
    <row r="3006" spans="1:22" ht="57.6" x14ac:dyDescent="0.3">
      <c r="A3006">
        <v>3004</v>
      </c>
      <c r="B3006" s="3" t="s">
        <v>3004</v>
      </c>
      <c r="C3006" s="3" t="s">
        <v>7114</v>
      </c>
      <c r="D3006" s="12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>((Table1[[#This Row],[deadline]]/60)/60/24)+DATE(1970,1,1)</f>
        <v>41958.922731481478</v>
      </c>
      <c r="K3006">
        <v>1413493724</v>
      </c>
      <c r="L3006" s="11">
        <f>((Table1[[#This Row],[launched_at]]/60)/60/24)+DATE(1970,1,1)</f>
        <v>41928.881064814814</v>
      </c>
      <c r="M3006">
        <f>MONTH(Table1[[#This Row],[Date Created Conversion]])</f>
        <v>10</v>
      </c>
      <c r="N3006">
        <f>YEAR(Table1[[#This Row],[Date Created Conversion]])</f>
        <v>2014</v>
      </c>
      <c r="O3006" t="b">
        <v>0</v>
      </c>
      <c r="P3006">
        <v>277</v>
      </c>
      <c r="Q3006" t="b">
        <v>1</v>
      </c>
      <c r="R3006" t="s">
        <v>8303</v>
      </c>
      <c r="S3006" s="6">
        <f>Table1[[#This Row],[pledged]]/Table1[[#This Row],[goal]]</f>
        <v>1.12815</v>
      </c>
      <c r="T3006" s="8">
        <f>IF(Table1[[#This Row],[pledged]]=0,"no backers",Table1[[#This Row],[pledged]]/Table1[[#This Row],[backers_count]])</f>
        <v>162.90974729241879</v>
      </c>
      <c r="U3006" t="str">
        <f>LEFT(Table1[[#This Row],[Category and Sub-Category]],FIND("/",Table1[[#This Row],[Category and Sub-Category]])-1)</f>
        <v>theater</v>
      </c>
      <c r="V3006" t="str">
        <f>RIGHT(Table1[[#This Row],[Category and Sub-Category]],LEN(Table1[[#This Row],[Category and Sub-Category]])-FIND("/",Table1[[#This Row],[Category and Sub-Category]]))</f>
        <v>spaces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 s="12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>((Table1[[#This Row],[deadline]]/60)/60/24)+DATE(1970,1,1)</f>
        <v>41918.674826388888</v>
      </c>
      <c r="K3007">
        <v>1410019905</v>
      </c>
      <c r="L3007" s="11">
        <f>((Table1[[#This Row],[launched_at]]/60)/60/24)+DATE(1970,1,1)</f>
        <v>41888.674826388888</v>
      </c>
      <c r="M3007">
        <f>MONTH(Table1[[#This Row],[Date Created Conversion]])</f>
        <v>9</v>
      </c>
      <c r="N3007">
        <f>YEAR(Table1[[#This Row],[Date Created Conversion]])</f>
        <v>2014</v>
      </c>
      <c r="O3007" t="b">
        <v>0</v>
      </c>
      <c r="P3007">
        <v>118</v>
      </c>
      <c r="Q3007" t="b">
        <v>1</v>
      </c>
      <c r="R3007" t="s">
        <v>8303</v>
      </c>
      <c r="S3007" s="6">
        <f>Table1[[#This Row],[pledged]]/Table1[[#This Row],[goal]]</f>
        <v>1.2049622641509434</v>
      </c>
      <c r="T3007" s="8">
        <f>IF(Table1[[#This Row],[pledged]]=0,"no backers",Table1[[#This Row],[pledged]]/Table1[[#This Row],[backers_count]])</f>
        <v>108.24237288135593</v>
      </c>
      <c r="U3007" t="str">
        <f>LEFT(Table1[[#This Row],[Category and Sub-Category]],FIND("/",Table1[[#This Row],[Category and Sub-Category]])-1)</f>
        <v>theater</v>
      </c>
      <c r="V3007" t="str">
        <f>RIGHT(Table1[[#This Row],[Category and Sub-Category]],LEN(Table1[[#This Row],[Category and Sub-Category]])-FIND("/",Table1[[#This Row],[Category and Sub-Category]]))</f>
        <v>spaces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 s="12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>((Table1[[#This Row],[deadline]]/60)/60/24)+DATE(1970,1,1)</f>
        <v>41987.756840277783</v>
      </c>
      <c r="K3008">
        <v>1415988591</v>
      </c>
      <c r="L3008" s="11">
        <f>((Table1[[#This Row],[launched_at]]/60)/60/24)+DATE(1970,1,1)</f>
        <v>41957.756840277783</v>
      </c>
      <c r="M3008">
        <f>MONTH(Table1[[#This Row],[Date Created Conversion]])</f>
        <v>11</v>
      </c>
      <c r="N3008">
        <f>YEAR(Table1[[#This Row],[Date Created Conversion]])</f>
        <v>2014</v>
      </c>
      <c r="O3008" t="b">
        <v>0</v>
      </c>
      <c r="P3008">
        <v>97</v>
      </c>
      <c r="Q3008" t="b">
        <v>1</v>
      </c>
      <c r="R3008" t="s">
        <v>8303</v>
      </c>
      <c r="S3008" s="6">
        <f>Table1[[#This Row],[pledged]]/Table1[[#This Row],[goal]]</f>
        <v>1.0774999999999999</v>
      </c>
      <c r="T3008" s="8">
        <f>IF(Table1[[#This Row],[pledged]]=0,"no backers",Table1[[#This Row],[pledged]]/Table1[[#This Row],[backers_count]])</f>
        <v>88.865979381443296</v>
      </c>
      <c r="U3008" t="str">
        <f>LEFT(Table1[[#This Row],[Category and Sub-Category]],FIND("/",Table1[[#This Row],[Category and Sub-Category]])-1)</f>
        <v>theater</v>
      </c>
      <c r="V3008" t="str">
        <f>RIGHT(Table1[[#This Row],[Category and Sub-Category]],LEN(Table1[[#This Row],[Category and Sub-Category]])-FIND("/",Table1[[#This Row],[Category and Sub-Category]]))</f>
        <v>spaces</v>
      </c>
    </row>
    <row r="3009" spans="1:22" ht="28.8" x14ac:dyDescent="0.3">
      <c r="A3009">
        <v>3007</v>
      </c>
      <c r="B3009" s="3" t="s">
        <v>3007</v>
      </c>
      <c r="C3009" s="3" t="s">
        <v>7117</v>
      </c>
      <c r="D3009" s="12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>((Table1[[#This Row],[deadline]]/60)/60/24)+DATE(1970,1,1)</f>
        <v>42119.216238425928</v>
      </c>
      <c r="K3009">
        <v>1428124283</v>
      </c>
      <c r="L3009" s="11">
        <f>((Table1[[#This Row],[launched_at]]/60)/60/24)+DATE(1970,1,1)</f>
        <v>42098.216238425928</v>
      </c>
      <c r="M3009">
        <f>MONTH(Table1[[#This Row],[Date Created Conversion]])</f>
        <v>4</v>
      </c>
      <c r="N3009">
        <f>YEAR(Table1[[#This Row],[Date Created Conversion]])</f>
        <v>2015</v>
      </c>
      <c r="O3009" t="b">
        <v>0</v>
      </c>
      <c r="P3009">
        <v>20</v>
      </c>
      <c r="Q3009" t="b">
        <v>1</v>
      </c>
      <c r="R3009" t="s">
        <v>8303</v>
      </c>
      <c r="S3009" s="6">
        <f>Table1[[#This Row],[pledged]]/Table1[[#This Row],[goal]]</f>
        <v>1.8</v>
      </c>
      <c r="T3009" s="8">
        <f>IF(Table1[[#This Row],[pledged]]=0,"no backers",Table1[[#This Row],[pledged]]/Table1[[#This Row],[backers_count]])</f>
        <v>54</v>
      </c>
      <c r="U3009" t="str">
        <f>LEFT(Table1[[#This Row],[Category and Sub-Category]],FIND("/",Table1[[#This Row],[Category and Sub-Category]])-1)</f>
        <v>theater</v>
      </c>
      <c r="V3009" t="str">
        <f>RIGHT(Table1[[#This Row],[Category and Sub-Category]],LEN(Table1[[#This Row],[Category and Sub-Category]])-FIND("/",Table1[[#This Row],[Category and Sub-Category]]))</f>
        <v>spaces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 s="12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>((Table1[[#This Row],[deadline]]/60)/60/24)+DATE(1970,1,1)</f>
        <v>42390.212025462963</v>
      </c>
      <c r="K3010">
        <v>1450760719</v>
      </c>
      <c r="L3010" s="11">
        <f>((Table1[[#This Row],[launched_at]]/60)/60/24)+DATE(1970,1,1)</f>
        <v>42360.212025462963</v>
      </c>
      <c r="M3010">
        <f>MONTH(Table1[[#This Row],[Date Created Conversion]])</f>
        <v>12</v>
      </c>
      <c r="N3010">
        <f>YEAR(Table1[[#This Row],[Date Created Conversion]])</f>
        <v>2015</v>
      </c>
      <c r="O3010" t="b">
        <v>0</v>
      </c>
      <c r="P3010">
        <v>26</v>
      </c>
      <c r="Q3010" t="b">
        <v>1</v>
      </c>
      <c r="R3010" t="s">
        <v>8303</v>
      </c>
      <c r="S3010" s="6">
        <f>Table1[[#This Row],[pledged]]/Table1[[#This Row],[goal]]</f>
        <v>1.0116666666666667</v>
      </c>
      <c r="T3010" s="8">
        <f>IF(Table1[[#This Row],[pledged]]=0,"no backers",Table1[[#This Row],[pledged]]/Table1[[#This Row],[backers_count]])</f>
        <v>116.73076923076923</v>
      </c>
      <c r="U3010" t="str">
        <f>LEFT(Table1[[#This Row],[Category and Sub-Category]],FIND("/",Table1[[#This Row],[Category and Sub-Category]])-1)</f>
        <v>theater</v>
      </c>
      <c r="V3010" t="str">
        <f>RIGHT(Table1[[#This Row],[Category and Sub-Category]],LEN(Table1[[#This Row],[Category and Sub-Category]])-FIND("/",Table1[[#This Row],[Category and Sub-Category]]))</f>
        <v>spaces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 s="12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>((Table1[[#This Row],[deadline]]/60)/60/24)+DATE(1970,1,1)</f>
        <v>41969.611574074079</v>
      </c>
      <c r="K3011">
        <v>1414417240</v>
      </c>
      <c r="L3011" s="11">
        <f>((Table1[[#This Row],[launched_at]]/60)/60/24)+DATE(1970,1,1)</f>
        <v>41939.569907407407</v>
      </c>
      <c r="M3011">
        <f>MONTH(Table1[[#This Row],[Date Created Conversion]])</f>
        <v>10</v>
      </c>
      <c r="N3011">
        <f>YEAR(Table1[[#This Row],[Date Created Conversion]])</f>
        <v>2014</v>
      </c>
      <c r="O3011" t="b">
        <v>0</v>
      </c>
      <c r="P3011">
        <v>128</v>
      </c>
      <c r="Q3011" t="b">
        <v>1</v>
      </c>
      <c r="R3011" t="s">
        <v>8303</v>
      </c>
      <c r="S3011" s="6">
        <f>Table1[[#This Row],[pledged]]/Table1[[#This Row],[goal]]</f>
        <v>1.19756</v>
      </c>
      <c r="T3011" s="8">
        <f>IF(Table1[[#This Row],[pledged]]=0,"no backers",Table1[[#This Row],[pledged]]/Table1[[#This Row],[backers_count]])</f>
        <v>233.8984375</v>
      </c>
      <c r="U3011" t="str">
        <f>LEFT(Table1[[#This Row],[Category and Sub-Category]],FIND("/",Table1[[#This Row],[Category and Sub-Category]])-1)</f>
        <v>theater</v>
      </c>
      <c r="V3011" t="str">
        <f>RIGHT(Table1[[#This Row],[Category and Sub-Category]],LEN(Table1[[#This Row],[Category and Sub-Category]])-FIND("/",Table1[[#This Row],[Category and Sub-Category]]))</f>
        <v>spaces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 s="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>((Table1[[#This Row],[deadline]]/60)/60/24)+DATE(1970,1,1)</f>
        <v>42056.832395833335</v>
      </c>
      <c r="K3012">
        <v>1419364719</v>
      </c>
      <c r="L3012" s="11">
        <f>((Table1[[#This Row],[launched_at]]/60)/60/24)+DATE(1970,1,1)</f>
        <v>41996.832395833335</v>
      </c>
      <c r="M3012">
        <f>MONTH(Table1[[#This Row],[Date Created Conversion]])</f>
        <v>12</v>
      </c>
      <c r="N3012">
        <f>YEAR(Table1[[#This Row],[Date Created Conversion]])</f>
        <v>2014</v>
      </c>
      <c r="O3012" t="b">
        <v>0</v>
      </c>
      <c r="P3012">
        <v>15</v>
      </c>
      <c r="Q3012" t="b">
        <v>1</v>
      </c>
      <c r="R3012" t="s">
        <v>8303</v>
      </c>
      <c r="S3012" s="6">
        <f>Table1[[#This Row],[pledged]]/Table1[[#This Row],[goal]]</f>
        <v>1.58</v>
      </c>
      <c r="T3012" s="8">
        <f>IF(Table1[[#This Row],[pledged]]=0,"no backers",Table1[[#This Row],[pledged]]/Table1[[#This Row],[backers_count]])</f>
        <v>158</v>
      </c>
      <c r="U3012" t="str">
        <f>LEFT(Table1[[#This Row],[Category and Sub-Category]],FIND("/",Table1[[#This Row],[Category and Sub-Category]])-1)</f>
        <v>theater</v>
      </c>
      <c r="V3012" t="str">
        <f>RIGHT(Table1[[#This Row],[Category and Sub-Category]],LEN(Table1[[#This Row],[Category and Sub-Category]])-FIND("/",Table1[[#This Row],[Category and Sub-Category]]))</f>
        <v>spaces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 s="12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>((Table1[[#This Row],[deadline]]/60)/60/24)+DATE(1970,1,1)</f>
        <v>42361.957638888889</v>
      </c>
      <c r="K3013">
        <v>1448536516</v>
      </c>
      <c r="L3013" s="11">
        <f>((Table1[[#This Row],[launched_at]]/60)/60/24)+DATE(1970,1,1)</f>
        <v>42334.468935185185</v>
      </c>
      <c r="M3013">
        <f>MONTH(Table1[[#This Row],[Date Created Conversion]])</f>
        <v>11</v>
      </c>
      <c r="N3013">
        <f>YEAR(Table1[[#This Row],[Date Created Conversion]])</f>
        <v>2015</v>
      </c>
      <c r="O3013" t="b">
        <v>0</v>
      </c>
      <c r="P3013">
        <v>25</v>
      </c>
      <c r="Q3013" t="b">
        <v>1</v>
      </c>
      <c r="R3013" t="s">
        <v>8303</v>
      </c>
      <c r="S3013" s="6">
        <f>Table1[[#This Row],[pledged]]/Table1[[#This Row],[goal]]</f>
        <v>1.2366666666666666</v>
      </c>
      <c r="T3013" s="8">
        <f>IF(Table1[[#This Row],[pledged]]=0,"no backers",Table1[[#This Row],[pledged]]/Table1[[#This Row],[backers_count]])</f>
        <v>14.84</v>
      </c>
      <c r="U3013" t="str">
        <f>LEFT(Table1[[#This Row],[Category and Sub-Category]],FIND("/",Table1[[#This Row],[Category and Sub-Category]])-1)</f>
        <v>theater</v>
      </c>
      <c r="V3013" t="str">
        <f>RIGHT(Table1[[#This Row],[Category and Sub-Category]],LEN(Table1[[#This Row],[Category and Sub-Category]])-FIND("/",Table1[[#This Row],[Category and Sub-Category]]))</f>
        <v>spaces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 s="12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>((Table1[[#This Row],[deadline]]/60)/60/24)+DATE(1970,1,1)</f>
        <v>42045.702893518523</v>
      </c>
      <c r="K3014">
        <v>1421772730</v>
      </c>
      <c r="L3014" s="11">
        <f>((Table1[[#This Row],[launched_at]]/60)/60/24)+DATE(1970,1,1)</f>
        <v>42024.702893518523</v>
      </c>
      <c r="M3014">
        <f>MONTH(Table1[[#This Row],[Date Created Conversion]])</f>
        <v>1</v>
      </c>
      <c r="N3014">
        <f>YEAR(Table1[[#This Row],[Date Created Conversion]])</f>
        <v>2015</v>
      </c>
      <c r="O3014" t="b">
        <v>0</v>
      </c>
      <c r="P3014">
        <v>55</v>
      </c>
      <c r="Q3014" t="b">
        <v>1</v>
      </c>
      <c r="R3014" t="s">
        <v>8303</v>
      </c>
      <c r="S3014" s="6">
        <f>Table1[[#This Row],[pledged]]/Table1[[#This Row],[goal]]</f>
        <v>1.1712499999999999</v>
      </c>
      <c r="T3014" s="8">
        <f>IF(Table1[[#This Row],[pledged]]=0,"no backers",Table1[[#This Row],[pledged]]/Table1[[#This Row],[backers_count]])</f>
        <v>85.181818181818187</v>
      </c>
      <c r="U3014" t="str">
        <f>LEFT(Table1[[#This Row],[Category and Sub-Category]],FIND("/",Table1[[#This Row],[Category and Sub-Category]])-1)</f>
        <v>theater</v>
      </c>
      <c r="V3014" t="str">
        <f>RIGHT(Table1[[#This Row],[Category and Sub-Category]],LEN(Table1[[#This Row],[Category and Sub-Category]])-FIND("/",Table1[[#This Row],[Category and Sub-Category]]))</f>
        <v>spaces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 s="12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>((Table1[[#This Row],[deadline]]/60)/60/24)+DATE(1970,1,1)</f>
        <v>42176.836215277777</v>
      </c>
      <c r="K3015">
        <v>1432325049</v>
      </c>
      <c r="L3015" s="11">
        <f>((Table1[[#This Row],[launched_at]]/60)/60/24)+DATE(1970,1,1)</f>
        <v>42146.836215277777</v>
      </c>
      <c r="M3015">
        <f>MONTH(Table1[[#This Row],[Date Created Conversion]])</f>
        <v>5</v>
      </c>
      <c r="N3015">
        <f>YEAR(Table1[[#This Row],[Date Created Conversion]])</f>
        <v>2015</v>
      </c>
      <c r="O3015" t="b">
        <v>0</v>
      </c>
      <c r="P3015">
        <v>107</v>
      </c>
      <c r="Q3015" t="b">
        <v>1</v>
      </c>
      <c r="R3015" t="s">
        <v>8303</v>
      </c>
      <c r="S3015" s="6">
        <f>Table1[[#This Row],[pledged]]/Table1[[#This Row],[goal]]</f>
        <v>1.5696000000000001</v>
      </c>
      <c r="T3015" s="8">
        <f>IF(Table1[[#This Row],[pledged]]=0,"no backers",Table1[[#This Row],[pledged]]/Table1[[#This Row],[backers_count]])</f>
        <v>146.69158878504672</v>
      </c>
      <c r="U3015" t="str">
        <f>LEFT(Table1[[#This Row],[Category and Sub-Category]],FIND("/",Table1[[#This Row],[Category and Sub-Category]])-1)</f>
        <v>theater</v>
      </c>
      <c r="V3015" t="str">
        <f>RIGHT(Table1[[#This Row],[Category and Sub-Category]],LEN(Table1[[#This Row],[Category and Sub-Category]])-FIND("/",Table1[[#This Row],[Category and Sub-Category]]))</f>
        <v>spaces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 s="12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>((Table1[[#This Row],[deadline]]/60)/60/24)+DATE(1970,1,1)</f>
        <v>41948.208333333336</v>
      </c>
      <c r="K3016">
        <v>1412737080</v>
      </c>
      <c r="L3016" s="11">
        <f>((Table1[[#This Row],[launched_at]]/60)/60/24)+DATE(1970,1,1)</f>
        <v>41920.123611111114</v>
      </c>
      <c r="M3016">
        <f>MONTH(Table1[[#This Row],[Date Created Conversion]])</f>
        <v>10</v>
      </c>
      <c r="N3016">
        <f>YEAR(Table1[[#This Row],[Date Created Conversion]])</f>
        <v>2014</v>
      </c>
      <c r="O3016" t="b">
        <v>0</v>
      </c>
      <c r="P3016">
        <v>557</v>
      </c>
      <c r="Q3016" t="b">
        <v>1</v>
      </c>
      <c r="R3016" t="s">
        <v>8303</v>
      </c>
      <c r="S3016" s="6">
        <f>Table1[[#This Row],[pledged]]/Table1[[#This Row],[goal]]</f>
        <v>1.13104</v>
      </c>
      <c r="T3016" s="8">
        <f>IF(Table1[[#This Row],[pledged]]=0,"no backers",Table1[[#This Row],[pledged]]/Table1[[#This Row],[backers_count]])</f>
        <v>50.764811490125673</v>
      </c>
      <c r="U3016" t="str">
        <f>LEFT(Table1[[#This Row],[Category and Sub-Category]],FIND("/",Table1[[#This Row],[Category and Sub-Category]])-1)</f>
        <v>theater</v>
      </c>
      <c r="V3016" t="str">
        <f>RIGHT(Table1[[#This Row],[Category and Sub-Category]],LEN(Table1[[#This Row],[Category and Sub-Category]])-FIND("/",Table1[[#This Row],[Category and Sub-Category]]))</f>
        <v>spaces</v>
      </c>
    </row>
    <row r="3017" spans="1:22" ht="43.2" x14ac:dyDescent="0.3">
      <c r="A3017">
        <v>3015</v>
      </c>
      <c r="B3017" s="3" t="s">
        <v>3015</v>
      </c>
      <c r="C3017" s="3" t="s">
        <v>7125</v>
      </c>
      <c r="D3017" s="12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>((Table1[[#This Row],[deadline]]/60)/60/24)+DATE(1970,1,1)</f>
        <v>41801.166666666664</v>
      </c>
      <c r="K3017">
        <v>1401125238</v>
      </c>
      <c r="L3017" s="11">
        <f>((Table1[[#This Row],[launched_at]]/60)/60/24)+DATE(1970,1,1)</f>
        <v>41785.72729166667</v>
      </c>
      <c r="M3017">
        <f>MONTH(Table1[[#This Row],[Date Created Conversion]])</f>
        <v>5</v>
      </c>
      <c r="N3017">
        <f>YEAR(Table1[[#This Row],[Date Created Conversion]])</f>
        <v>2014</v>
      </c>
      <c r="O3017" t="b">
        <v>0</v>
      </c>
      <c r="P3017">
        <v>40</v>
      </c>
      <c r="Q3017" t="b">
        <v>1</v>
      </c>
      <c r="R3017" t="s">
        <v>8303</v>
      </c>
      <c r="S3017" s="6">
        <f>Table1[[#This Row],[pledged]]/Table1[[#This Row],[goal]]</f>
        <v>1.0317647058823529</v>
      </c>
      <c r="T3017" s="8">
        <f>IF(Table1[[#This Row],[pledged]]=0,"no backers",Table1[[#This Row],[pledged]]/Table1[[#This Row],[backers_count]])</f>
        <v>87.7</v>
      </c>
      <c r="U3017" t="str">
        <f>LEFT(Table1[[#This Row],[Category and Sub-Category]],FIND("/",Table1[[#This Row],[Category and Sub-Category]])-1)</f>
        <v>theater</v>
      </c>
      <c r="V3017" t="str">
        <f>RIGHT(Table1[[#This Row],[Category and Sub-Category]],LEN(Table1[[#This Row],[Category and Sub-Category]])-FIND("/",Table1[[#This Row],[Category and Sub-Category]]))</f>
        <v>spaces</v>
      </c>
    </row>
    <row r="3018" spans="1:22" ht="57.6" x14ac:dyDescent="0.3">
      <c r="A3018">
        <v>3016</v>
      </c>
      <c r="B3018" s="3" t="s">
        <v>3016</v>
      </c>
      <c r="C3018" s="3" t="s">
        <v>7126</v>
      </c>
      <c r="D3018" s="12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>((Table1[[#This Row],[deadline]]/60)/60/24)+DATE(1970,1,1)</f>
        <v>41838.548055555555</v>
      </c>
      <c r="K3018">
        <v>1400504952</v>
      </c>
      <c r="L3018" s="11">
        <f>((Table1[[#This Row],[launched_at]]/60)/60/24)+DATE(1970,1,1)</f>
        <v>41778.548055555555</v>
      </c>
      <c r="M3018">
        <f>MONTH(Table1[[#This Row],[Date Created Conversion]])</f>
        <v>5</v>
      </c>
      <c r="N3018">
        <f>YEAR(Table1[[#This Row],[Date Created Conversion]])</f>
        <v>2014</v>
      </c>
      <c r="O3018" t="b">
        <v>0</v>
      </c>
      <c r="P3018">
        <v>36</v>
      </c>
      <c r="Q3018" t="b">
        <v>1</v>
      </c>
      <c r="R3018" t="s">
        <v>8303</v>
      </c>
      <c r="S3018" s="6">
        <f>Table1[[#This Row],[pledged]]/Table1[[#This Row],[goal]]</f>
        <v>1.0261176470588236</v>
      </c>
      <c r="T3018" s="8">
        <f>IF(Table1[[#This Row],[pledged]]=0,"no backers",Table1[[#This Row],[pledged]]/Table1[[#This Row],[backers_count]])</f>
        <v>242.27777777777777</v>
      </c>
      <c r="U3018" t="str">
        <f>LEFT(Table1[[#This Row],[Category and Sub-Category]],FIND("/",Table1[[#This Row],[Category and Sub-Category]])-1)</f>
        <v>theater</v>
      </c>
      <c r="V3018" t="str">
        <f>RIGHT(Table1[[#This Row],[Category and Sub-Category]],LEN(Table1[[#This Row],[Category and Sub-Category]])-FIND("/",Table1[[#This Row],[Category and Sub-Category]]))</f>
        <v>spaces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 s="12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>((Table1[[#This Row],[deadline]]/60)/60/24)+DATE(1970,1,1)</f>
        <v>41871.850034722222</v>
      </c>
      <c r="K3019">
        <v>1405974243</v>
      </c>
      <c r="L3019" s="11">
        <f>((Table1[[#This Row],[launched_at]]/60)/60/24)+DATE(1970,1,1)</f>
        <v>41841.850034722222</v>
      </c>
      <c r="M3019">
        <f>MONTH(Table1[[#This Row],[Date Created Conversion]])</f>
        <v>7</v>
      </c>
      <c r="N3019">
        <f>YEAR(Table1[[#This Row],[Date Created Conversion]])</f>
        <v>2014</v>
      </c>
      <c r="O3019" t="b">
        <v>0</v>
      </c>
      <c r="P3019">
        <v>159</v>
      </c>
      <c r="Q3019" t="b">
        <v>1</v>
      </c>
      <c r="R3019" t="s">
        <v>8303</v>
      </c>
      <c r="S3019" s="6">
        <f>Table1[[#This Row],[pledged]]/Table1[[#This Row],[goal]]</f>
        <v>1.0584090909090909</v>
      </c>
      <c r="T3019" s="8">
        <f>IF(Table1[[#This Row],[pledged]]=0,"no backers",Table1[[#This Row],[pledged]]/Table1[[#This Row],[backers_count]])</f>
        <v>146.44654088050314</v>
      </c>
      <c r="U3019" t="str">
        <f>LEFT(Table1[[#This Row],[Category and Sub-Category]],FIND("/",Table1[[#This Row],[Category and Sub-Category]])-1)</f>
        <v>theater</v>
      </c>
      <c r="V3019" t="str">
        <f>RIGHT(Table1[[#This Row],[Category and Sub-Category]],LEN(Table1[[#This Row],[Category and Sub-Category]])-FIND("/",Table1[[#This Row],[Category and Sub-Category]]))</f>
        <v>spaces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 s="12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>((Table1[[#This Row],[deadline]]/60)/60/24)+DATE(1970,1,1)</f>
        <v>42205.916666666672</v>
      </c>
      <c r="K3020">
        <v>1433747376</v>
      </c>
      <c r="L3020" s="11">
        <f>((Table1[[#This Row],[launched_at]]/60)/60/24)+DATE(1970,1,1)</f>
        <v>42163.29833333334</v>
      </c>
      <c r="M3020">
        <f>MONTH(Table1[[#This Row],[Date Created Conversion]])</f>
        <v>6</v>
      </c>
      <c r="N3020">
        <f>YEAR(Table1[[#This Row],[Date Created Conversion]])</f>
        <v>2015</v>
      </c>
      <c r="O3020" t="b">
        <v>0</v>
      </c>
      <c r="P3020">
        <v>41</v>
      </c>
      <c r="Q3020" t="b">
        <v>1</v>
      </c>
      <c r="R3020" t="s">
        <v>8303</v>
      </c>
      <c r="S3020" s="6">
        <f>Table1[[#This Row],[pledged]]/Table1[[#This Row],[goal]]</f>
        <v>1.0071428571428571</v>
      </c>
      <c r="T3020" s="8">
        <f>IF(Table1[[#This Row],[pledged]]=0,"no backers",Table1[[#This Row],[pledged]]/Table1[[#This Row],[backers_count]])</f>
        <v>103.17073170731707</v>
      </c>
      <c r="U3020" t="str">
        <f>LEFT(Table1[[#This Row],[Category and Sub-Category]],FIND("/",Table1[[#This Row],[Category and Sub-Category]])-1)</f>
        <v>theater</v>
      </c>
      <c r="V3020" t="str">
        <f>RIGHT(Table1[[#This Row],[Category and Sub-Category]],LEN(Table1[[#This Row],[Category and Sub-Category]])-FIND("/",Table1[[#This Row],[Category and Sub-Category]]))</f>
        <v>spaces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 s="12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>((Table1[[#This Row],[deadline]]/60)/60/24)+DATE(1970,1,1)</f>
        <v>41786.125</v>
      </c>
      <c r="K3021">
        <v>1398801620</v>
      </c>
      <c r="L3021" s="11">
        <f>((Table1[[#This Row],[launched_at]]/60)/60/24)+DATE(1970,1,1)</f>
        <v>41758.833564814813</v>
      </c>
      <c r="M3021">
        <f>MONTH(Table1[[#This Row],[Date Created Conversion]])</f>
        <v>4</v>
      </c>
      <c r="N3021">
        <f>YEAR(Table1[[#This Row],[Date Created Conversion]])</f>
        <v>2014</v>
      </c>
      <c r="O3021" t="b">
        <v>0</v>
      </c>
      <c r="P3021">
        <v>226</v>
      </c>
      <c r="Q3021" t="b">
        <v>1</v>
      </c>
      <c r="R3021" t="s">
        <v>8303</v>
      </c>
      <c r="S3021" s="6">
        <f>Table1[[#This Row],[pledged]]/Table1[[#This Row],[goal]]</f>
        <v>1.2123333333333333</v>
      </c>
      <c r="T3021" s="8">
        <f>IF(Table1[[#This Row],[pledged]]=0,"no backers",Table1[[#This Row],[pledged]]/Table1[[#This Row],[backers_count]])</f>
        <v>80.464601769911511</v>
      </c>
      <c r="U3021" t="str">
        <f>LEFT(Table1[[#This Row],[Category and Sub-Category]],FIND("/",Table1[[#This Row],[Category and Sub-Category]])-1)</f>
        <v>theater</v>
      </c>
      <c r="V3021" t="str">
        <f>RIGHT(Table1[[#This Row],[Category and Sub-Category]],LEN(Table1[[#This Row],[Category and Sub-Category]])-FIND("/",Table1[[#This Row],[Category and Sub-Category]]))</f>
        <v>spaces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 s="1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>((Table1[[#This Row],[deadline]]/60)/60/24)+DATE(1970,1,1)</f>
        <v>42230.846446759257</v>
      </c>
      <c r="K3022">
        <v>1434399533</v>
      </c>
      <c r="L3022" s="11">
        <f>((Table1[[#This Row],[launched_at]]/60)/60/24)+DATE(1970,1,1)</f>
        <v>42170.846446759257</v>
      </c>
      <c r="M3022">
        <f>MONTH(Table1[[#This Row],[Date Created Conversion]])</f>
        <v>6</v>
      </c>
      <c r="N3022">
        <f>YEAR(Table1[[#This Row],[Date Created Conversion]])</f>
        <v>2015</v>
      </c>
      <c r="O3022" t="b">
        <v>0</v>
      </c>
      <c r="P3022">
        <v>30</v>
      </c>
      <c r="Q3022" t="b">
        <v>1</v>
      </c>
      <c r="R3022" t="s">
        <v>8303</v>
      </c>
      <c r="S3022" s="6">
        <f>Table1[[#This Row],[pledged]]/Table1[[#This Row],[goal]]</f>
        <v>1.0057142857142858</v>
      </c>
      <c r="T3022" s="8">
        <f>IF(Table1[[#This Row],[pledged]]=0,"no backers",Table1[[#This Row],[pledged]]/Table1[[#This Row],[backers_count]])</f>
        <v>234.66666666666666</v>
      </c>
      <c r="U3022" t="str">
        <f>LEFT(Table1[[#This Row],[Category and Sub-Category]],FIND("/",Table1[[#This Row],[Category and Sub-Category]])-1)</f>
        <v>theater</v>
      </c>
      <c r="V3022" t="str">
        <f>RIGHT(Table1[[#This Row],[Category and Sub-Category]],LEN(Table1[[#This Row],[Category and Sub-Category]])-FIND("/",Table1[[#This Row],[Category and Sub-Category]]))</f>
        <v>spaces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 s="12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>((Table1[[#This Row],[deadline]]/60)/60/24)+DATE(1970,1,1)</f>
        <v>42696.249305555553</v>
      </c>
      <c r="K3023">
        <v>1476715869</v>
      </c>
      <c r="L3023" s="11">
        <f>((Table1[[#This Row],[launched_at]]/60)/60/24)+DATE(1970,1,1)</f>
        <v>42660.618854166663</v>
      </c>
      <c r="M3023">
        <f>MONTH(Table1[[#This Row],[Date Created Conversion]])</f>
        <v>10</v>
      </c>
      <c r="N3023">
        <f>YEAR(Table1[[#This Row],[Date Created Conversion]])</f>
        <v>2016</v>
      </c>
      <c r="O3023" t="b">
        <v>0</v>
      </c>
      <c r="P3023">
        <v>103</v>
      </c>
      <c r="Q3023" t="b">
        <v>1</v>
      </c>
      <c r="R3023" t="s">
        <v>8303</v>
      </c>
      <c r="S3023" s="6">
        <f>Table1[[#This Row],[pledged]]/Table1[[#This Row],[goal]]</f>
        <v>1.1602222222222223</v>
      </c>
      <c r="T3023" s="8">
        <f>IF(Table1[[#This Row],[pledged]]=0,"no backers",Table1[[#This Row],[pledged]]/Table1[[#This Row],[backers_count]])</f>
        <v>50.689320388349515</v>
      </c>
      <c r="U3023" t="str">
        <f>LEFT(Table1[[#This Row],[Category and Sub-Category]],FIND("/",Table1[[#This Row],[Category and Sub-Category]])-1)</f>
        <v>theater</v>
      </c>
      <c r="V3023" t="str">
        <f>RIGHT(Table1[[#This Row],[Category and Sub-Category]],LEN(Table1[[#This Row],[Category and Sub-Category]])-FIND("/",Table1[[#This Row],[Category and Sub-Category]]))</f>
        <v>spaces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 s="12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>((Table1[[#This Row],[deadline]]/60)/60/24)+DATE(1970,1,1)</f>
        <v>42609.95380787037</v>
      </c>
      <c r="K3024">
        <v>1468450409</v>
      </c>
      <c r="L3024" s="11">
        <f>((Table1[[#This Row],[launched_at]]/60)/60/24)+DATE(1970,1,1)</f>
        <v>42564.95380787037</v>
      </c>
      <c r="M3024">
        <f>MONTH(Table1[[#This Row],[Date Created Conversion]])</f>
        <v>7</v>
      </c>
      <c r="N3024">
        <f>YEAR(Table1[[#This Row],[Date Created Conversion]])</f>
        <v>2016</v>
      </c>
      <c r="O3024" t="b">
        <v>0</v>
      </c>
      <c r="P3024">
        <v>62</v>
      </c>
      <c r="Q3024" t="b">
        <v>1</v>
      </c>
      <c r="R3024" t="s">
        <v>8303</v>
      </c>
      <c r="S3024" s="6">
        <f>Table1[[#This Row],[pledged]]/Table1[[#This Row],[goal]]</f>
        <v>1.0087999999999999</v>
      </c>
      <c r="T3024" s="8">
        <f>IF(Table1[[#This Row],[pledged]]=0,"no backers",Table1[[#This Row],[pledged]]/Table1[[#This Row],[backers_count]])</f>
        <v>162.70967741935485</v>
      </c>
      <c r="U3024" t="str">
        <f>LEFT(Table1[[#This Row],[Category and Sub-Category]],FIND("/",Table1[[#This Row],[Category and Sub-Category]])-1)</f>
        <v>theater</v>
      </c>
      <c r="V3024" t="str">
        <f>RIGHT(Table1[[#This Row],[Category and Sub-Category]],LEN(Table1[[#This Row],[Category and Sub-Category]])-FIND("/",Table1[[#This Row],[Category and Sub-Category]]))</f>
        <v>spaces</v>
      </c>
    </row>
    <row r="3025" spans="1:22" ht="57.6" x14ac:dyDescent="0.3">
      <c r="A3025">
        <v>3023</v>
      </c>
      <c r="B3025" s="3" t="s">
        <v>3023</v>
      </c>
      <c r="C3025" s="3" t="s">
        <v>7133</v>
      </c>
      <c r="D3025" s="12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>((Table1[[#This Row],[deadline]]/60)/60/24)+DATE(1970,1,1)</f>
        <v>42166.675763888896</v>
      </c>
      <c r="K3025">
        <v>1430151186</v>
      </c>
      <c r="L3025" s="11">
        <f>((Table1[[#This Row],[launched_at]]/60)/60/24)+DATE(1970,1,1)</f>
        <v>42121.675763888896</v>
      </c>
      <c r="M3025">
        <f>MONTH(Table1[[#This Row],[Date Created Conversion]])</f>
        <v>4</v>
      </c>
      <c r="N3025">
        <f>YEAR(Table1[[#This Row],[Date Created Conversion]])</f>
        <v>2015</v>
      </c>
      <c r="O3025" t="b">
        <v>0</v>
      </c>
      <c r="P3025">
        <v>6</v>
      </c>
      <c r="Q3025" t="b">
        <v>1</v>
      </c>
      <c r="R3025" t="s">
        <v>8303</v>
      </c>
      <c r="S3025" s="6">
        <f>Table1[[#This Row],[pledged]]/Table1[[#This Row],[goal]]</f>
        <v>1.03</v>
      </c>
      <c r="T3025" s="8">
        <f>IF(Table1[[#This Row],[pledged]]=0,"no backers",Table1[[#This Row],[pledged]]/Table1[[#This Row],[backers_count]])</f>
        <v>120.16666666666667</v>
      </c>
      <c r="U3025" t="str">
        <f>LEFT(Table1[[#This Row],[Category and Sub-Category]],FIND("/",Table1[[#This Row],[Category and Sub-Category]])-1)</f>
        <v>theater</v>
      </c>
      <c r="V3025" t="str">
        <f>RIGHT(Table1[[#This Row],[Category and Sub-Category]],LEN(Table1[[#This Row],[Category and Sub-Category]])-FIND("/",Table1[[#This Row],[Category and Sub-Category]]))</f>
        <v>spaces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 s="12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>((Table1[[#This Row],[deadline]]/60)/60/24)+DATE(1970,1,1)</f>
        <v>41188.993923611109</v>
      </c>
      <c r="K3026">
        <v>1346975475</v>
      </c>
      <c r="L3026" s="11">
        <f>((Table1[[#This Row],[launched_at]]/60)/60/24)+DATE(1970,1,1)</f>
        <v>41158.993923611109</v>
      </c>
      <c r="M3026">
        <f>MONTH(Table1[[#This Row],[Date Created Conversion]])</f>
        <v>9</v>
      </c>
      <c r="N3026">
        <f>YEAR(Table1[[#This Row],[Date Created Conversion]])</f>
        <v>2012</v>
      </c>
      <c r="O3026" t="b">
        <v>0</v>
      </c>
      <c r="P3026">
        <v>182</v>
      </c>
      <c r="Q3026" t="b">
        <v>1</v>
      </c>
      <c r="R3026" t="s">
        <v>8303</v>
      </c>
      <c r="S3026" s="6">
        <f>Table1[[#This Row],[pledged]]/Table1[[#This Row],[goal]]</f>
        <v>2.4641999999999999</v>
      </c>
      <c r="T3026" s="8">
        <f>IF(Table1[[#This Row],[pledged]]=0,"no backers",Table1[[#This Row],[pledged]]/Table1[[#This Row],[backers_count]])</f>
        <v>67.697802197802204</v>
      </c>
      <c r="U3026" t="str">
        <f>LEFT(Table1[[#This Row],[Category and Sub-Category]],FIND("/",Table1[[#This Row],[Category and Sub-Category]])-1)</f>
        <v>theater</v>
      </c>
      <c r="V3026" t="str">
        <f>RIGHT(Table1[[#This Row],[Category and Sub-Category]],LEN(Table1[[#This Row],[Category and Sub-Category]])-FIND("/",Table1[[#This Row],[Category and Sub-Category]]))</f>
        <v>spaces</v>
      </c>
    </row>
    <row r="3027" spans="1:22" ht="43.2" x14ac:dyDescent="0.3">
      <c r="A3027">
        <v>3025</v>
      </c>
      <c r="B3027" s="3" t="s">
        <v>3025</v>
      </c>
      <c r="C3027" s="3" t="s">
        <v>7135</v>
      </c>
      <c r="D3027" s="12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>((Table1[[#This Row],[deadline]]/60)/60/24)+DATE(1970,1,1)</f>
        <v>41789.666666666664</v>
      </c>
      <c r="K3027">
        <v>1399032813</v>
      </c>
      <c r="L3027" s="11">
        <f>((Table1[[#This Row],[launched_at]]/60)/60/24)+DATE(1970,1,1)</f>
        <v>41761.509409722225</v>
      </c>
      <c r="M3027">
        <f>MONTH(Table1[[#This Row],[Date Created Conversion]])</f>
        <v>5</v>
      </c>
      <c r="N3027">
        <f>YEAR(Table1[[#This Row],[Date Created Conversion]])</f>
        <v>2014</v>
      </c>
      <c r="O3027" t="b">
        <v>0</v>
      </c>
      <c r="P3027">
        <v>145</v>
      </c>
      <c r="Q3027" t="b">
        <v>1</v>
      </c>
      <c r="R3027" t="s">
        <v>8303</v>
      </c>
      <c r="S3027" s="6">
        <f>Table1[[#This Row],[pledged]]/Table1[[#This Row],[goal]]</f>
        <v>3.0219999999999998</v>
      </c>
      <c r="T3027" s="8">
        <f>IF(Table1[[#This Row],[pledged]]=0,"no backers",Table1[[#This Row],[pledged]]/Table1[[#This Row],[backers_count]])</f>
        <v>52.103448275862071</v>
      </c>
      <c r="U3027" t="str">
        <f>LEFT(Table1[[#This Row],[Category and Sub-Category]],FIND("/",Table1[[#This Row],[Category and Sub-Category]])-1)</f>
        <v>theater</v>
      </c>
      <c r="V3027" t="str">
        <f>RIGHT(Table1[[#This Row],[Category and Sub-Category]],LEN(Table1[[#This Row],[Category and Sub-Category]])-FIND("/",Table1[[#This Row],[Category and Sub-Category]]))</f>
        <v>spaces</v>
      </c>
    </row>
    <row r="3028" spans="1:22" ht="57.6" x14ac:dyDescent="0.3">
      <c r="A3028">
        <v>3026</v>
      </c>
      <c r="B3028" s="3" t="s">
        <v>3026</v>
      </c>
      <c r="C3028" s="3" t="s">
        <v>7136</v>
      </c>
      <c r="D3028" s="12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>((Table1[[#This Row],[deadline]]/60)/60/24)+DATE(1970,1,1)</f>
        <v>42797.459398148145</v>
      </c>
      <c r="K3028">
        <v>1487329292</v>
      </c>
      <c r="L3028" s="11">
        <f>((Table1[[#This Row],[launched_at]]/60)/60/24)+DATE(1970,1,1)</f>
        <v>42783.459398148145</v>
      </c>
      <c r="M3028">
        <f>MONTH(Table1[[#This Row],[Date Created Conversion]])</f>
        <v>2</v>
      </c>
      <c r="N3028">
        <f>YEAR(Table1[[#This Row],[Date Created Conversion]])</f>
        <v>2017</v>
      </c>
      <c r="O3028" t="b">
        <v>0</v>
      </c>
      <c r="P3028">
        <v>25</v>
      </c>
      <c r="Q3028" t="b">
        <v>1</v>
      </c>
      <c r="R3028" t="s">
        <v>8303</v>
      </c>
      <c r="S3028" s="6">
        <f>Table1[[#This Row],[pledged]]/Table1[[#This Row],[goal]]</f>
        <v>1.4333333333333333</v>
      </c>
      <c r="T3028" s="8">
        <f>IF(Table1[[#This Row],[pledged]]=0,"no backers",Table1[[#This Row],[pledged]]/Table1[[#This Row],[backers_count]])</f>
        <v>51.6</v>
      </c>
      <c r="U3028" t="str">
        <f>LEFT(Table1[[#This Row],[Category and Sub-Category]],FIND("/",Table1[[#This Row],[Category and Sub-Category]])-1)</f>
        <v>theater</v>
      </c>
      <c r="V3028" t="str">
        <f>RIGHT(Table1[[#This Row],[Category and Sub-Category]],LEN(Table1[[#This Row],[Category and Sub-Category]])-FIND("/",Table1[[#This Row],[Category and Sub-Category]]))</f>
        <v>spaces</v>
      </c>
    </row>
    <row r="3029" spans="1:22" ht="43.2" x14ac:dyDescent="0.3">
      <c r="A3029">
        <v>3027</v>
      </c>
      <c r="B3029" s="3" t="s">
        <v>3027</v>
      </c>
      <c r="C3029" s="3" t="s">
        <v>7137</v>
      </c>
      <c r="D3029" s="12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>((Table1[[#This Row],[deadline]]/60)/60/24)+DATE(1970,1,1)</f>
        <v>42083.662627314814</v>
      </c>
      <c r="K3029">
        <v>1424278451</v>
      </c>
      <c r="L3029" s="11">
        <f>((Table1[[#This Row],[launched_at]]/60)/60/24)+DATE(1970,1,1)</f>
        <v>42053.704293981486</v>
      </c>
      <c r="M3029">
        <f>MONTH(Table1[[#This Row],[Date Created Conversion]])</f>
        <v>2</v>
      </c>
      <c r="N3029">
        <f>YEAR(Table1[[#This Row],[Date Created Conversion]])</f>
        <v>2015</v>
      </c>
      <c r="O3029" t="b">
        <v>0</v>
      </c>
      <c r="P3029">
        <v>320</v>
      </c>
      <c r="Q3029" t="b">
        <v>1</v>
      </c>
      <c r="R3029" t="s">
        <v>8303</v>
      </c>
      <c r="S3029" s="6">
        <f>Table1[[#This Row],[pledged]]/Table1[[#This Row],[goal]]</f>
        <v>1.3144</v>
      </c>
      <c r="T3029" s="8">
        <f>IF(Table1[[#This Row],[pledged]]=0,"no backers",Table1[[#This Row],[pledged]]/Table1[[#This Row],[backers_count]])</f>
        <v>164.3</v>
      </c>
      <c r="U3029" t="str">
        <f>LEFT(Table1[[#This Row],[Category and Sub-Category]],FIND("/",Table1[[#This Row],[Category and Sub-Category]])-1)</f>
        <v>theater</v>
      </c>
      <c r="V3029" t="str">
        <f>RIGHT(Table1[[#This Row],[Category and Sub-Category]],LEN(Table1[[#This Row],[Category and Sub-Category]])-FIND("/",Table1[[#This Row],[Category and Sub-Category]]))</f>
        <v>spaces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 s="12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>((Table1[[#This Row],[deadline]]/60)/60/24)+DATE(1970,1,1)</f>
        <v>42597.264178240745</v>
      </c>
      <c r="K3030">
        <v>1468650025</v>
      </c>
      <c r="L3030" s="11">
        <f>((Table1[[#This Row],[launched_at]]/60)/60/24)+DATE(1970,1,1)</f>
        <v>42567.264178240745</v>
      </c>
      <c r="M3030">
        <f>MONTH(Table1[[#This Row],[Date Created Conversion]])</f>
        <v>7</v>
      </c>
      <c r="N3030">
        <f>YEAR(Table1[[#This Row],[Date Created Conversion]])</f>
        <v>2016</v>
      </c>
      <c r="O3030" t="b">
        <v>0</v>
      </c>
      <c r="P3030">
        <v>99</v>
      </c>
      <c r="Q3030" t="b">
        <v>1</v>
      </c>
      <c r="R3030" t="s">
        <v>8303</v>
      </c>
      <c r="S3030" s="6">
        <f>Table1[[#This Row],[pledged]]/Table1[[#This Row],[goal]]</f>
        <v>1.6801999999999999</v>
      </c>
      <c r="T3030" s="8">
        <f>IF(Table1[[#This Row],[pledged]]=0,"no backers",Table1[[#This Row],[pledged]]/Table1[[#This Row],[backers_count]])</f>
        <v>84.858585858585855</v>
      </c>
      <c r="U3030" t="str">
        <f>LEFT(Table1[[#This Row],[Category and Sub-Category]],FIND("/",Table1[[#This Row],[Category and Sub-Category]])-1)</f>
        <v>theater</v>
      </c>
      <c r="V3030" t="str">
        <f>RIGHT(Table1[[#This Row],[Category and Sub-Category]],LEN(Table1[[#This Row],[Category and Sub-Category]])-FIND("/",Table1[[#This Row],[Category and Sub-Category]]))</f>
        <v>spaces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 s="12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>((Table1[[#This Row],[deadline]]/60)/60/24)+DATE(1970,1,1)</f>
        <v>41961.190972222219</v>
      </c>
      <c r="K3031">
        <v>1413824447</v>
      </c>
      <c r="L3031" s="11">
        <f>((Table1[[#This Row],[launched_at]]/60)/60/24)+DATE(1970,1,1)</f>
        <v>41932.708877314813</v>
      </c>
      <c r="M3031">
        <f>MONTH(Table1[[#This Row],[Date Created Conversion]])</f>
        <v>10</v>
      </c>
      <c r="N3031">
        <f>YEAR(Table1[[#This Row],[Date Created Conversion]])</f>
        <v>2014</v>
      </c>
      <c r="O3031" t="b">
        <v>0</v>
      </c>
      <c r="P3031">
        <v>348</v>
      </c>
      <c r="Q3031" t="b">
        <v>1</v>
      </c>
      <c r="R3031" t="s">
        <v>8303</v>
      </c>
      <c r="S3031" s="6">
        <f>Table1[[#This Row],[pledged]]/Table1[[#This Row],[goal]]</f>
        <v>1.0967666666666667</v>
      </c>
      <c r="T3031" s="8">
        <f>IF(Table1[[#This Row],[pledged]]=0,"no backers",Table1[[#This Row],[pledged]]/Table1[[#This Row],[backers_count]])</f>
        <v>94.548850574712645</v>
      </c>
      <c r="U3031" t="str">
        <f>LEFT(Table1[[#This Row],[Category and Sub-Category]],FIND("/",Table1[[#This Row],[Category and Sub-Category]])-1)</f>
        <v>theater</v>
      </c>
      <c r="V3031" t="str">
        <f>RIGHT(Table1[[#This Row],[Category and Sub-Category]],LEN(Table1[[#This Row],[Category and Sub-Category]])-FIND("/",Table1[[#This Row],[Category and Sub-Category]]))</f>
        <v>spaces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 s="1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>((Table1[[#This Row],[deadline]]/60)/60/24)+DATE(1970,1,1)</f>
        <v>42263.747349537036</v>
      </c>
      <c r="K3032">
        <v>1439834171</v>
      </c>
      <c r="L3032" s="11">
        <f>((Table1[[#This Row],[launched_at]]/60)/60/24)+DATE(1970,1,1)</f>
        <v>42233.747349537036</v>
      </c>
      <c r="M3032">
        <f>MONTH(Table1[[#This Row],[Date Created Conversion]])</f>
        <v>8</v>
      </c>
      <c r="N3032">
        <f>YEAR(Table1[[#This Row],[Date Created Conversion]])</f>
        <v>2015</v>
      </c>
      <c r="O3032" t="b">
        <v>0</v>
      </c>
      <c r="P3032">
        <v>41</v>
      </c>
      <c r="Q3032" t="b">
        <v>1</v>
      </c>
      <c r="R3032" t="s">
        <v>8303</v>
      </c>
      <c r="S3032" s="6">
        <f>Table1[[#This Row],[pledged]]/Table1[[#This Row],[goal]]</f>
        <v>1.0668571428571429</v>
      </c>
      <c r="T3032" s="8">
        <f>IF(Table1[[#This Row],[pledged]]=0,"no backers",Table1[[#This Row],[pledged]]/Table1[[#This Row],[backers_count]])</f>
        <v>45.536585365853661</v>
      </c>
      <c r="U3032" t="str">
        <f>LEFT(Table1[[#This Row],[Category and Sub-Category]],FIND("/",Table1[[#This Row],[Category and Sub-Category]])-1)</f>
        <v>theater</v>
      </c>
      <c r="V3032" t="str">
        <f>RIGHT(Table1[[#This Row],[Category and Sub-Category]],LEN(Table1[[#This Row],[Category and Sub-Category]])-FIND("/",Table1[[#This Row],[Category and Sub-Category]]))</f>
        <v>spaces</v>
      </c>
    </row>
    <row r="3033" spans="1:22" ht="72" x14ac:dyDescent="0.3">
      <c r="A3033">
        <v>3031</v>
      </c>
      <c r="B3033" s="3" t="s">
        <v>3031</v>
      </c>
      <c r="C3033" s="3" t="s">
        <v>7141</v>
      </c>
      <c r="D3033" s="12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>((Table1[[#This Row],[deadline]]/60)/60/24)+DATE(1970,1,1)</f>
        <v>42657.882488425923</v>
      </c>
      <c r="K3033">
        <v>1471295447</v>
      </c>
      <c r="L3033" s="11">
        <f>((Table1[[#This Row],[launched_at]]/60)/60/24)+DATE(1970,1,1)</f>
        <v>42597.882488425923</v>
      </c>
      <c r="M3033">
        <f>MONTH(Table1[[#This Row],[Date Created Conversion]])</f>
        <v>8</v>
      </c>
      <c r="N3033">
        <f>YEAR(Table1[[#This Row],[Date Created Conversion]])</f>
        <v>2016</v>
      </c>
      <c r="O3033" t="b">
        <v>0</v>
      </c>
      <c r="P3033">
        <v>29</v>
      </c>
      <c r="Q3033" t="b">
        <v>1</v>
      </c>
      <c r="R3033" t="s">
        <v>8303</v>
      </c>
      <c r="S3033" s="6">
        <f>Table1[[#This Row],[pledged]]/Table1[[#This Row],[goal]]</f>
        <v>1</v>
      </c>
      <c r="T3033" s="8">
        <f>IF(Table1[[#This Row],[pledged]]=0,"no backers",Table1[[#This Row],[pledged]]/Table1[[#This Row],[backers_count]])</f>
        <v>51.724137931034484</v>
      </c>
      <c r="U3033" t="str">
        <f>LEFT(Table1[[#This Row],[Category and Sub-Category]],FIND("/",Table1[[#This Row],[Category and Sub-Category]])-1)</f>
        <v>theater</v>
      </c>
      <c r="V3033" t="str">
        <f>RIGHT(Table1[[#This Row],[Category and Sub-Category]],LEN(Table1[[#This Row],[Category and Sub-Category]])-FIND("/",Table1[[#This Row],[Category and Sub-Category]]))</f>
        <v>spaces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 s="12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>((Table1[[#This Row],[deadline]]/60)/60/24)+DATE(1970,1,1)</f>
        <v>42258.044664351852</v>
      </c>
      <c r="K3034">
        <v>1439341459</v>
      </c>
      <c r="L3034" s="11">
        <f>((Table1[[#This Row],[launched_at]]/60)/60/24)+DATE(1970,1,1)</f>
        <v>42228.044664351852</v>
      </c>
      <c r="M3034">
        <f>MONTH(Table1[[#This Row],[Date Created Conversion]])</f>
        <v>8</v>
      </c>
      <c r="N3034">
        <f>YEAR(Table1[[#This Row],[Date Created Conversion]])</f>
        <v>2015</v>
      </c>
      <c r="O3034" t="b">
        <v>0</v>
      </c>
      <c r="P3034">
        <v>25</v>
      </c>
      <c r="Q3034" t="b">
        <v>1</v>
      </c>
      <c r="R3034" t="s">
        <v>8303</v>
      </c>
      <c r="S3034" s="6">
        <f>Table1[[#This Row],[pledged]]/Table1[[#This Row],[goal]]</f>
        <v>1.272</v>
      </c>
      <c r="T3034" s="8">
        <f>IF(Table1[[#This Row],[pledged]]=0,"no backers",Table1[[#This Row],[pledged]]/Table1[[#This Row],[backers_count]])</f>
        <v>50.88</v>
      </c>
      <c r="U3034" t="str">
        <f>LEFT(Table1[[#This Row],[Category and Sub-Category]],FIND("/",Table1[[#This Row],[Category and Sub-Category]])-1)</f>
        <v>theater</v>
      </c>
      <c r="V3034" t="str">
        <f>RIGHT(Table1[[#This Row],[Category and Sub-Category]],LEN(Table1[[#This Row],[Category and Sub-Category]])-FIND("/",Table1[[#This Row],[Category and Sub-Category]]))</f>
        <v>spaces</v>
      </c>
    </row>
    <row r="3035" spans="1:22" ht="43.2" x14ac:dyDescent="0.3">
      <c r="A3035">
        <v>3033</v>
      </c>
      <c r="B3035" s="3" t="s">
        <v>3033</v>
      </c>
      <c r="C3035" s="3" t="s">
        <v>7143</v>
      </c>
      <c r="D3035" s="12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>((Table1[[#This Row],[deadline]]/60)/60/24)+DATE(1970,1,1)</f>
        <v>42600.110243055555</v>
      </c>
      <c r="K3035">
        <v>1468895925</v>
      </c>
      <c r="L3035" s="11">
        <f>((Table1[[#This Row],[launched_at]]/60)/60/24)+DATE(1970,1,1)</f>
        <v>42570.110243055555</v>
      </c>
      <c r="M3035">
        <f>MONTH(Table1[[#This Row],[Date Created Conversion]])</f>
        <v>7</v>
      </c>
      <c r="N3035">
        <f>YEAR(Table1[[#This Row],[Date Created Conversion]])</f>
        <v>2016</v>
      </c>
      <c r="O3035" t="b">
        <v>0</v>
      </c>
      <c r="P3035">
        <v>23</v>
      </c>
      <c r="Q3035" t="b">
        <v>1</v>
      </c>
      <c r="R3035" t="s">
        <v>8303</v>
      </c>
      <c r="S3035" s="6">
        <f>Table1[[#This Row],[pledged]]/Table1[[#This Row],[goal]]</f>
        <v>1.4653333333333334</v>
      </c>
      <c r="T3035" s="8">
        <f>IF(Table1[[#This Row],[pledged]]=0,"no backers",Table1[[#This Row],[pledged]]/Table1[[#This Row],[backers_count]])</f>
        <v>191.13043478260869</v>
      </c>
      <c r="U3035" t="str">
        <f>LEFT(Table1[[#This Row],[Category and Sub-Category]],FIND("/",Table1[[#This Row],[Category and Sub-Category]])-1)</f>
        <v>theater</v>
      </c>
      <c r="V3035" t="str">
        <f>RIGHT(Table1[[#This Row],[Category and Sub-Category]],LEN(Table1[[#This Row],[Category and Sub-Category]])-FIND("/",Table1[[#This Row],[Category and Sub-Category]]))</f>
        <v>spaces</v>
      </c>
    </row>
    <row r="3036" spans="1:22" ht="72" x14ac:dyDescent="0.3">
      <c r="A3036">
        <v>3034</v>
      </c>
      <c r="B3036" s="3" t="s">
        <v>3034</v>
      </c>
      <c r="C3036" s="3" t="s">
        <v>7144</v>
      </c>
      <c r="D3036" s="12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>((Table1[[#This Row],[deadline]]/60)/60/24)+DATE(1970,1,1)</f>
        <v>42675.165972222225</v>
      </c>
      <c r="K3036">
        <v>1475326255</v>
      </c>
      <c r="L3036" s="11">
        <f>((Table1[[#This Row],[launched_at]]/60)/60/24)+DATE(1970,1,1)</f>
        <v>42644.535358796296</v>
      </c>
      <c r="M3036">
        <f>MONTH(Table1[[#This Row],[Date Created Conversion]])</f>
        <v>10</v>
      </c>
      <c r="N3036">
        <f>YEAR(Table1[[#This Row],[Date Created Conversion]])</f>
        <v>2016</v>
      </c>
      <c r="O3036" t="b">
        <v>0</v>
      </c>
      <c r="P3036">
        <v>1260</v>
      </c>
      <c r="Q3036" t="b">
        <v>1</v>
      </c>
      <c r="R3036" t="s">
        <v>8303</v>
      </c>
      <c r="S3036" s="6">
        <f>Table1[[#This Row],[pledged]]/Table1[[#This Row],[goal]]</f>
        <v>1.1253599999999999</v>
      </c>
      <c r="T3036" s="8">
        <f>IF(Table1[[#This Row],[pledged]]=0,"no backers",Table1[[#This Row],[pledged]]/Table1[[#This Row],[backers_count]])</f>
        <v>89.314285714285717</v>
      </c>
      <c r="U3036" t="str">
        <f>LEFT(Table1[[#This Row],[Category and Sub-Category]],FIND("/",Table1[[#This Row],[Category and Sub-Category]])-1)</f>
        <v>theater</v>
      </c>
      <c r="V3036" t="str">
        <f>RIGHT(Table1[[#This Row],[Category and Sub-Category]],LEN(Table1[[#This Row],[Category and Sub-Category]])-FIND("/",Table1[[#This Row],[Category and Sub-Category]]))</f>
        <v>spaces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 s="12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>((Table1[[#This Row],[deadline]]/60)/60/24)+DATE(1970,1,1)</f>
        <v>41398.560289351852</v>
      </c>
      <c r="K3037">
        <v>1365082009</v>
      </c>
      <c r="L3037" s="11">
        <f>((Table1[[#This Row],[launched_at]]/60)/60/24)+DATE(1970,1,1)</f>
        <v>41368.560289351852</v>
      </c>
      <c r="M3037">
        <f>MONTH(Table1[[#This Row],[Date Created Conversion]])</f>
        <v>4</v>
      </c>
      <c r="N3037">
        <f>YEAR(Table1[[#This Row],[Date Created Conversion]])</f>
        <v>2013</v>
      </c>
      <c r="O3037" t="b">
        <v>0</v>
      </c>
      <c r="P3037">
        <v>307</v>
      </c>
      <c r="Q3037" t="b">
        <v>1</v>
      </c>
      <c r="R3037" t="s">
        <v>8303</v>
      </c>
      <c r="S3037" s="6">
        <f>Table1[[#This Row],[pledged]]/Table1[[#This Row],[goal]]</f>
        <v>1.0878684000000001</v>
      </c>
      <c r="T3037" s="8">
        <f>IF(Table1[[#This Row],[pledged]]=0,"no backers",Table1[[#This Row],[pledged]]/Table1[[#This Row],[backers_count]])</f>
        <v>88.588631921824103</v>
      </c>
      <c r="U3037" t="str">
        <f>LEFT(Table1[[#This Row],[Category and Sub-Category]],FIND("/",Table1[[#This Row],[Category and Sub-Category]])-1)</f>
        <v>theater</v>
      </c>
      <c r="V3037" t="str">
        <f>RIGHT(Table1[[#This Row],[Category and Sub-Category]],LEN(Table1[[#This Row],[Category and Sub-Category]])-FIND("/",Table1[[#This Row],[Category and Sub-Category]]))</f>
        <v>spaces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 s="12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>((Table1[[#This Row],[deadline]]/60)/60/24)+DATE(1970,1,1)</f>
        <v>41502.499305555553</v>
      </c>
      <c r="K3038">
        <v>1373568644</v>
      </c>
      <c r="L3038" s="11">
        <f>((Table1[[#This Row],[launched_at]]/60)/60/24)+DATE(1970,1,1)</f>
        <v>41466.785231481481</v>
      </c>
      <c r="M3038">
        <f>MONTH(Table1[[#This Row],[Date Created Conversion]])</f>
        <v>7</v>
      </c>
      <c r="N3038">
        <f>YEAR(Table1[[#This Row],[Date Created Conversion]])</f>
        <v>2013</v>
      </c>
      <c r="O3038" t="b">
        <v>0</v>
      </c>
      <c r="P3038">
        <v>329</v>
      </c>
      <c r="Q3038" t="b">
        <v>1</v>
      </c>
      <c r="R3038" t="s">
        <v>8303</v>
      </c>
      <c r="S3038" s="6">
        <f>Table1[[#This Row],[pledged]]/Table1[[#This Row],[goal]]</f>
        <v>1.26732</v>
      </c>
      <c r="T3038" s="8">
        <f>IF(Table1[[#This Row],[pledged]]=0,"no backers",Table1[[#This Row],[pledged]]/Table1[[#This Row],[backers_count]])</f>
        <v>96.300911854103347</v>
      </c>
      <c r="U3038" t="str">
        <f>LEFT(Table1[[#This Row],[Category and Sub-Category]],FIND("/",Table1[[#This Row],[Category and Sub-Category]])-1)</f>
        <v>theater</v>
      </c>
      <c r="V3038" t="str">
        <f>RIGHT(Table1[[#This Row],[Category and Sub-Category]],LEN(Table1[[#This Row],[Category and Sub-Category]])-FIND("/",Table1[[#This Row],[Category and Sub-Category]]))</f>
        <v>spaces</v>
      </c>
    </row>
    <row r="3039" spans="1:22" ht="57.6" x14ac:dyDescent="0.3">
      <c r="A3039">
        <v>3037</v>
      </c>
      <c r="B3039" s="3" t="s">
        <v>3037</v>
      </c>
      <c r="C3039" s="3" t="s">
        <v>7147</v>
      </c>
      <c r="D3039" s="12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>((Table1[[#This Row],[deadline]]/60)/60/24)+DATE(1970,1,1)</f>
        <v>40453.207638888889</v>
      </c>
      <c r="K3039">
        <v>1279574773</v>
      </c>
      <c r="L3039" s="11">
        <f>((Table1[[#This Row],[launched_at]]/60)/60/24)+DATE(1970,1,1)</f>
        <v>40378.893206018518</v>
      </c>
      <c r="M3039">
        <f>MONTH(Table1[[#This Row],[Date Created Conversion]])</f>
        <v>7</v>
      </c>
      <c r="N3039">
        <f>YEAR(Table1[[#This Row],[Date Created Conversion]])</f>
        <v>2010</v>
      </c>
      <c r="O3039" t="b">
        <v>0</v>
      </c>
      <c r="P3039">
        <v>32</v>
      </c>
      <c r="Q3039" t="b">
        <v>1</v>
      </c>
      <c r="R3039" t="s">
        <v>8303</v>
      </c>
      <c r="S3039" s="6">
        <f>Table1[[#This Row],[pledged]]/Table1[[#This Row],[goal]]</f>
        <v>2.1320000000000001</v>
      </c>
      <c r="T3039" s="8">
        <f>IF(Table1[[#This Row],[pledged]]=0,"no backers",Table1[[#This Row],[pledged]]/Table1[[#This Row],[backers_count]])</f>
        <v>33.3125</v>
      </c>
      <c r="U3039" t="str">
        <f>LEFT(Table1[[#This Row],[Category and Sub-Category]],FIND("/",Table1[[#This Row],[Category and Sub-Category]])-1)</f>
        <v>theater</v>
      </c>
      <c r="V3039" t="str">
        <f>RIGHT(Table1[[#This Row],[Category and Sub-Category]],LEN(Table1[[#This Row],[Category and Sub-Category]])-FIND("/",Table1[[#This Row],[Category and Sub-Category]]))</f>
        <v>spaces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 s="12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>((Table1[[#This Row],[deadline]]/60)/60/24)+DATE(1970,1,1)</f>
        <v>42433.252280092594</v>
      </c>
      <c r="K3040">
        <v>1451887397</v>
      </c>
      <c r="L3040" s="11">
        <f>((Table1[[#This Row],[launched_at]]/60)/60/24)+DATE(1970,1,1)</f>
        <v>42373.252280092594</v>
      </c>
      <c r="M3040">
        <f>MONTH(Table1[[#This Row],[Date Created Conversion]])</f>
        <v>1</v>
      </c>
      <c r="N3040">
        <f>YEAR(Table1[[#This Row],[Date Created Conversion]])</f>
        <v>2016</v>
      </c>
      <c r="O3040" t="b">
        <v>0</v>
      </c>
      <c r="P3040">
        <v>27</v>
      </c>
      <c r="Q3040" t="b">
        <v>1</v>
      </c>
      <c r="R3040" t="s">
        <v>8303</v>
      </c>
      <c r="S3040" s="6">
        <f>Table1[[#This Row],[pledged]]/Table1[[#This Row],[goal]]</f>
        <v>1.0049999999999999</v>
      </c>
      <c r="T3040" s="8">
        <f>IF(Table1[[#This Row],[pledged]]=0,"no backers",Table1[[#This Row],[pledged]]/Table1[[#This Row],[backers_count]])</f>
        <v>37.222222222222221</v>
      </c>
      <c r="U3040" t="str">
        <f>LEFT(Table1[[#This Row],[Category and Sub-Category]],FIND("/",Table1[[#This Row],[Category and Sub-Category]])-1)</f>
        <v>theater</v>
      </c>
      <c r="V3040" t="str">
        <f>RIGHT(Table1[[#This Row],[Category and Sub-Category]],LEN(Table1[[#This Row],[Category and Sub-Category]])-FIND("/",Table1[[#This Row],[Category and Sub-Category]]))</f>
        <v>spaces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 s="12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>((Table1[[#This Row],[deadline]]/60)/60/24)+DATE(1970,1,1)</f>
        <v>41637.332638888889</v>
      </c>
      <c r="K3041">
        <v>1386011038</v>
      </c>
      <c r="L3041" s="11">
        <f>((Table1[[#This Row],[launched_at]]/60)/60/24)+DATE(1970,1,1)</f>
        <v>41610.794421296298</v>
      </c>
      <c r="M3041">
        <f>MONTH(Table1[[#This Row],[Date Created Conversion]])</f>
        <v>12</v>
      </c>
      <c r="N3041">
        <f>YEAR(Table1[[#This Row],[Date Created Conversion]])</f>
        <v>2013</v>
      </c>
      <c r="O3041" t="b">
        <v>0</v>
      </c>
      <c r="P3041">
        <v>236</v>
      </c>
      <c r="Q3041" t="b">
        <v>1</v>
      </c>
      <c r="R3041" t="s">
        <v>8303</v>
      </c>
      <c r="S3041" s="6">
        <f>Table1[[#This Row],[pledged]]/Table1[[#This Row],[goal]]</f>
        <v>1.0871389999999999</v>
      </c>
      <c r="T3041" s="8">
        <f>IF(Table1[[#This Row],[pledged]]=0,"no backers",Table1[[#This Row],[pledged]]/Table1[[#This Row],[backers_count]])</f>
        <v>92.130423728813554</v>
      </c>
      <c r="U3041" t="str">
        <f>LEFT(Table1[[#This Row],[Category and Sub-Category]],FIND("/",Table1[[#This Row],[Category and Sub-Category]])-1)</f>
        <v>theater</v>
      </c>
      <c r="V3041" t="str">
        <f>RIGHT(Table1[[#This Row],[Category and Sub-Category]],LEN(Table1[[#This Row],[Category and Sub-Category]])-FIND("/",Table1[[#This Row],[Category and Sub-Category]]))</f>
        <v>spaces</v>
      </c>
    </row>
    <row r="3042" spans="1:22" ht="43.2" x14ac:dyDescent="0.3">
      <c r="A3042">
        <v>3040</v>
      </c>
      <c r="B3042" s="3" t="s">
        <v>3040</v>
      </c>
      <c r="C3042" s="3" t="s">
        <v>7150</v>
      </c>
      <c r="D3042" s="1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>((Table1[[#This Row],[deadline]]/60)/60/24)+DATE(1970,1,1)</f>
        <v>42181.958333333328</v>
      </c>
      <c r="K3042">
        <v>1434999621</v>
      </c>
      <c r="L3042" s="11">
        <f>((Table1[[#This Row],[launched_at]]/60)/60/24)+DATE(1970,1,1)</f>
        <v>42177.791909722218</v>
      </c>
      <c r="M3042">
        <f>MONTH(Table1[[#This Row],[Date Created Conversion]])</f>
        <v>6</v>
      </c>
      <c r="N3042">
        <f>YEAR(Table1[[#This Row],[Date Created Conversion]])</f>
        <v>2015</v>
      </c>
      <c r="O3042" t="b">
        <v>0</v>
      </c>
      <c r="P3042">
        <v>42</v>
      </c>
      <c r="Q3042" t="b">
        <v>1</v>
      </c>
      <c r="R3042" t="s">
        <v>8303</v>
      </c>
      <c r="S3042" s="6">
        <f>Table1[[#This Row],[pledged]]/Table1[[#This Row],[goal]]</f>
        <v>1.075</v>
      </c>
      <c r="T3042" s="8">
        <f>IF(Table1[[#This Row],[pledged]]=0,"no backers",Table1[[#This Row],[pledged]]/Table1[[#This Row],[backers_count]])</f>
        <v>76.785714285714292</v>
      </c>
      <c r="U3042" t="str">
        <f>LEFT(Table1[[#This Row],[Category and Sub-Category]],FIND("/",Table1[[#This Row],[Category and Sub-Category]])-1)</f>
        <v>theater</v>
      </c>
      <c r="V3042" t="str">
        <f>RIGHT(Table1[[#This Row],[Category and Sub-Category]],LEN(Table1[[#This Row],[Category and Sub-Category]])-FIND("/",Table1[[#This Row],[Category and Sub-Category]]))</f>
        <v>spaces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 s="12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>((Table1[[#This Row],[deadline]]/60)/60/24)+DATE(1970,1,1)</f>
        <v>42389.868611111116</v>
      </c>
      <c r="K3043">
        <v>1450731048</v>
      </c>
      <c r="L3043" s="11">
        <f>((Table1[[#This Row],[launched_at]]/60)/60/24)+DATE(1970,1,1)</f>
        <v>42359.868611111116</v>
      </c>
      <c r="M3043">
        <f>MONTH(Table1[[#This Row],[Date Created Conversion]])</f>
        <v>12</v>
      </c>
      <c r="N3043">
        <f>YEAR(Table1[[#This Row],[Date Created Conversion]])</f>
        <v>2015</v>
      </c>
      <c r="O3043" t="b">
        <v>0</v>
      </c>
      <c r="P3043">
        <v>95</v>
      </c>
      <c r="Q3043" t="b">
        <v>1</v>
      </c>
      <c r="R3043" t="s">
        <v>8303</v>
      </c>
      <c r="S3043" s="6">
        <f>Table1[[#This Row],[pledged]]/Table1[[#This Row],[goal]]</f>
        <v>1.1048192771084338</v>
      </c>
      <c r="T3043" s="8">
        <f>IF(Table1[[#This Row],[pledged]]=0,"no backers",Table1[[#This Row],[pledged]]/Table1[[#This Row],[backers_count]])</f>
        <v>96.526315789473685</v>
      </c>
      <c r="U3043" t="str">
        <f>LEFT(Table1[[#This Row],[Category and Sub-Category]],FIND("/",Table1[[#This Row],[Category and Sub-Category]])-1)</f>
        <v>theater</v>
      </c>
      <c r="V3043" t="str">
        <f>RIGHT(Table1[[#This Row],[Category and Sub-Category]],LEN(Table1[[#This Row],[Category and Sub-Category]])-FIND("/",Table1[[#This Row],[Category and Sub-Category]]))</f>
        <v>spaces</v>
      </c>
    </row>
    <row r="3044" spans="1:22" ht="57.6" x14ac:dyDescent="0.3">
      <c r="A3044">
        <v>3042</v>
      </c>
      <c r="B3044" s="3" t="s">
        <v>3042</v>
      </c>
      <c r="C3044" s="3" t="s">
        <v>7152</v>
      </c>
      <c r="D3044" s="12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>((Table1[[#This Row],[deadline]]/60)/60/24)+DATE(1970,1,1)</f>
        <v>42283.688043981485</v>
      </c>
      <c r="K3044">
        <v>1441557047</v>
      </c>
      <c r="L3044" s="11">
        <f>((Table1[[#This Row],[launched_at]]/60)/60/24)+DATE(1970,1,1)</f>
        <v>42253.688043981485</v>
      </c>
      <c r="M3044">
        <f>MONTH(Table1[[#This Row],[Date Created Conversion]])</f>
        <v>9</v>
      </c>
      <c r="N3044">
        <f>YEAR(Table1[[#This Row],[Date Created Conversion]])</f>
        <v>2015</v>
      </c>
      <c r="O3044" t="b">
        <v>0</v>
      </c>
      <c r="P3044">
        <v>37</v>
      </c>
      <c r="Q3044" t="b">
        <v>1</v>
      </c>
      <c r="R3044" t="s">
        <v>8303</v>
      </c>
      <c r="S3044" s="6">
        <f>Table1[[#This Row],[pledged]]/Table1[[#This Row],[goal]]</f>
        <v>1.28</v>
      </c>
      <c r="T3044" s="8">
        <f>IF(Table1[[#This Row],[pledged]]=0,"no backers",Table1[[#This Row],[pledged]]/Table1[[#This Row],[backers_count]])</f>
        <v>51.891891891891895</v>
      </c>
      <c r="U3044" t="str">
        <f>LEFT(Table1[[#This Row],[Category and Sub-Category]],FIND("/",Table1[[#This Row],[Category and Sub-Category]])-1)</f>
        <v>theater</v>
      </c>
      <c r="V3044" t="str">
        <f>RIGHT(Table1[[#This Row],[Category and Sub-Category]],LEN(Table1[[#This Row],[Category and Sub-Category]])-FIND("/",Table1[[#This Row],[Category and Sub-Category]]))</f>
        <v>spaces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 s="12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>((Table1[[#This Row],[deadline]]/60)/60/24)+DATE(1970,1,1)</f>
        <v>42110.118055555555</v>
      </c>
      <c r="K3045">
        <v>1426815699</v>
      </c>
      <c r="L3045" s="11">
        <f>((Table1[[#This Row],[launched_at]]/60)/60/24)+DATE(1970,1,1)</f>
        <v>42083.070590277777</v>
      </c>
      <c r="M3045">
        <f>MONTH(Table1[[#This Row],[Date Created Conversion]])</f>
        <v>3</v>
      </c>
      <c r="N3045">
        <f>YEAR(Table1[[#This Row],[Date Created Conversion]])</f>
        <v>2015</v>
      </c>
      <c r="O3045" t="b">
        <v>0</v>
      </c>
      <c r="P3045">
        <v>128</v>
      </c>
      <c r="Q3045" t="b">
        <v>1</v>
      </c>
      <c r="R3045" t="s">
        <v>8303</v>
      </c>
      <c r="S3045" s="6">
        <f>Table1[[#This Row],[pledged]]/Table1[[#This Row],[goal]]</f>
        <v>1.1000666666666667</v>
      </c>
      <c r="T3045" s="8">
        <f>IF(Table1[[#This Row],[pledged]]=0,"no backers",Table1[[#This Row],[pledged]]/Table1[[#This Row],[backers_count]])</f>
        <v>128.9140625</v>
      </c>
      <c r="U3045" t="str">
        <f>LEFT(Table1[[#This Row],[Category and Sub-Category]],FIND("/",Table1[[#This Row],[Category and Sub-Category]])-1)</f>
        <v>theater</v>
      </c>
      <c r="V3045" t="str">
        <f>RIGHT(Table1[[#This Row],[Category and Sub-Category]],LEN(Table1[[#This Row],[Category and Sub-Category]])-FIND("/",Table1[[#This Row],[Category and Sub-Category]]))</f>
        <v>spaces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 s="12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>((Table1[[#This Row],[deadline]]/60)/60/24)+DATE(1970,1,1)</f>
        <v>42402.7268287037</v>
      </c>
      <c r="K3046">
        <v>1453137998</v>
      </c>
      <c r="L3046" s="11">
        <f>((Table1[[#This Row],[launched_at]]/60)/60/24)+DATE(1970,1,1)</f>
        <v>42387.7268287037</v>
      </c>
      <c r="M3046">
        <f>MONTH(Table1[[#This Row],[Date Created Conversion]])</f>
        <v>1</v>
      </c>
      <c r="N3046">
        <f>YEAR(Table1[[#This Row],[Date Created Conversion]])</f>
        <v>2016</v>
      </c>
      <c r="O3046" t="b">
        <v>0</v>
      </c>
      <c r="P3046">
        <v>156</v>
      </c>
      <c r="Q3046" t="b">
        <v>1</v>
      </c>
      <c r="R3046" t="s">
        <v>8303</v>
      </c>
      <c r="S3046" s="6">
        <f>Table1[[#This Row],[pledged]]/Table1[[#This Row],[goal]]</f>
        <v>1.0934166666666667</v>
      </c>
      <c r="T3046" s="8">
        <f>IF(Table1[[#This Row],[pledged]]=0,"no backers",Table1[[#This Row],[pledged]]/Table1[[#This Row],[backers_count]])</f>
        <v>84.108974358974365</v>
      </c>
      <c r="U3046" t="str">
        <f>LEFT(Table1[[#This Row],[Category and Sub-Category]],FIND("/",Table1[[#This Row],[Category and Sub-Category]])-1)</f>
        <v>theater</v>
      </c>
      <c r="V3046" t="str">
        <f>RIGHT(Table1[[#This Row],[Category and Sub-Category]],LEN(Table1[[#This Row],[Category and Sub-Category]])-FIND("/",Table1[[#This Row],[Category and Sub-Category]]))</f>
        <v>spaces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 s="12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>((Table1[[#This Row],[deadline]]/60)/60/24)+DATE(1970,1,1)</f>
        <v>41873.155729166669</v>
      </c>
      <c r="K3047">
        <v>1406087055</v>
      </c>
      <c r="L3047" s="11">
        <f>((Table1[[#This Row],[launched_at]]/60)/60/24)+DATE(1970,1,1)</f>
        <v>41843.155729166669</v>
      </c>
      <c r="M3047">
        <f>MONTH(Table1[[#This Row],[Date Created Conversion]])</f>
        <v>7</v>
      </c>
      <c r="N3047">
        <f>YEAR(Table1[[#This Row],[Date Created Conversion]])</f>
        <v>2014</v>
      </c>
      <c r="O3047" t="b">
        <v>0</v>
      </c>
      <c r="P3047">
        <v>64</v>
      </c>
      <c r="Q3047" t="b">
        <v>1</v>
      </c>
      <c r="R3047" t="s">
        <v>8303</v>
      </c>
      <c r="S3047" s="6">
        <f>Table1[[#This Row],[pledged]]/Table1[[#This Row],[goal]]</f>
        <v>1.3270650000000002</v>
      </c>
      <c r="T3047" s="8">
        <f>IF(Table1[[#This Row],[pledged]]=0,"no backers",Table1[[#This Row],[pledged]]/Table1[[#This Row],[backers_count]])</f>
        <v>82.941562500000003</v>
      </c>
      <c r="U3047" t="str">
        <f>LEFT(Table1[[#This Row],[Category and Sub-Category]],FIND("/",Table1[[#This Row],[Category and Sub-Category]])-1)</f>
        <v>theater</v>
      </c>
      <c r="V3047" t="str">
        <f>RIGHT(Table1[[#This Row],[Category and Sub-Category]],LEN(Table1[[#This Row],[Category and Sub-Category]])-FIND("/",Table1[[#This Row],[Category and Sub-Category]]))</f>
        <v>spaces</v>
      </c>
    </row>
    <row r="3048" spans="1:22" ht="57.6" x14ac:dyDescent="0.3">
      <c r="A3048">
        <v>3046</v>
      </c>
      <c r="B3048" s="3" t="s">
        <v>3046</v>
      </c>
      <c r="C3048" s="3" t="s">
        <v>7156</v>
      </c>
      <c r="D3048" s="12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>((Table1[[#This Row],[deadline]]/60)/60/24)+DATE(1970,1,1)</f>
        <v>41892.202777777777</v>
      </c>
      <c r="K3048">
        <v>1407784586</v>
      </c>
      <c r="L3048" s="11">
        <f>((Table1[[#This Row],[launched_at]]/60)/60/24)+DATE(1970,1,1)</f>
        <v>41862.803078703706</v>
      </c>
      <c r="M3048">
        <f>MONTH(Table1[[#This Row],[Date Created Conversion]])</f>
        <v>8</v>
      </c>
      <c r="N3048">
        <f>YEAR(Table1[[#This Row],[Date Created Conversion]])</f>
        <v>2014</v>
      </c>
      <c r="O3048" t="b">
        <v>0</v>
      </c>
      <c r="P3048">
        <v>58</v>
      </c>
      <c r="Q3048" t="b">
        <v>1</v>
      </c>
      <c r="R3048" t="s">
        <v>8303</v>
      </c>
      <c r="S3048" s="6">
        <f>Table1[[#This Row],[pledged]]/Table1[[#This Row],[goal]]</f>
        <v>1.9084810126582279</v>
      </c>
      <c r="T3048" s="8">
        <f>IF(Table1[[#This Row],[pledged]]=0,"no backers",Table1[[#This Row],[pledged]]/Table1[[#This Row],[backers_count]])</f>
        <v>259.94827586206895</v>
      </c>
      <c r="U3048" t="str">
        <f>LEFT(Table1[[#This Row],[Category and Sub-Category]],FIND("/",Table1[[#This Row],[Category and Sub-Category]])-1)</f>
        <v>theater</v>
      </c>
      <c r="V3048" t="str">
        <f>RIGHT(Table1[[#This Row],[Category and Sub-Category]],LEN(Table1[[#This Row],[Category and Sub-Category]])-FIND("/",Table1[[#This Row],[Category and Sub-Category]]))</f>
        <v>spaces</v>
      </c>
    </row>
    <row r="3049" spans="1:22" ht="43.2" x14ac:dyDescent="0.3">
      <c r="A3049">
        <v>3047</v>
      </c>
      <c r="B3049" s="3" t="s">
        <v>3047</v>
      </c>
      <c r="C3049" s="3" t="s">
        <v>7157</v>
      </c>
      <c r="D3049" s="12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>((Table1[[#This Row],[deadline]]/60)/60/24)+DATE(1970,1,1)</f>
        <v>42487.552777777775</v>
      </c>
      <c r="K3049">
        <v>1457999054</v>
      </c>
      <c r="L3049" s="11">
        <f>((Table1[[#This Row],[launched_at]]/60)/60/24)+DATE(1970,1,1)</f>
        <v>42443.989050925928</v>
      </c>
      <c r="M3049">
        <f>MONTH(Table1[[#This Row],[Date Created Conversion]])</f>
        <v>3</v>
      </c>
      <c r="N3049">
        <f>YEAR(Table1[[#This Row],[Date Created Conversion]])</f>
        <v>2016</v>
      </c>
      <c r="O3049" t="b">
        <v>0</v>
      </c>
      <c r="P3049">
        <v>20</v>
      </c>
      <c r="Q3049" t="b">
        <v>1</v>
      </c>
      <c r="R3049" t="s">
        <v>8303</v>
      </c>
      <c r="S3049" s="6">
        <f>Table1[[#This Row],[pledged]]/Table1[[#This Row],[goal]]</f>
        <v>1.49</v>
      </c>
      <c r="T3049" s="8">
        <f>IF(Table1[[#This Row],[pledged]]=0,"no backers",Table1[[#This Row],[pledged]]/Table1[[#This Row],[backers_count]])</f>
        <v>37.25</v>
      </c>
      <c r="U3049" t="str">
        <f>LEFT(Table1[[#This Row],[Category and Sub-Category]],FIND("/",Table1[[#This Row],[Category and Sub-Category]])-1)</f>
        <v>theater</v>
      </c>
      <c r="V3049" t="str">
        <f>RIGHT(Table1[[#This Row],[Category and Sub-Category]],LEN(Table1[[#This Row],[Category and Sub-Category]])-FIND("/",Table1[[#This Row],[Category and Sub-Category]]))</f>
        <v>spaces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 s="12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>((Table1[[#This Row],[deadline]]/60)/60/24)+DATE(1970,1,1)</f>
        <v>42004.890277777777</v>
      </c>
      <c r="K3050">
        <v>1417556262</v>
      </c>
      <c r="L3050" s="11">
        <f>((Table1[[#This Row],[launched_at]]/60)/60/24)+DATE(1970,1,1)</f>
        <v>41975.901180555549</v>
      </c>
      <c r="M3050">
        <f>MONTH(Table1[[#This Row],[Date Created Conversion]])</f>
        <v>12</v>
      </c>
      <c r="N3050">
        <f>YEAR(Table1[[#This Row],[Date Created Conversion]])</f>
        <v>2014</v>
      </c>
      <c r="O3050" t="b">
        <v>0</v>
      </c>
      <c r="P3050">
        <v>47</v>
      </c>
      <c r="Q3050" t="b">
        <v>1</v>
      </c>
      <c r="R3050" t="s">
        <v>8303</v>
      </c>
      <c r="S3050" s="6">
        <f>Table1[[#This Row],[pledged]]/Table1[[#This Row],[goal]]</f>
        <v>1.6639999999999999</v>
      </c>
      <c r="T3050" s="8">
        <f>IF(Table1[[#This Row],[pledged]]=0,"no backers",Table1[[#This Row],[pledged]]/Table1[[#This Row],[backers_count]])</f>
        <v>177.02127659574469</v>
      </c>
      <c r="U3050" t="str">
        <f>LEFT(Table1[[#This Row],[Category and Sub-Category]],FIND("/",Table1[[#This Row],[Category and Sub-Category]])-1)</f>
        <v>theater</v>
      </c>
      <c r="V3050" t="str">
        <f>RIGHT(Table1[[#This Row],[Category and Sub-Category]],LEN(Table1[[#This Row],[Category and Sub-Category]])-FIND("/",Table1[[#This Row],[Category and Sub-Category]]))</f>
        <v>spaces</v>
      </c>
    </row>
    <row r="3051" spans="1:22" ht="57.6" x14ac:dyDescent="0.3">
      <c r="A3051">
        <v>3049</v>
      </c>
      <c r="B3051" s="3" t="s">
        <v>3049</v>
      </c>
      <c r="C3051" s="3" t="s">
        <v>7159</v>
      </c>
      <c r="D3051" s="12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>((Table1[[#This Row],[deadline]]/60)/60/24)+DATE(1970,1,1)</f>
        <v>42169.014525462961</v>
      </c>
      <c r="K3051">
        <v>1431649255</v>
      </c>
      <c r="L3051" s="11">
        <f>((Table1[[#This Row],[launched_at]]/60)/60/24)+DATE(1970,1,1)</f>
        <v>42139.014525462961</v>
      </c>
      <c r="M3051">
        <f>MONTH(Table1[[#This Row],[Date Created Conversion]])</f>
        <v>5</v>
      </c>
      <c r="N3051">
        <f>YEAR(Table1[[#This Row],[Date Created Conversion]])</f>
        <v>2015</v>
      </c>
      <c r="O3051" t="b">
        <v>0</v>
      </c>
      <c r="P3051">
        <v>54</v>
      </c>
      <c r="Q3051" t="b">
        <v>1</v>
      </c>
      <c r="R3051" t="s">
        <v>8303</v>
      </c>
      <c r="S3051" s="6">
        <f>Table1[[#This Row],[pledged]]/Table1[[#This Row],[goal]]</f>
        <v>1.0666666666666667</v>
      </c>
      <c r="T3051" s="8">
        <f>IF(Table1[[#This Row],[pledged]]=0,"no backers",Table1[[#This Row],[pledged]]/Table1[[#This Row],[backers_count]])</f>
        <v>74.074074074074076</v>
      </c>
      <c r="U3051" t="str">
        <f>LEFT(Table1[[#This Row],[Category and Sub-Category]],FIND("/",Table1[[#This Row],[Category and Sub-Category]])-1)</f>
        <v>theater</v>
      </c>
      <c r="V3051" t="str">
        <f>RIGHT(Table1[[#This Row],[Category and Sub-Category]],LEN(Table1[[#This Row],[Category and Sub-Category]])-FIND("/",Table1[[#This Row],[Category and Sub-Category]]))</f>
        <v>spaces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 s="1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>((Table1[[#This Row],[deadline]]/60)/60/24)+DATE(1970,1,1)</f>
        <v>42495.16851851852</v>
      </c>
      <c r="K3052">
        <v>1459828960</v>
      </c>
      <c r="L3052" s="11">
        <f>((Table1[[#This Row],[launched_at]]/60)/60/24)+DATE(1970,1,1)</f>
        <v>42465.16851851852</v>
      </c>
      <c r="M3052">
        <f>MONTH(Table1[[#This Row],[Date Created Conversion]])</f>
        <v>4</v>
      </c>
      <c r="N3052">
        <f>YEAR(Table1[[#This Row],[Date Created Conversion]])</f>
        <v>2016</v>
      </c>
      <c r="O3052" t="b">
        <v>0</v>
      </c>
      <c r="P3052">
        <v>9</v>
      </c>
      <c r="Q3052" t="b">
        <v>1</v>
      </c>
      <c r="R3052" t="s">
        <v>8303</v>
      </c>
      <c r="S3052" s="6">
        <f>Table1[[#This Row],[pledged]]/Table1[[#This Row],[goal]]</f>
        <v>1.06</v>
      </c>
      <c r="T3052" s="8">
        <f>IF(Table1[[#This Row],[pledged]]=0,"no backers",Table1[[#This Row],[pledged]]/Table1[[#This Row],[backers_count]])</f>
        <v>70.666666666666671</v>
      </c>
      <c r="U3052" t="str">
        <f>LEFT(Table1[[#This Row],[Category and Sub-Category]],FIND("/",Table1[[#This Row],[Category and Sub-Category]])-1)</f>
        <v>theater</v>
      </c>
      <c r="V3052" t="str">
        <f>RIGHT(Table1[[#This Row],[Category and Sub-Category]],LEN(Table1[[#This Row],[Category and Sub-Category]])-FIND("/",Table1[[#This Row],[Category and Sub-Category]]))</f>
        <v>spaces</v>
      </c>
    </row>
    <row r="3053" spans="1:22" ht="57.6" x14ac:dyDescent="0.3">
      <c r="A3053">
        <v>3051</v>
      </c>
      <c r="B3053" s="3" t="s">
        <v>3051</v>
      </c>
      <c r="C3053" s="3" t="s">
        <v>7161</v>
      </c>
      <c r="D3053" s="12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>((Table1[[#This Row],[deadline]]/60)/60/24)+DATE(1970,1,1)</f>
        <v>42774.416030092587</v>
      </c>
      <c r="K3053">
        <v>1483955945</v>
      </c>
      <c r="L3053" s="11">
        <f>((Table1[[#This Row],[launched_at]]/60)/60/24)+DATE(1970,1,1)</f>
        <v>42744.416030092587</v>
      </c>
      <c r="M3053">
        <f>MONTH(Table1[[#This Row],[Date Created Conversion]])</f>
        <v>1</v>
      </c>
      <c r="N3053">
        <f>YEAR(Table1[[#This Row],[Date Created Conversion]])</f>
        <v>2017</v>
      </c>
      <c r="O3053" t="b">
        <v>1</v>
      </c>
      <c r="P3053">
        <v>35</v>
      </c>
      <c r="Q3053" t="b">
        <v>0</v>
      </c>
      <c r="R3053" t="s">
        <v>8303</v>
      </c>
      <c r="S3053" s="6">
        <f>Table1[[#This Row],[pledged]]/Table1[[#This Row],[goal]]</f>
        <v>0.23628571428571429</v>
      </c>
      <c r="T3053" s="8">
        <f>IF(Table1[[#This Row],[pledged]]=0,"no backers",Table1[[#This Row],[pledged]]/Table1[[#This Row],[backers_count]])</f>
        <v>23.62857142857143</v>
      </c>
      <c r="U3053" t="str">
        <f>LEFT(Table1[[#This Row],[Category and Sub-Category]],FIND("/",Table1[[#This Row],[Category and Sub-Category]])-1)</f>
        <v>theater</v>
      </c>
      <c r="V3053" t="str">
        <f>RIGHT(Table1[[#This Row],[Category and Sub-Category]],LEN(Table1[[#This Row],[Category and Sub-Category]])-FIND("/",Table1[[#This Row],[Category and Sub-Category]]))</f>
        <v>spaces</v>
      </c>
    </row>
    <row r="3054" spans="1:22" ht="43.2" x14ac:dyDescent="0.3">
      <c r="A3054">
        <v>3052</v>
      </c>
      <c r="B3054" s="3" t="s">
        <v>3052</v>
      </c>
      <c r="C3054" s="3" t="s">
        <v>7162</v>
      </c>
      <c r="D3054" s="12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>((Table1[[#This Row],[deadline]]/60)/60/24)+DATE(1970,1,1)</f>
        <v>42152.665972222225</v>
      </c>
      <c r="K3054">
        <v>1430237094</v>
      </c>
      <c r="L3054" s="11">
        <f>((Table1[[#This Row],[launched_at]]/60)/60/24)+DATE(1970,1,1)</f>
        <v>42122.670069444444</v>
      </c>
      <c r="M3054">
        <f>MONTH(Table1[[#This Row],[Date Created Conversion]])</f>
        <v>4</v>
      </c>
      <c r="N3054">
        <f>YEAR(Table1[[#This Row],[Date Created Conversion]])</f>
        <v>2015</v>
      </c>
      <c r="O3054" t="b">
        <v>0</v>
      </c>
      <c r="P3054">
        <v>2</v>
      </c>
      <c r="Q3054" t="b">
        <v>0</v>
      </c>
      <c r="R3054" t="s">
        <v>8303</v>
      </c>
      <c r="S3054" s="6">
        <f>Table1[[#This Row],[pledged]]/Table1[[#This Row],[goal]]</f>
        <v>1.5E-3</v>
      </c>
      <c r="T3054" s="8">
        <f>IF(Table1[[#This Row],[pledged]]=0,"no backers",Table1[[#This Row],[pledged]]/Table1[[#This Row],[backers_count]])</f>
        <v>37.5</v>
      </c>
      <c r="U3054" t="str">
        <f>LEFT(Table1[[#This Row],[Category and Sub-Category]],FIND("/",Table1[[#This Row],[Category and Sub-Category]])-1)</f>
        <v>theater</v>
      </c>
      <c r="V3054" t="str">
        <f>RIGHT(Table1[[#This Row],[Category and Sub-Category]],LEN(Table1[[#This Row],[Category and Sub-Category]])-FIND("/",Table1[[#This Row],[Category and Sub-Category]]))</f>
        <v>spaces</v>
      </c>
    </row>
    <row r="3055" spans="1:22" ht="57.6" x14ac:dyDescent="0.3">
      <c r="A3055">
        <v>3053</v>
      </c>
      <c r="B3055" s="3" t="s">
        <v>3053</v>
      </c>
      <c r="C3055" s="3" t="s">
        <v>7163</v>
      </c>
      <c r="D3055" s="12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>((Table1[[#This Row],[deadline]]/60)/60/24)+DATE(1970,1,1)</f>
        <v>41914.165972222225</v>
      </c>
      <c r="K3055">
        <v>1407781013</v>
      </c>
      <c r="L3055" s="11">
        <f>((Table1[[#This Row],[launched_at]]/60)/60/24)+DATE(1970,1,1)</f>
        <v>41862.761724537035</v>
      </c>
      <c r="M3055">
        <f>MONTH(Table1[[#This Row],[Date Created Conversion]])</f>
        <v>8</v>
      </c>
      <c r="N3055">
        <f>YEAR(Table1[[#This Row],[Date Created Conversion]])</f>
        <v>2014</v>
      </c>
      <c r="O3055" t="b">
        <v>0</v>
      </c>
      <c r="P3055">
        <v>3</v>
      </c>
      <c r="Q3055" t="b">
        <v>0</v>
      </c>
      <c r="R3055" t="s">
        <v>8303</v>
      </c>
      <c r="S3055" s="6">
        <f>Table1[[#This Row],[pledged]]/Table1[[#This Row],[goal]]</f>
        <v>4.0000000000000001E-3</v>
      </c>
      <c r="T3055" s="8">
        <f>IF(Table1[[#This Row],[pledged]]=0,"no backers",Table1[[#This Row],[pledged]]/Table1[[#This Row],[backers_count]])</f>
        <v>13.333333333333334</v>
      </c>
      <c r="U3055" t="str">
        <f>LEFT(Table1[[#This Row],[Category and Sub-Category]],FIND("/",Table1[[#This Row],[Category and Sub-Category]])-1)</f>
        <v>theater</v>
      </c>
      <c r="V3055" t="str">
        <f>RIGHT(Table1[[#This Row],[Category and Sub-Category]],LEN(Table1[[#This Row],[Category and Sub-Category]])-FIND("/",Table1[[#This Row],[Category and Sub-Category]]))</f>
        <v>spaces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 s="12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>((Table1[[#This Row],[deadline]]/60)/60/24)+DATE(1970,1,1)</f>
        <v>42065.044444444444</v>
      </c>
      <c r="K3056">
        <v>1422043154</v>
      </c>
      <c r="L3056" s="11">
        <f>((Table1[[#This Row],[launched_at]]/60)/60/24)+DATE(1970,1,1)</f>
        <v>42027.832800925928</v>
      </c>
      <c r="M3056">
        <f>MONTH(Table1[[#This Row],[Date Created Conversion]])</f>
        <v>1</v>
      </c>
      <c r="N3056">
        <f>YEAR(Table1[[#This Row],[Date Created Conversion]])</f>
        <v>2015</v>
      </c>
      <c r="O3056" t="b">
        <v>0</v>
      </c>
      <c r="P3056">
        <v>0</v>
      </c>
      <c r="Q3056" t="b">
        <v>0</v>
      </c>
      <c r="R3056" t="s">
        <v>8303</v>
      </c>
      <c r="S3056" s="6">
        <f>Table1[[#This Row],[pledged]]/Table1[[#This Row],[goal]]</f>
        <v>0</v>
      </c>
      <c r="T3056" s="8" t="str">
        <f>IF(Table1[[#This Row],[pledged]]=0,"no backers",Table1[[#This Row],[pledged]]/Table1[[#This Row],[backers_count]])</f>
        <v>no backers</v>
      </c>
      <c r="U3056" t="str">
        <f>LEFT(Table1[[#This Row],[Category and Sub-Category]],FIND("/",Table1[[#This Row],[Category and Sub-Category]])-1)</f>
        <v>theater</v>
      </c>
      <c r="V3056" t="str">
        <f>RIGHT(Table1[[#This Row],[Category and Sub-Category]],LEN(Table1[[#This Row],[Category and Sub-Category]])-FIND("/",Table1[[#This Row],[Category and Sub-Category]]))</f>
        <v>spaces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 s="12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>((Table1[[#This Row],[deadline]]/60)/60/24)+DATE(1970,1,1)</f>
        <v>42013.95821759259</v>
      </c>
      <c r="K3057">
        <v>1415660390</v>
      </c>
      <c r="L3057" s="11">
        <f>((Table1[[#This Row],[launched_at]]/60)/60/24)+DATE(1970,1,1)</f>
        <v>41953.95821759259</v>
      </c>
      <c r="M3057">
        <f>MONTH(Table1[[#This Row],[Date Created Conversion]])</f>
        <v>11</v>
      </c>
      <c r="N3057">
        <f>YEAR(Table1[[#This Row],[Date Created Conversion]])</f>
        <v>2014</v>
      </c>
      <c r="O3057" t="b">
        <v>0</v>
      </c>
      <c r="P3057">
        <v>1</v>
      </c>
      <c r="Q3057" t="b">
        <v>0</v>
      </c>
      <c r="R3057" t="s">
        <v>8303</v>
      </c>
      <c r="S3057" s="6">
        <f>Table1[[#This Row],[pledged]]/Table1[[#This Row],[goal]]</f>
        <v>5.0000000000000002E-5</v>
      </c>
      <c r="T3057" s="8">
        <f>IF(Table1[[#This Row],[pledged]]=0,"no backers",Table1[[#This Row],[pledged]]/Table1[[#This Row],[backers_count]])</f>
        <v>1</v>
      </c>
      <c r="U3057" t="str">
        <f>LEFT(Table1[[#This Row],[Category and Sub-Category]],FIND("/",Table1[[#This Row],[Category and Sub-Category]])-1)</f>
        <v>theater</v>
      </c>
      <c r="V3057" t="str">
        <f>RIGHT(Table1[[#This Row],[Category and Sub-Category]],LEN(Table1[[#This Row],[Category and Sub-Category]])-FIND("/",Table1[[#This Row],[Category and Sub-Category]]))</f>
        <v>spaces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 s="12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>((Table1[[#This Row],[deadline]]/60)/60/24)+DATE(1970,1,1)</f>
        <v>41911.636388888888</v>
      </c>
      <c r="K3058">
        <v>1406819784</v>
      </c>
      <c r="L3058" s="11">
        <f>((Table1[[#This Row],[launched_at]]/60)/60/24)+DATE(1970,1,1)</f>
        <v>41851.636388888888</v>
      </c>
      <c r="M3058">
        <f>MONTH(Table1[[#This Row],[Date Created Conversion]])</f>
        <v>7</v>
      </c>
      <c r="N3058">
        <f>YEAR(Table1[[#This Row],[Date Created Conversion]])</f>
        <v>2014</v>
      </c>
      <c r="O3058" t="b">
        <v>0</v>
      </c>
      <c r="P3058">
        <v>0</v>
      </c>
      <c r="Q3058" t="b">
        <v>0</v>
      </c>
      <c r="R3058" t="s">
        <v>8303</v>
      </c>
      <c r="S3058" s="6">
        <f>Table1[[#This Row],[pledged]]/Table1[[#This Row],[goal]]</f>
        <v>0</v>
      </c>
      <c r="T3058" s="8" t="str">
        <f>IF(Table1[[#This Row],[pledged]]=0,"no backers",Table1[[#This Row],[pledged]]/Table1[[#This Row],[backers_count]])</f>
        <v>no backers</v>
      </c>
      <c r="U3058" t="str">
        <f>LEFT(Table1[[#This Row],[Category and Sub-Category]],FIND("/",Table1[[#This Row],[Category and Sub-Category]])-1)</f>
        <v>theater</v>
      </c>
      <c r="V3058" t="str">
        <f>RIGHT(Table1[[#This Row],[Category and Sub-Category]],LEN(Table1[[#This Row],[Category and Sub-Category]])-FIND("/",Table1[[#This Row],[Category and Sub-Category]]))</f>
        <v>spaces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 s="12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>((Table1[[#This Row],[deadline]]/60)/60/24)+DATE(1970,1,1)</f>
        <v>42463.608923611115</v>
      </c>
      <c r="K3059">
        <v>1457105811</v>
      </c>
      <c r="L3059" s="11">
        <f>((Table1[[#This Row],[launched_at]]/60)/60/24)+DATE(1970,1,1)</f>
        <v>42433.650590277779</v>
      </c>
      <c r="M3059">
        <f>MONTH(Table1[[#This Row],[Date Created Conversion]])</f>
        <v>3</v>
      </c>
      <c r="N3059">
        <f>YEAR(Table1[[#This Row],[Date Created Conversion]])</f>
        <v>2016</v>
      </c>
      <c r="O3059" t="b">
        <v>0</v>
      </c>
      <c r="P3059">
        <v>0</v>
      </c>
      <c r="Q3059" t="b">
        <v>0</v>
      </c>
      <c r="R3059" t="s">
        <v>8303</v>
      </c>
      <c r="S3059" s="6">
        <f>Table1[[#This Row],[pledged]]/Table1[[#This Row],[goal]]</f>
        <v>0</v>
      </c>
      <c r="T3059" s="8" t="str">
        <f>IF(Table1[[#This Row],[pledged]]=0,"no backers",Table1[[#This Row],[pledged]]/Table1[[#This Row],[backers_count]])</f>
        <v>no backers</v>
      </c>
      <c r="U3059" t="str">
        <f>LEFT(Table1[[#This Row],[Category and Sub-Category]],FIND("/",Table1[[#This Row],[Category and Sub-Category]])-1)</f>
        <v>theater</v>
      </c>
      <c r="V3059" t="str">
        <f>RIGHT(Table1[[#This Row],[Category and Sub-Category]],LEN(Table1[[#This Row],[Category and Sub-Category]])-FIND("/",Table1[[#This Row],[Category and Sub-Category]]))</f>
        <v>spaces</v>
      </c>
    </row>
    <row r="3060" spans="1:22" ht="57.6" x14ac:dyDescent="0.3">
      <c r="A3060">
        <v>3058</v>
      </c>
      <c r="B3060" s="3" t="s">
        <v>3058</v>
      </c>
      <c r="C3060" s="3" t="s">
        <v>7168</v>
      </c>
      <c r="D3060" s="12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>((Table1[[#This Row],[deadline]]/60)/60/24)+DATE(1970,1,1)</f>
        <v>42510.374305555553</v>
      </c>
      <c r="K3060">
        <v>1459414740</v>
      </c>
      <c r="L3060" s="11">
        <f>((Table1[[#This Row],[launched_at]]/60)/60/24)+DATE(1970,1,1)</f>
        <v>42460.374305555553</v>
      </c>
      <c r="M3060">
        <f>MONTH(Table1[[#This Row],[Date Created Conversion]])</f>
        <v>3</v>
      </c>
      <c r="N3060">
        <f>YEAR(Table1[[#This Row],[Date Created Conversion]])</f>
        <v>2016</v>
      </c>
      <c r="O3060" t="b">
        <v>0</v>
      </c>
      <c r="P3060">
        <v>3</v>
      </c>
      <c r="Q3060" t="b">
        <v>0</v>
      </c>
      <c r="R3060" t="s">
        <v>8303</v>
      </c>
      <c r="S3060" s="6">
        <f>Table1[[#This Row],[pledged]]/Table1[[#This Row],[goal]]</f>
        <v>1.6666666666666666E-4</v>
      </c>
      <c r="T3060" s="8">
        <f>IF(Table1[[#This Row],[pledged]]=0,"no backers",Table1[[#This Row],[pledged]]/Table1[[#This Row],[backers_count]])</f>
        <v>1</v>
      </c>
      <c r="U3060" t="str">
        <f>LEFT(Table1[[#This Row],[Category and Sub-Category]],FIND("/",Table1[[#This Row],[Category and Sub-Category]])-1)</f>
        <v>theater</v>
      </c>
      <c r="V3060" t="str">
        <f>RIGHT(Table1[[#This Row],[Category and Sub-Category]],LEN(Table1[[#This Row],[Category and Sub-Category]])-FIND("/",Table1[[#This Row],[Category and Sub-Category]]))</f>
        <v>spaces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 s="12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>((Table1[[#This Row],[deadline]]/60)/60/24)+DATE(1970,1,1)</f>
        <v>41859.935717592591</v>
      </c>
      <c r="K3061">
        <v>1404944846</v>
      </c>
      <c r="L3061" s="11">
        <f>((Table1[[#This Row],[launched_at]]/60)/60/24)+DATE(1970,1,1)</f>
        <v>41829.935717592591</v>
      </c>
      <c r="M3061">
        <f>MONTH(Table1[[#This Row],[Date Created Conversion]])</f>
        <v>7</v>
      </c>
      <c r="N3061">
        <f>YEAR(Table1[[#This Row],[Date Created Conversion]])</f>
        <v>2014</v>
      </c>
      <c r="O3061" t="b">
        <v>0</v>
      </c>
      <c r="P3061">
        <v>11</v>
      </c>
      <c r="Q3061" t="b">
        <v>0</v>
      </c>
      <c r="R3061" t="s">
        <v>8303</v>
      </c>
      <c r="S3061" s="6">
        <f>Table1[[#This Row],[pledged]]/Table1[[#This Row],[goal]]</f>
        <v>3.0066666666666665E-2</v>
      </c>
      <c r="T3061" s="8">
        <f>IF(Table1[[#This Row],[pledged]]=0,"no backers",Table1[[#This Row],[pledged]]/Table1[[#This Row],[backers_count]])</f>
        <v>41</v>
      </c>
      <c r="U3061" t="str">
        <f>LEFT(Table1[[#This Row],[Category and Sub-Category]],FIND("/",Table1[[#This Row],[Category and Sub-Category]])-1)</f>
        <v>theater</v>
      </c>
      <c r="V3061" t="str">
        <f>RIGHT(Table1[[#This Row],[Category and Sub-Category]],LEN(Table1[[#This Row],[Category and Sub-Category]])-FIND("/",Table1[[#This Row],[Category and Sub-Category]]))</f>
        <v>spaces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 s="1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>((Table1[[#This Row],[deadline]]/60)/60/24)+DATE(1970,1,1)</f>
        <v>42275.274699074071</v>
      </c>
      <c r="K3062">
        <v>1440830134</v>
      </c>
      <c r="L3062" s="11">
        <f>((Table1[[#This Row],[launched_at]]/60)/60/24)+DATE(1970,1,1)</f>
        <v>42245.274699074071</v>
      </c>
      <c r="M3062">
        <f>MONTH(Table1[[#This Row],[Date Created Conversion]])</f>
        <v>8</v>
      </c>
      <c r="N3062">
        <f>YEAR(Table1[[#This Row],[Date Created Conversion]])</f>
        <v>2015</v>
      </c>
      <c r="O3062" t="b">
        <v>0</v>
      </c>
      <c r="P3062">
        <v>6</v>
      </c>
      <c r="Q3062" t="b">
        <v>0</v>
      </c>
      <c r="R3062" t="s">
        <v>8303</v>
      </c>
      <c r="S3062" s="6">
        <f>Table1[[#This Row],[pledged]]/Table1[[#This Row],[goal]]</f>
        <v>1.5227272727272728E-3</v>
      </c>
      <c r="T3062" s="8">
        <f>IF(Table1[[#This Row],[pledged]]=0,"no backers",Table1[[#This Row],[pledged]]/Table1[[#This Row],[backers_count]])</f>
        <v>55.833333333333336</v>
      </c>
      <c r="U3062" t="str">
        <f>LEFT(Table1[[#This Row],[Category and Sub-Category]],FIND("/",Table1[[#This Row],[Category and Sub-Category]])-1)</f>
        <v>theater</v>
      </c>
      <c r="V3062" t="str">
        <f>RIGHT(Table1[[#This Row],[Category and Sub-Category]],LEN(Table1[[#This Row],[Category and Sub-Category]])-FIND("/",Table1[[#This Row],[Category and Sub-Category]]))</f>
        <v>spaces</v>
      </c>
    </row>
    <row r="3063" spans="1:22" x14ac:dyDescent="0.3">
      <c r="A3063">
        <v>3061</v>
      </c>
      <c r="B3063" s="3" t="s">
        <v>3061</v>
      </c>
      <c r="C3063" s="3" t="s">
        <v>7171</v>
      </c>
      <c r="D3063" s="12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>((Table1[[#This Row],[deadline]]/60)/60/24)+DATE(1970,1,1)</f>
        <v>41864.784120370372</v>
      </c>
      <c r="K3063">
        <v>1405363748</v>
      </c>
      <c r="L3063" s="11">
        <f>((Table1[[#This Row],[launched_at]]/60)/60/24)+DATE(1970,1,1)</f>
        <v>41834.784120370372</v>
      </c>
      <c r="M3063">
        <f>MONTH(Table1[[#This Row],[Date Created Conversion]])</f>
        <v>7</v>
      </c>
      <c r="N3063">
        <f>YEAR(Table1[[#This Row],[Date Created Conversion]])</f>
        <v>2014</v>
      </c>
      <c r="O3063" t="b">
        <v>0</v>
      </c>
      <c r="P3063">
        <v>0</v>
      </c>
      <c r="Q3063" t="b">
        <v>0</v>
      </c>
      <c r="R3063" t="s">
        <v>8303</v>
      </c>
      <c r="S3063" s="6">
        <f>Table1[[#This Row],[pledged]]/Table1[[#This Row],[goal]]</f>
        <v>0</v>
      </c>
      <c r="T3063" s="8" t="str">
        <f>IF(Table1[[#This Row],[pledged]]=0,"no backers",Table1[[#This Row],[pledged]]/Table1[[#This Row],[backers_count]])</f>
        <v>no backers</v>
      </c>
      <c r="U3063" t="str">
        <f>LEFT(Table1[[#This Row],[Category and Sub-Category]],FIND("/",Table1[[#This Row],[Category and Sub-Category]])-1)</f>
        <v>theater</v>
      </c>
      <c r="V3063" t="str">
        <f>RIGHT(Table1[[#This Row],[Category and Sub-Category]],LEN(Table1[[#This Row],[Category and Sub-Category]])-FIND("/",Table1[[#This Row],[Category and Sub-Category]]))</f>
        <v>spaces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 s="12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>((Table1[[#This Row],[deadline]]/60)/60/24)+DATE(1970,1,1)</f>
        <v>42277.75</v>
      </c>
      <c r="K3064">
        <v>1441111892</v>
      </c>
      <c r="L3064" s="11">
        <f>((Table1[[#This Row],[launched_at]]/60)/60/24)+DATE(1970,1,1)</f>
        <v>42248.535787037035</v>
      </c>
      <c r="M3064">
        <f>MONTH(Table1[[#This Row],[Date Created Conversion]])</f>
        <v>9</v>
      </c>
      <c r="N3064">
        <f>YEAR(Table1[[#This Row],[Date Created Conversion]])</f>
        <v>2015</v>
      </c>
      <c r="O3064" t="b">
        <v>0</v>
      </c>
      <c r="P3064">
        <v>67</v>
      </c>
      <c r="Q3064" t="b">
        <v>0</v>
      </c>
      <c r="R3064" t="s">
        <v>8303</v>
      </c>
      <c r="S3064" s="6">
        <f>Table1[[#This Row],[pledged]]/Table1[[#This Row],[goal]]</f>
        <v>0.66839999999999999</v>
      </c>
      <c r="T3064" s="8">
        <f>IF(Table1[[#This Row],[pledged]]=0,"no backers",Table1[[#This Row],[pledged]]/Table1[[#This Row],[backers_count]])</f>
        <v>99.761194029850742</v>
      </c>
      <c r="U3064" t="str">
        <f>LEFT(Table1[[#This Row],[Category and Sub-Category]],FIND("/",Table1[[#This Row],[Category and Sub-Category]])-1)</f>
        <v>theater</v>
      </c>
      <c r="V3064" t="str">
        <f>RIGHT(Table1[[#This Row],[Category and Sub-Category]],LEN(Table1[[#This Row],[Category and Sub-Category]])-FIND("/",Table1[[#This Row],[Category and Sub-Category]]))</f>
        <v>spaces</v>
      </c>
    </row>
    <row r="3065" spans="1:22" ht="43.2" x14ac:dyDescent="0.3">
      <c r="A3065">
        <v>3063</v>
      </c>
      <c r="B3065" s="3" t="s">
        <v>3063</v>
      </c>
      <c r="C3065" s="3" t="s">
        <v>7173</v>
      </c>
      <c r="D3065" s="12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>((Table1[[#This Row],[deadline]]/60)/60/24)+DATE(1970,1,1)</f>
        <v>42665.922893518517</v>
      </c>
      <c r="K3065">
        <v>1474150138</v>
      </c>
      <c r="L3065" s="11">
        <f>((Table1[[#This Row],[launched_at]]/60)/60/24)+DATE(1970,1,1)</f>
        <v>42630.922893518517</v>
      </c>
      <c r="M3065">
        <f>MONTH(Table1[[#This Row],[Date Created Conversion]])</f>
        <v>9</v>
      </c>
      <c r="N3065">
        <f>YEAR(Table1[[#This Row],[Date Created Conversion]])</f>
        <v>2016</v>
      </c>
      <c r="O3065" t="b">
        <v>0</v>
      </c>
      <c r="P3065">
        <v>23</v>
      </c>
      <c r="Q3065" t="b">
        <v>0</v>
      </c>
      <c r="R3065" t="s">
        <v>8303</v>
      </c>
      <c r="S3065" s="6">
        <f>Table1[[#This Row],[pledged]]/Table1[[#This Row],[goal]]</f>
        <v>0.19566666666666666</v>
      </c>
      <c r="T3065" s="8">
        <f>IF(Table1[[#This Row],[pledged]]=0,"no backers",Table1[[#This Row],[pledged]]/Table1[[#This Row],[backers_count]])</f>
        <v>25.521739130434781</v>
      </c>
      <c r="U3065" t="str">
        <f>LEFT(Table1[[#This Row],[Category and Sub-Category]],FIND("/",Table1[[#This Row],[Category and Sub-Category]])-1)</f>
        <v>theater</v>
      </c>
      <c r="V3065" t="str">
        <f>RIGHT(Table1[[#This Row],[Category and Sub-Category]],LEN(Table1[[#This Row],[Category and Sub-Category]])-FIND("/",Table1[[#This Row],[Category and Sub-Category]]))</f>
        <v>spaces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 s="12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>((Table1[[#This Row],[deadline]]/60)/60/24)+DATE(1970,1,1)</f>
        <v>42330.290972222225</v>
      </c>
      <c r="K3066">
        <v>1445483246</v>
      </c>
      <c r="L3066" s="11">
        <f>((Table1[[#This Row],[launched_at]]/60)/60/24)+DATE(1970,1,1)</f>
        <v>42299.130162037036</v>
      </c>
      <c r="M3066">
        <f>MONTH(Table1[[#This Row],[Date Created Conversion]])</f>
        <v>10</v>
      </c>
      <c r="N3066">
        <f>YEAR(Table1[[#This Row],[Date Created Conversion]])</f>
        <v>2015</v>
      </c>
      <c r="O3066" t="b">
        <v>0</v>
      </c>
      <c r="P3066">
        <v>72</v>
      </c>
      <c r="Q3066" t="b">
        <v>0</v>
      </c>
      <c r="R3066" t="s">
        <v>8303</v>
      </c>
      <c r="S3066" s="6">
        <f>Table1[[#This Row],[pledged]]/Table1[[#This Row],[goal]]</f>
        <v>0.11294666666666667</v>
      </c>
      <c r="T3066" s="8">
        <f>IF(Table1[[#This Row],[pledged]]=0,"no backers",Table1[[#This Row],[pledged]]/Table1[[#This Row],[backers_count]])</f>
        <v>117.65277777777777</v>
      </c>
      <c r="U3066" t="str">
        <f>LEFT(Table1[[#This Row],[Category and Sub-Category]],FIND("/",Table1[[#This Row],[Category and Sub-Category]])-1)</f>
        <v>theater</v>
      </c>
      <c r="V3066" t="str">
        <f>RIGHT(Table1[[#This Row],[Category and Sub-Category]],LEN(Table1[[#This Row],[Category and Sub-Category]])-FIND("/",Table1[[#This Row],[Category and Sub-Category]]))</f>
        <v>spaces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 s="12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>((Table1[[#This Row],[deadline]]/60)/60/24)+DATE(1970,1,1)</f>
        <v>41850.055231481485</v>
      </c>
      <c r="K3067">
        <v>1404523172</v>
      </c>
      <c r="L3067" s="11">
        <f>((Table1[[#This Row],[launched_at]]/60)/60/24)+DATE(1970,1,1)</f>
        <v>41825.055231481485</v>
      </c>
      <c r="M3067">
        <f>MONTH(Table1[[#This Row],[Date Created Conversion]])</f>
        <v>7</v>
      </c>
      <c r="N3067">
        <f>YEAR(Table1[[#This Row],[Date Created Conversion]])</f>
        <v>2014</v>
      </c>
      <c r="O3067" t="b">
        <v>0</v>
      </c>
      <c r="P3067">
        <v>2</v>
      </c>
      <c r="Q3067" t="b">
        <v>0</v>
      </c>
      <c r="R3067" t="s">
        <v>8303</v>
      </c>
      <c r="S3067" s="6">
        <f>Table1[[#This Row],[pledged]]/Table1[[#This Row],[goal]]</f>
        <v>4.0000000000000002E-4</v>
      </c>
      <c r="T3067" s="8">
        <f>IF(Table1[[#This Row],[pledged]]=0,"no backers",Table1[[#This Row],[pledged]]/Table1[[#This Row],[backers_count]])</f>
        <v>5</v>
      </c>
      <c r="U3067" t="str">
        <f>LEFT(Table1[[#This Row],[Category and Sub-Category]],FIND("/",Table1[[#This Row],[Category and Sub-Category]])-1)</f>
        <v>theater</v>
      </c>
      <c r="V3067" t="str">
        <f>RIGHT(Table1[[#This Row],[Category and Sub-Category]],LEN(Table1[[#This Row],[Category and Sub-Category]])-FIND("/",Table1[[#This Row],[Category and Sub-Category]]))</f>
        <v>spaces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 s="12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>((Table1[[#This Row],[deadline]]/60)/60/24)+DATE(1970,1,1)</f>
        <v>42561.228437500002</v>
      </c>
      <c r="K3068">
        <v>1465536537</v>
      </c>
      <c r="L3068" s="11">
        <f>((Table1[[#This Row],[launched_at]]/60)/60/24)+DATE(1970,1,1)</f>
        <v>42531.228437500002</v>
      </c>
      <c r="M3068">
        <f>MONTH(Table1[[#This Row],[Date Created Conversion]])</f>
        <v>6</v>
      </c>
      <c r="N3068">
        <f>YEAR(Table1[[#This Row],[Date Created Conversion]])</f>
        <v>2016</v>
      </c>
      <c r="O3068" t="b">
        <v>0</v>
      </c>
      <c r="P3068">
        <v>15</v>
      </c>
      <c r="Q3068" t="b">
        <v>0</v>
      </c>
      <c r="R3068" t="s">
        <v>8303</v>
      </c>
      <c r="S3068" s="6">
        <f>Table1[[#This Row],[pledged]]/Table1[[#This Row],[goal]]</f>
        <v>0.11985714285714286</v>
      </c>
      <c r="T3068" s="8">
        <f>IF(Table1[[#This Row],[pledged]]=0,"no backers",Table1[[#This Row],[pledged]]/Table1[[#This Row],[backers_count]])</f>
        <v>2796.6666666666665</v>
      </c>
      <c r="U3068" t="str">
        <f>LEFT(Table1[[#This Row],[Category and Sub-Category]],FIND("/",Table1[[#This Row],[Category and Sub-Category]])-1)</f>
        <v>theater</v>
      </c>
      <c r="V3068" t="str">
        <f>RIGHT(Table1[[#This Row],[Category and Sub-Category]],LEN(Table1[[#This Row],[Category and Sub-Category]])-FIND("/",Table1[[#This Row],[Category and Sub-Category]]))</f>
        <v>spaces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 s="12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>((Table1[[#This Row],[deadline]]/60)/60/24)+DATE(1970,1,1)</f>
        <v>42256.938414351855</v>
      </c>
      <c r="K3069">
        <v>1439245879</v>
      </c>
      <c r="L3069" s="11">
        <f>((Table1[[#This Row],[launched_at]]/60)/60/24)+DATE(1970,1,1)</f>
        <v>42226.938414351855</v>
      </c>
      <c r="M3069">
        <f>MONTH(Table1[[#This Row],[Date Created Conversion]])</f>
        <v>8</v>
      </c>
      <c r="N3069">
        <f>YEAR(Table1[[#This Row],[Date Created Conversion]])</f>
        <v>2015</v>
      </c>
      <c r="O3069" t="b">
        <v>0</v>
      </c>
      <c r="P3069">
        <v>1</v>
      </c>
      <c r="Q3069" t="b">
        <v>0</v>
      </c>
      <c r="R3069" t="s">
        <v>8303</v>
      </c>
      <c r="S3069" s="6">
        <f>Table1[[#This Row],[pledged]]/Table1[[#This Row],[goal]]</f>
        <v>2.5000000000000001E-2</v>
      </c>
      <c r="T3069" s="8">
        <f>IF(Table1[[#This Row],[pledged]]=0,"no backers",Table1[[#This Row],[pledged]]/Table1[[#This Row],[backers_count]])</f>
        <v>200</v>
      </c>
      <c r="U3069" t="str">
        <f>LEFT(Table1[[#This Row],[Category and Sub-Category]],FIND("/",Table1[[#This Row],[Category and Sub-Category]])-1)</f>
        <v>theater</v>
      </c>
      <c r="V3069" t="str">
        <f>RIGHT(Table1[[#This Row],[Category and Sub-Category]],LEN(Table1[[#This Row],[Category and Sub-Category]])-FIND("/",Table1[[#This Row],[Category and Sub-Category]]))</f>
        <v>spaces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 s="12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>((Table1[[#This Row],[deadline]]/60)/60/24)+DATE(1970,1,1)</f>
        <v>42293.691574074073</v>
      </c>
      <c r="K3070">
        <v>1442421352</v>
      </c>
      <c r="L3070" s="11">
        <f>((Table1[[#This Row],[launched_at]]/60)/60/24)+DATE(1970,1,1)</f>
        <v>42263.691574074073</v>
      </c>
      <c r="M3070">
        <f>MONTH(Table1[[#This Row],[Date Created Conversion]])</f>
        <v>9</v>
      </c>
      <c r="N3070">
        <f>YEAR(Table1[[#This Row],[Date Created Conversion]])</f>
        <v>2015</v>
      </c>
      <c r="O3070" t="b">
        <v>0</v>
      </c>
      <c r="P3070">
        <v>2</v>
      </c>
      <c r="Q3070" t="b">
        <v>0</v>
      </c>
      <c r="R3070" t="s">
        <v>8303</v>
      </c>
      <c r="S3070" s="6">
        <f>Table1[[#This Row],[pledged]]/Table1[[#This Row],[goal]]</f>
        <v>6.9999999999999999E-4</v>
      </c>
      <c r="T3070" s="8">
        <f>IF(Table1[[#This Row],[pledged]]=0,"no backers",Table1[[#This Row],[pledged]]/Table1[[#This Row],[backers_count]])</f>
        <v>87.5</v>
      </c>
      <c r="U3070" t="str">
        <f>LEFT(Table1[[#This Row],[Category and Sub-Category]],FIND("/",Table1[[#This Row],[Category and Sub-Category]])-1)</f>
        <v>theater</v>
      </c>
      <c r="V3070" t="str">
        <f>RIGHT(Table1[[#This Row],[Category and Sub-Category]],LEN(Table1[[#This Row],[Category and Sub-Category]])-FIND("/",Table1[[#This Row],[Category and Sub-Category]]))</f>
        <v>spaces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 s="12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>((Table1[[#This Row],[deadline]]/60)/60/24)+DATE(1970,1,1)</f>
        <v>41987.833726851852</v>
      </c>
      <c r="K3071">
        <v>1415995234</v>
      </c>
      <c r="L3071" s="11">
        <f>((Table1[[#This Row],[launched_at]]/60)/60/24)+DATE(1970,1,1)</f>
        <v>41957.833726851852</v>
      </c>
      <c r="M3071">
        <f>MONTH(Table1[[#This Row],[Date Created Conversion]])</f>
        <v>11</v>
      </c>
      <c r="N3071">
        <f>YEAR(Table1[[#This Row],[Date Created Conversion]])</f>
        <v>2014</v>
      </c>
      <c r="O3071" t="b">
        <v>0</v>
      </c>
      <c r="P3071">
        <v>7</v>
      </c>
      <c r="Q3071" t="b">
        <v>0</v>
      </c>
      <c r="R3071" t="s">
        <v>8303</v>
      </c>
      <c r="S3071" s="6">
        <f>Table1[[#This Row],[pledged]]/Table1[[#This Row],[goal]]</f>
        <v>0.14099999999999999</v>
      </c>
      <c r="T3071" s="8">
        <f>IF(Table1[[#This Row],[pledged]]=0,"no backers",Table1[[#This Row],[pledged]]/Table1[[#This Row],[backers_count]])</f>
        <v>20.142857142857142</v>
      </c>
      <c r="U3071" t="str">
        <f>LEFT(Table1[[#This Row],[Category and Sub-Category]],FIND("/",Table1[[#This Row],[Category and Sub-Category]])-1)</f>
        <v>theater</v>
      </c>
      <c r="V3071" t="str">
        <f>RIGHT(Table1[[#This Row],[Category and Sub-Category]],LEN(Table1[[#This Row],[Category and Sub-Category]])-FIND("/",Table1[[#This Row],[Category and Sub-Category]]))</f>
        <v>spaces</v>
      </c>
    </row>
    <row r="3072" spans="1:22" ht="43.2" x14ac:dyDescent="0.3">
      <c r="A3072">
        <v>3070</v>
      </c>
      <c r="B3072" s="3" t="s">
        <v>3070</v>
      </c>
      <c r="C3072" s="3" t="s">
        <v>7180</v>
      </c>
      <c r="D3072" s="1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>((Table1[[#This Row],[deadline]]/60)/60/24)+DATE(1970,1,1)</f>
        <v>42711.733437499999</v>
      </c>
      <c r="K3072">
        <v>1479317769</v>
      </c>
      <c r="L3072" s="11">
        <f>((Table1[[#This Row],[launched_at]]/60)/60/24)+DATE(1970,1,1)</f>
        <v>42690.733437499999</v>
      </c>
      <c r="M3072">
        <f>MONTH(Table1[[#This Row],[Date Created Conversion]])</f>
        <v>11</v>
      </c>
      <c r="N3072">
        <f>YEAR(Table1[[#This Row],[Date Created Conversion]])</f>
        <v>2016</v>
      </c>
      <c r="O3072" t="b">
        <v>0</v>
      </c>
      <c r="P3072">
        <v>16</v>
      </c>
      <c r="Q3072" t="b">
        <v>0</v>
      </c>
      <c r="R3072" t="s">
        <v>8303</v>
      </c>
      <c r="S3072" s="6">
        <f>Table1[[#This Row],[pledged]]/Table1[[#This Row],[goal]]</f>
        <v>3.3399999999999999E-2</v>
      </c>
      <c r="T3072" s="8">
        <f>IF(Table1[[#This Row],[pledged]]=0,"no backers",Table1[[#This Row],[pledged]]/Table1[[#This Row],[backers_count]])</f>
        <v>20.875</v>
      </c>
      <c r="U3072" t="str">
        <f>LEFT(Table1[[#This Row],[Category and Sub-Category]],FIND("/",Table1[[#This Row],[Category and Sub-Category]])-1)</f>
        <v>theater</v>
      </c>
      <c r="V3072" t="str">
        <f>RIGHT(Table1[[#This Row],[Category and Sub-Category]],LEN(Table1[[#This Row],[Category and Sub-Category]])-FIND("/",Table1[[#This Row],[Category and Sub-Category]]))</f>
        <v>spaces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 s="12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>((Table1[[#This Row],[deadline]]/60)/60/24)+DATE(1970,1,1)</f>
        <v>42115.249305555553</v>
      </c>
      <c r="K3073">
        <v>1428082481</v>
      </c>
      <c r="L3073" s="11">
        <f>((Table1[[#This Row],[launched_at]]/60)/60/24)+DATE(1970,1,1)</f>
        <v>42097.732418981483</v>
      </c>
      <c r="M3073">
        <f>MONTH(Table1[[#This Row],[Date Created Conversion]])</f>
        <v>4</v>
      </c>
      <c r="N3073">
        <f>YEAR(Table1[[#This Row],[Date Created Conversion]])</f>
        <v>2015</v>
      </c>
      <c r="O3073" t="b">
        <v>0</v>
      </c>
      <c r="P3073">
        <v>117</v>
      </c>
      <c r="Q3073" t="b">
        <v>0</v>
      </c>
      <c r="R3073" t="s">
        <v>8303</v>
      </c>
      <c r="S3073" s="6">
        <f>Table1[[#This Row],[pledged]]/Table1[[#This Row],[goal]]</f>
        <v>0.59775</v>
      </c>
      <c r="T3073" s="8">
        <f>IF(Table1[[#This Row],[pledged]]=0,"no backers",Table1[[#This Row],[pledged]]/Table1[[#This Row],[backers_count]])</f>
        <v>61.307692307692307</v>
      </c>
      <c r="U3073" t="str">
        <f>LEFT(Table1[[#This Row],[Category and Sub-Category]],FIND("/",Table1[[#This Row],[Category and Sub-Category]])-1)</f>
        <v>theater</v>
      </c>
      <c r="V3073" t="str">
        <f>RIGHT(Table1[[#This Row],[Category and Sub-Category]],LEN(Table1[[#This Row],[Category and Sub-Category]])-FIND("/",Table1[[#This Row],[Category and Sub-Category]]))</f>
        <v>spaces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 s="12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>((Table1[[#This Row],[deadline]]/60)/60/24)+DATE(1970,1,1)</f>
        <v>42673.073611111111</v>
      </c>
      <c r="K3074">
        <v>1476549262</v>
      </c>
      <c r="L3074" s="11">
        <f>((Table1[[#This Row],[launched_at]]/60)/60/24)+DATE(1970,1,1)</f>
        <v>42658.690532407403</v>
      </c>
      <c r="M3074">
        <f>MONTH(Table1[[#This Row],[Date Created Conversion]])</f>
        <v>10</v>
      </c>
      <c r="N3074">
        <f>YEAR(Table1[[#This Row],[Date Created Conversion]])</f>
        <v>2016</v>
      </c>
      <c r="O3074" t="b">
        <v>0</v>
      </c>
      <c r="P3074">
        <v>2</v>
      </c>
      <c r="Q3074" t="b">
        <v>0</v>
      </c>
      <c r="R3074" t="s">
        <v>8303</v>
      </c>
      <c r="S3074" s="6">
        <f>Table1[[#This Row],[pledged]]/Table1[[#This Row],[goal]]</f>
        <v>1.6666666666666666E-4</v>
      </c>
      <c r="T3074" s="8">
        <f>IF(Table1[[#This Row],[pledged]]=0,"no backers",Table1[[#This Row],[pledged]]/Table1[[#This Row],[backers_count]])</f>
        <v>1</v>
      </c>
      <c r="U3074" t="str">
        <f>LEFT(Table1[[#This Row],[Category and Sub-Category]],FIND("/",Table1[[#This Row],[Category and Sub-Category]])-1)</f>
        <v>theater</v>
      </c>
      <c r="V3074" t="str">
        <f>RIGHT(Table1[[#This Row],[Category and Sub-Category]],LEN(Table1[[#This Row],[Category and Sub-Category]])-FIND("/",Table1[[#This Row],[Category and Sub-Category]]))</f>
        <v>spaces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 s="12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>((Table1[[#This Row],[deadline]]/60)/60/24)+DATE(1970,1,1)</f>
        <v>42169.804861111115</v>
      </c>
      <c r="K3075">
        <v>1429287900</v>
      </c>
      <c r="L3075" s="11">
        <f>((Table1[[#This Row],[launched_at]]/60)/60/24)+DATE(1970,1,1)</f>
        <v>42111.684027777781</v>
      </c>
      <c r="M3075">
        <f>MONTH(Table1[[#This Row],[Date Created Conversion]])</f>
        <v>4</v>
      </c>
      <c r="N3075">
        <f>YEAR(Table1[[#This Row],[Date Created Conversion]])</f>
        <v>2015</v>
      </c>
      <c r="O3075" t="b">
        <v>0</v>
      </c>
      <c r="P3075">
        <v>7</v>
      </c>
      <c r="Q3075" t="b">
        <v>0</v>
      </c>
      <c r="R3075" t="s">
        <v>8303</v>
      </c>
      <c r="S3075" s="6">
        <f>Table1[[#This Row],[pledged]]/Table1[[#This Row],[goal]]</f>
        <v>2.3035714285714285E-4</v>
      </c>
      <c r="T3075" s="8">
        <f>IF(Table1[[#This Row],[pledged]]=0,"no backers",Table1[[#This Row],[pledged]]/Table1[[#This Row],[backers_count]])</f>
        <v>92.142857142857139</v>
      </c>
      <c r="U3075" t="str">
        <f>LEFT(Table1[[#This Row],[Category and Sub-Category]],FIND("/",Table1[[#This Row],[Category and Sub-Category]])-1)</f>
        <v>theater</v>
      </c>
      <c r="V3075" t="str">
        <f>RIGHT(Table1[[#This Row],[Category and Sub-Category]],LEN(Table1[[#This Row],[Category and Sub-Category]])-FIND("/",Table1[[#This Row],[Category and Sub-Category]]))</f>
        <v>spaces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 s="12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>((Table1[[#This Row],[deadline]]/60)/60/24)+DATE(1970,1,1)</f>
        <v>42439.571284722217</v>
      </c>
      <c r="K3076">
        <v>1455025359</v>
      </c>
      <c r="L3076" s="11">
        <f>((Table1[[#This Row],[launched_at]]/60)/60/24)+DATE(1970,1,1)</f>
        <v>42409.571284722217</v>
      </c>
      <c r="M3076">
        <f>MONTH(Table1[[#This Row],[Date Created Conversion]])</f>
        <v>2</v>
      </c>
      <c r="N3076">
        <f>YEAR(Table1[[#This Row],[Date Created Conversion]])</f>
        <v>2016</v>
      </c>
      <c r="O3076" t="b">
        <v>0</v>
      </c>
      <c r="P3076">
        <v>3</v>
      </c>
      <c r="Q3076" t="b">
        <v>0</v>
      </c>
      <c r="R3076" t="s">
        <v>8303</v>
      </c>
      <c r="S3076" s="6">
        <f>Table1[[#This Row],[pledged]]/Table1[[#This Row],[goal]]</f>
        <v>8.8000000000000003E-4</v>
      </c>
      <c r="T3076" s="8">
        <f>IF(Table1[[#This Row],[pledged]]=0,"no backers",Table1[[#This Row],[pledged]]/Table1[[#This Row],[backers_count]])</f>
        <v>7.333333333333333</v>
      </c>
      <c r="U3076" t="str">
        <f>LEFT(Table1[[#This Row],[Category and Sub-Category]],FIND("/",Table1[[#This Row],[Category and Sub-Category]])-1)</f>
        <v>theater</v>
      </c>
      <c r="V3076" t="str">
        <f>RIGHT(Table1[[#This Row],[Category and Sub-Category]],LEN(Table1[[#This Row],[Category and Sub-Category]])-FIND("/",Table1[[#This Row],[Category and Sub-Category]]))</f>
        <v>spaces</v>
      </c>
    </row>
    <row r="3077" spans="1:22" ht="43.2" x14ac:dyDescent="0.3">
      <c r="A3077">
        <v>3075</v>
      </c>
      <c r="B3077" s="3" t="s">
        <v>3075</v>
      </c>
      <c r="C3077" s="3" t="s">
        <v>7185</v>
      </c>
      <c r="D3077" s="12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>((Table1[[#This Row],[deadline]]/60)/60/24)+DATE(1970,1,1)</f>
        <v>42601.102314814809</v>
      </c>
      <c r="K3077">
        <v>1467253640</v>
      </c>
      <c r="L3077" s="11">
        <f>((Table1[[#This Row],[launched_at]]/60)/60/24)+DATE(1970,1,1)</f>
        <v>42551.102314814809</v>
      </c>
      <c r="M3077">
        <f>MONTH(Table1[[#This Row],[Date Created Conversion]])</f>
        <v>6</v>
      </c>
      <c r="N3077">
        <f>YEAR(Table1[[#This Row],[Date Created Conversion]])</f>
        <v>2016</v>
      </c>
      <c r="O3077" t="b">
        <v>0</v>
      </c>
      <c r="P3077">
        <v>20</v>
      </c>
      <c r="Q3077" t="b">
        <v>0</v>
      </c>
      <c r="R3077" t="s">
        <v>8303</v>
      </c>
      <c r="S3077" s="6">
        <f>Table1[[#This Row],[pledged]]/Table1[[#This Row],[goal]]</f>
        <v>8.6400000000000005E-2</v>
      </c>
      <c r="T3077" s="8">
        <f>IF(Table1[[#This Row],[pledged]]=0,"no backers",Table1[[#This Row],[pledged]]/Table1[[#This Row],[backers_count]])</f>
        <v>64.8</v>
      </c>
      <c r="U3077" t="str">
        <f>LEFT(Table1[[#This Row],[Category and Sub-Category]],FIND("/",Table1[[#This Row],[Category and Sub-Category]])-1)</f>
        <v>theater</v>
      </c>
      <c r="V3077" t="str">
        <f>RIGHT(Table1[[#This Row],[Category and Sub-Category]],LEN(Table1[[#This Row],[Category and Sub-Category]])-FIND("/",Table1[[#This Row],[Category and Sub-Category]]))</f>
        <v>spaces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 s="12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>((Table1[[#This Row],[deadline]]/60)/60/24)+DATE(1970,1,1)</f>
        <v>42286.651886574073</v>
      </c>
      <c r="K3078">
        <v>1439221123</v>
      </c>
      <c r="L3078" s="11">
        <f>((Table1[[#This Row],[launched_at]]/60)/60/24)+DATE(1970,1,1)</f>
        <v>42226.651886574073</v>
      </c>
      <c r="M3078">
        <f>MONTH(Table1[[#This Row],[Date Created Conversion]])</f>
        <v>8</v>
      </c>
      <c r="N3078">
        <f>YEAR(Table1[[#This Row],[Date Created Conversion]])</f>
        <v>2015</v>
      </c>
      <c r="O3078" t="b">
        <v>0</v>
      </c>
      <c r="P3078">
        <v>50</v>
      </c>
      <c r="Q3078" t="b">
        <v>0</v>
      </c>
      <c r="R3078" t="s">
        <v>8303</v>
      </c>
      <c r="S3078" s="6">
        <f>Table1[[#This Row],[pledged]]/Table1[[#This Row],[goal]]</f>
        <v>0.15060000000000001</v>
      </c>
      <c r="T3078" s="8">
        <f>IF(Table1[[#This Row],[pledged]]=0,"no backers",Table1[[#This Row],[pledged]]/Table1[[#This Row],[backers_count]])</f>
        <v>30.12</v>
      </c>
      <c r="U3078" t="str">
        <f>LEFT(Table1[[#This Row],[Category and Sub-Category]],FIND("/",Table1[[#This Row],[Category and Sub-Category]])-1)</f>
        <v>theater</v>
      </c>
      <c r="V3078" t="str">
        <f>RIGHT(Table1[[#This Row],[Category and Sub-Category]],LEN(Table1[[#This Row],[Category and Sub-Category]])-FIND("/",Table1[[#This Row],[Category and Sub-Category]]))</f>
        <v>spaces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 s="12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>((Table1[[#This Row],[deadline]]/60)/60/24)+DATE(1970,1,1)</f>
        <v>42796.956921296296</v>
      </c>
      <c r="K3079">
        <v>1485903478</v>
      </c>
      <c r="L3079" s="11">
        <f>((Table1[[#This Row],[launched_at]]/60)/60/24)+DATE(1970,1,1)</f>
        <v>42766.956921296296</v>
      </c>
      <c r="M3079">
        <f>MONTH(Table1[[#This Row],[Date Created Conversion]])</f>
        <v>1</v>
      </c>
      <c r="N3079">
        <f>YEAR(Table1[[#This Row],[Date Created Conversion]])</f>
        <v>2017</v>
      </c>
      <c r="O3079" t="b">
        <v>0</v>
      </c>
      <c r="P3079">
        <v>2</v>
      </c>
      <c r="Q3079" t="b">
        <v>0</v>
      </c>
      <c r="R3079" t="s">
        <v>8303</v>
      </c>
      <c r="S3079" s="6">
        <f>Table1[[#This Row],[pledged]]/Table1[[#This Row],[goal]]</f>
        <v>4.7727272727272731E-3</v>
      </c>
      <c r="T3079" s="8">
        <f>IF(Table1[[#This Row],[pledged]]=0,"no backers",Table1[[#This Row],[pledged]]/Table1[[#This Row],[backers_count]])</f>
        <v>52.5</v>
      </c>
      <c r="U3079" t="str">
        <f>LEFT(Table1[[#This Row],[Category and Sub-Category]],FIND("/",Table1[[#This Row],[Category and Sub-Category]])-1)</f>
        <v>theater</v>
      </c>
      <c r="V3079" t="str">
        <f>RIGHT(Table1[[#This Row],[Category and Sub-Category]],LEN(Table1[[#This Row],[Category and Sub-Category]])-FIND("/",Table1[[#This Row],[Category and Sub-Category]]))</f>
        <v>spaces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 s="12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>((Table1[[#This Row],[deadline]]/60)/60/24)+DATE(1970,1,1)</f>
        <v>42061.138831018514</v>
      </c>
      <c r="K3080">
        <v>1422328795</v>
      </c>
      <c r="L3080" s="11">
        <f>((Table1[[#This Row],[launched_at]]/60)/60/24)+DATE(1970,1,1)</f>
        <v>42031.138831018514</v>
      </c>
      <c r="M3080">
        <f>MONTH(Table1[[#This Row],[Date Created Conversion]])</f>
        <v>1</v>
      </c>
      <c r="N3080">
        <f>YEAR(Table1[[#This Row],[Date Created Conversion]])</f>
        <v>2015</v>
      </c>
      <c r="O3080" t="b">
        <v>0</v>
      </c>
      <c r="P3080">
        <v>3</v>
      </c>
      <c r="Q3080" t="b">
        <v>0</v>
      </c>
      <c r="R3080" t="s">
        <v>8303</v>
      </c>
      <c r="S3080" s="6">
        <f>Table1[[#This Row],[pledged]]/Table1[[#This Row],[goal]]</f>
        <v>1.1833333333333333E-3</v>
      </c>
      <c r="T3080" s="8">
        <f>IF(Table1[[#This Row],[pledged]]=0,"no backers",Table1[[#This Row],[pledged]]/Table1[[#This Row],[backers_count]])</f>
        <v>23.666666666666668</v>
      </c>
      <c r="U3080" t="str">
        <f>LEFT(Table1[[#This Row],[Category and Sub-Category]],FIND("/",Table1[[#This Row],[Category and Sub-Category]])-1)</f>
        <v>theater</v>
      </c>
      <c r="V3080" t="str">
        <f>RIGHT(Table1[[#This Row],[Category and Sub-Category]],LEN(Table1[[#This Row],[Category and Sub-Category]])-FIND("/",Table1[[#This Row],[Category and Sub-Category]]))</f>
        <v>spaces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 s="12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>((Table1[[#This Row],[deadline]]/60)/60/24)+DATE(1970,1,1)</f>
        <v>42085.671701388885</v>
      </c>
      <c r="K3081">
        <v>1424452035</v>
      </c>
      <c r="L3081" s="11">
        <f>((Table1[[#This Row],[launched_at]]/60)/60/24)+DATE(1970,1,1)</f>
        <v>42055.713368055556</v>
      </c>
      <c r="M3081">
        <f>MONTH(Table1[[#This Row],[Date Created Conversion]])</f>
        <v>2</v>
      </c>
      <c r="N3081">
        <f>YEAR(Table1[[#This Row],[Date Created Conversion]])</f>
        <v>2015</v>
      </c>
      <c r="O3081" t="b">
        <v>0</v>
      </c>
      <c r="P3081">
        <v>27</v>
      </c>
      <c r="Q3081" t="b">
        <v>0</v>
      </c>
      <c r="R3081" t="s">
        <v>8303</v>
      </c>
      <c r="S3081" s="6">
        <f>Table1[[#This Row],[pledged]]/Table1[[#This Row],[goal]]</f>
        <v>8.4173998587352451E-3</v>
      </c>
      <c r="T3081" s="8">
        <f>IF(Table1[[#This Row],[pledged]]=0,"no backers",Table1[[#This Row],[pledged]]/Table1[[#This Row],[backers_count]])</f>
        <v>415.77777777777777</v>
      </c>
      <c r="U3081" t="str">
        <f>LEFT(Table1[[#This Row],[Category and Sub-Category]],FIND("/",Table1[[#This Row],[Category and Sub-Category]])-1)</f>
        <v>theater</v>
      </c>
      <c r="V3081" t="str">
        <f>RIGHT(Table1[[#This Row],[Category and Sub-Category]],LEN(Table1[[#This Row],[Category and Sub-Category]])-FIND("/",Table1[[#This Row],[Category and Sub-Category]]))</f>
        <v>spaces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 s="1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>((Table1[[#This Row],[deadline]]/60)/60/24)+DATE(1970,1,1)</f>
        <v>42000.0699537037</v>
      </c>
      <c r="K3082">
        <v>1414456844</v>
      </c>
      <c r="L3082" s="11">
        <f>((Table1[[#This Row],[launched_at]]/60)/60/24)+DATE(1970,1,1)</f>
        <v>41940.028287037036</v>
      </c>
      <c r="M3082">
        <f>MONTH(Table1[[#This Row],[Date Created Conversion]])</f>
        <v>10</v>
      </c>
      <c r="N3082">
        <f>YEAR(Table1[[#This Row],[Date Created Conversion]])</f>
        <v>2014</v>
      </c>
      <c r="O3082" t="b">
        <v>0</v>
      </c>
      <c r="P3082">
        <v>7</v>
      </c>
      <c r="Q3082" t="b">
        <v>0</v>
      </c>
      <c r="R3082" t="s">
        <v>8303</v>
      </c>
      <c r="S3082" s="6">
        <f>Table1[[#This Row],[pledged]]/Table1[[#This Row],[goal]]</f>
        <v>1.8799999999999999E-4</v>
      </c>
      <c r="T3082" s="8">
        <f>IF(Table1[[#This Row],[pledged]]=0,"no backers",Table1[[#This Row],[pledged]]/Table1[[#This Row],[backers_count]])</f>
        <v>53.714285714285715</v>
      </c>
      <c r="U3082" t="str">
        <f>LEFT(Table1[[#This Row],[Category and Sub-Category]],FIND("/",Table1[[#This Row],[Category and Sub-Category]])-1)</f>
        <v>theater</v>
      </c>
      <c r="V3082" t="str">
        <f>RIGHT(Table1[[#This Row],[Category and Sub-Category]],LEN(Table1[[#This Row],[Category and Sub-Category]])-FIND("/",Table1[[#This Row],[Category and Sub-Category]]))</f>
        <v>spaces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 s="12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>((Table1[[#This Row],[deadline]]/60)/60/24)+DATE(1970,1,1)</f>
        <v>42267.181608796294</v>
      </c>
      <c r="K3083">
        <v>1440130891</v>
      </c>
      <c r="L3083" s="11">
        <f>((Table1[[#This Row],[launched_at]]/60)/60/24)+DATE(1970,1,1)</f>
        <v>42237.181608796294</v>
      </c>
      <c r="M3083">
        <f>MONTH(Table1[[#This Row],[Date Created Conversion]])</f>
        <v>8</v>
      </c>
      <c r="N3083">
        <f>YEAR(Table1[[#This Row],[Date Created Conversion]])</f>
        <v>2015</v>
      </c>
      <c r="O3083" t="b">
        <v>0</v>
      </c>
      <c r="P3083">
        <v>5</v>
      </c>
      <c r="Q3083" t="b">
        <v>0</v>
      </c>
      <c r="R3083" t="s">
        <v>8303</v>
      </c>
      <c r="S3083" s="6">
        <f>Table1[[#This Row],[pledged]]/Table1[[#This Row],[goal]]</f>
        <v>2.1029999999999998E-3</v>
      </c>
      <c r="T3083" s="8">
        <f>IF(Table1[[#This Row],[pledged]]=0,"no backers",Table1[[#This Row],[pledged]]/Table1[[#This Row],[backers_count]])</f>
        <v>420.6</v>
      </c>
      <c r="U3083" t="str">
        <f>LEFT(Table1[[#This Row],[Category and Sub-Category]],FIND("/",Table1[[#This Row],[Category and Sub-Category]])-1)</f>
        <v>theater</v>
      </c>
      <c r="V3083" t="str">
        <f>RIGHT(Table1[[#This Row],[Category and Sub-Category]],LEN(Table1[[#This Row],[Category and Sub-Category]])-FIND("/",Table1[[#This Row],[Category and Sub-Category]]))</f>
        <v>spaces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 s="12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>((Table1[[#This Row],[deadline]]/60)/60/24)+DATE(1970,1,1)</f>
        <v>42323.96465277778</v>
      </c>
      <c r="K3084">
        <v>1445033346</v>
      </c>
      <c r="L3084" s="11">
        <f>((Table1[[#This Row],[launched_at]]/60)/60/24)+DATE(1970,1,1)</f>
        <v>42293.922986111109</v>
      </c>
      <c r="M3084">
        <f>MONTH(Table1[[#This Row],[Date Created Conversion]])</f>
        <v>10</v>
      </c>
      <c r="N3084">
        <f>YEAR(Table1[[#This Row],[Date Created Conversion]])</f>
        <v>2015</v>
      </c>
      <c r="O3084" t="b">
        <v>0</v>
      </c>
      <c r="P3084">
        <v>0</v>
      </c>
      <c r="Q3084" t="b">
        <v>0</v>
      </c>
      <c r="R3084" t="s">
        <v>8303</v>
      </c>
      <c r="S3084" s="6">
        <f>Table1[[#This Row],[pledged]]/Table1[[#This Row],[goal]]</f>
        <v>0</v>
      </c>
      <c r="T3084" s="8" t="str">
        <f>IF(Table1[[#This Row],[pledged]]=0,"no backers",Table1[[#This Row],[pledged]]/Table1[[#This Row],[backers_count]])</f>
        <v>no backers</v>
      </c>
      <c r="U3084" t="str">
        <f>LEFT(Table1[[#This Row],[Category and Sub-Category]],FIND("/",Table1[[#This Row],[Category and Sub-Category]])-1)</f>
        <v>theater</v>
      </c>
      <c r="V3084" t="str">
        <f>RIGHT(Table1[[#This Row],[Category and Sub-Category]],LEN(Table1[[#This Row],[Category and Sub-Category]])-FIND("/",Table1[[#This Row],[Category and Sub-Category]]))</f>
        <v>spaces</v>
      </c>
    </row>
    <row r="3085" spans="1:22" ht="57.6" x14ac:dyDescent="0.3">
      <c r="A3085">
        <v>3083</v>
      </c>
      <c r="B3085" s="3" t="s">
        <v>3083</v>
      </c>
      <c r="C3085" s="3" t="s">
        <v>7193</v>
      </c>
      <c r="D3085" s="12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>((Table1[[#This Row],[deadline]]/60)/60/24)+DATE(1970,1,1)</f>
        <v>41883.208333333336</v>
      </c>
      <c r="K3085">
        <v>1406986278</v>
      </c>
      <c r="L3085" s="11">
        <f>((Table1[[#This Row],[launched_at]]/60)/60/24)+DATE(1970,1,1)</f>
        <v>41853.563402777778</v>
      </c>
      <c r="M3085">
        <f>MONTH(Table1[[#This Row],[Date Created Conversion]])</f>
        <v>8</v>
      </c>
      <c r="N3085">
        <f>YEAR(Table1[[#This Row],[Date Created Conversion]])</f>
        <v>2014</v>
      </c>
      <c r="O3085" t="b">
        <v>0</v>
      </c>
      <c r="P3085">
        <v>3</v>
      </c>
      <c r="Q3085" t="b">
        <v>0</v>
      </c>
      <c r="R3085" t="s">
        <v>8303</v>
      </c>
      <c r="S3085" s="6">
        <f>Table1[[#This Row],[pledged]]/Table1[[#This Row],[goal]]</f>
        <v>2.8E-3</v>
      </c>
      <c r="T3085" s="8">
        <f>IF(Table1[[#This Row],[pledged]]=0,"no backers",Table1[[#This Row],[pledged]]/Table1[[#This Row],[backers_count]])</f>
        <v>18.666666666666668</v>
      </c>
      <c r="U3085" t="str">
        <f>LEFT(Table1[[#This Row],[Category and Sub-Category]],FIND("/",Table1[[#This Row],[Category and Sub-Category]])-1)</f>
        <v>theater</v>
      </c>
      <c r="V3085" t="str">
        <f>RIGHT(Table1[[#This Row],[Category and Sub-Category]],LEN(Table1[[#This Row],[Category and Sub-Category]])-FIND("/",Table1[[#This Row],[Category and Sub-Category]]))</f>
        <v>spaces</v>
      </c>
    </row>
    <row r="3086" spans="1:22" ht="57.6" x14ac:dyDescent="0.3">
      <c r="A3086">
        <v>3084</v>
      </c>
      <c r="B3086" s="3" t="s">
        <v>3084</v>
      </c>
      <c r="C3086" s="3" t="s">
        <v>7194</v>
      </c>
      <c r="D3086" s="12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>((Table1[[#This Row],[deadline]]/60)/60/24)+DATE(1970,1,1)</f>
        <v>42129.783333333333</v>
      </c>
      <c r="K3086">
        <v>1428340931</v>
      </c>
      <c r="L3086" s="11">
        <f>((Table1[[#This Row],[launched_at]]/60)/60/24)+DATE(1970,1,1)</f>
        <v>42100.723738425921</v>
      </c>
      <c r="M3086">
        <f>MONTH(Table1[[#This Row],[Date Created Conversion]])</f>
        <v>4</v>
      </c>
      <c r="N3086">
        <f>YEAR(Table1[[#This Row],[Date Created Conversion]])</f>
        <v>2015</v>
      </c>
      <c r="O3086" t="b">
        <v>0</v>
      </c>
      <c r="P3086">
        <v>6</v>
      </c>
      <c r="Q3086" t="b">
        <v>0</v>
      </c>
      <c r="R3086" t="s">
        <v>8303</v>
      </c>
      <c r="S3086" s="6">
        <f>Table1[[#This Row],[pledged]]/Table1[[#This Row],[goal]]</f>
        <v>0.11579206701157921</v>
      </c>
      <c r="T3086" s="8">
        <f>IF(Table1[[#This Row],[pledged]]=0,"no backers",Table1[[#This Row],[pledged]]/Table1[[#This Row],[backers_count]])</f>
        <v>78.333333333333329</v>
      </c>
      <c r="U3086" t="str">
        <f>LEFT(Table1[[#This Row],[Category and Sub-Category]],FIND("/",Table1[[#This Row],[Category and Sub-Category]])-1)</f>
        <v>theater</v>
      </c>
      <c r="V3086" t="str">
        <f>RIGHT(Table1[[#This Row],[Category and Sub-Category]],LEN(Table1[[#This Row],[Category and Sub-Category]])-FIND("/",Table1[[#This Row],[Category and Sub-Category]]))</f>
        <v>spaces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 s="12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>((Table1[[#This Row],[deadline]]/60)/60/24)+DATE(1970,1,1)</f>
        <v>42276.883784722217</v>
      </c>
      <c r="K3087">
        <v>1440969159</v>
      </c>
      <c r="L3087" s="11">
        <f>((Table1[[#This Row],[launched_at]]/60)/60/24)+DATE(1970,1,1)</f>
        <v>42246.883784722217</v>
      </c>
      <c r="M3087">
        <f>MONTH(Table1[[#This Row],[Date Created Conversion]])</f>
        <v>8</v>
      </c>
      <c r="N3087">
        <f>YEAR(Table1[[#This Row],[Date Created Conversion]])</f>
        <v>2015</v>
      </c>
      <c r="O3087" t="b">
        <v>0</v>
      </c>
      <c r="P3087">
        <v>9</v>
      </c>
      <c r="Q3087" t="b">
        <v>0</v>
      </c>
      <c r="R3087" t="s">
        <v>8303</v>
      </c>
      <c r="S3087" s="6">
        <f>Table1[[#This Row],[pledged]]/Table1[[#This Row],[goal]]</f>
        <v>2.4400000000000002E-2</v>
      </c>
      <c r="T3087" s="8">
        <f>IF(Table1[[#This Row],[pledged]]=0,"no backers",Table1[[#This Row],[pledged]]/Table1[[#This Row],[backers_count]])</f>
        <v>67.777777777777771</v>
      </c>
      <c r="U3087" t="str">
        <f>LEFT(Table1[[#This Row],[Category and Sub-Category]],FIND("/",Table1[[#This Row],[Category and Sub-Category]])-1)</f>
        <v>theater</v>
      </c>
      <c r="V3087" t="str">
        <f>RIGHT(Table1[[#This Row],[Category and Sub-Category]],LEN(Table1[[#This Row],[Category and Sub-Category]])-FIND("/",Table1[[#This Row],[Category and Sub-Category]]))</f>
        <v>spaces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 s="12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>((Table1[[#This Row],[deadline]]/60)/60/24)+DATE(1970,1,1)</f>
        <v>42233.67082175926</v>
      </c>
      <c r="K3088">
        <v>1434643559</v>
      </c>
      <c r="L3088" s="11">
        <f>((Table1[[#This Row],[launched_at]]/60)/60/24)+DATE(1970,1,1)</f>
        <v>42173.67082175926</v>
      </c>
      <c r="M3088">
        <f>MONTH(Table1[[#This Row],[Date Created Conversion]])</f>
        <v>6</v>
      </c>
      <c r="N3088">
        <f>YEAR(Table1[[#This Row],[Date Created Conversion]])</f>
        <v>2015</v>
      </c>
      <c r="O3088" t="b">
        <v>0</v>
      </c>
      <c r="P3088">
        <v>3</v>
      </c>
      <c r="Q3088" t="b">
        <v>0</v>
      </c>
      <c r="R3088" t="s">
        <v>8303</v>
      </c>
      <c r="S3088" s="6">
        <f>Table1[[#This Row],[pledged]]/Table1[[#This Row],[goal]]</f>
        <v>2.5000000000000001E-3</v>
      </c>
      <c r="T3088" s="8">
        <f>IF(Table1[[#This Row],[pledged]]=0,"no backers",Table1[[#This Row],[pledged]]/Table1[[#This Row],[backers_count]])</f>
        <v>16.666666666666668</v>
      </c>
      <c r="U3088" t="str">
        <f>LEFT(Table1[[#This Row],[Category and Sub-Category]],FIND("/",Table1[[#This Row],[Category and Sub-Category]])-1)</f>
        <v>theater</v>
      </c>
      <c r="V3088" t="str">
        <f>RIGHT(Table1[[#This Row],[Category and Sub-Category]],LEN(Table1[[#This Row],[Category and Sub-Category]])-FIND("/",Table1[[#This Row],[Category and Sub-Category]]))</f>
        <v>spaces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 s="12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>((Table1[[#This Row],[deadline]]/60)/60/24)+DATE(1970,1,1)</f>
        <v>42725.192013888889</v>
      </c>
      <c r="K3089">
        <v>1477107390</v>
      </c>
      <c r="L3089" s="11">
        <f>((Table1[[#This Row],[launched_at]]/60)/60/24)+DATE(1970,1,1)</f>
        <v>42665.150347222225</v>
      </c>
      <c r="M3089">
        <f>MONTH(Table1[[#This Row],[Date Created Conversion]])</f>
        <v>10</v>
      </c>
      <c r="N3089">
        <f>YEAR(Table1[[#This Row],[Date Created Conversion]])</f>
        <v>2016</v>
      </c>
      <c r="O3089" t="b">
        <v>0</v>
      </c>
      <c r="P3089">
        <v>2</v>
      </c>
      <c r="Q3089" t="b">
        <v>0</v>
      </c>
      <c r="R3089" t="s">
        <v>8303</v>
      </c>
      <c r="S3089" s="6">
        <f>Table1[[#This Row],[pledged]]/Table1[[#This Row],[goal]]</f>
        <v>6.2500000000000003E-3</v>
      </c>
      <c r="T3089" s="8">
        <f>IF(Table1[[#This Row],[pledged]]=0,"no backers",Table1[[#This Row],[pledged]]/Table1[[#This Row],[backers_count]])</f>
        <v>62.5</v>
      </c>
      <c r="U3089" t="str">
        <f>LEFT(Table1[[#This Row],[Category and Sub-Category]],FIND("/",Table1[[#This Row],[Category and Sub-Category]])-1)</f>
        <v>theater</v>
      </c>
      <c r="V3089" t="str">
        <f>RIGHT(Table1[[#This Row],[Category and Sub-Category]],LEN(Table1[[#This Row],[Category and Sub-Category]])-FIND("/",Table1[[#This Row],[Category and Sub-Category]]))</f>
        <v>spaces</v>
      </c>
    </row>
    <row r="3090" spans="1:22" ht="43.2" x14ac:dyDescent="0.3">
      <c r="A3090">
        <v>3088</v>
      </c>
      <c r="B3090" s="3" t="s">
        <v>3088</v>
      </c>
      <c r="C3090" s="3" t="s">
        <v>7198</v>
      </c>
      <c r="D3090" s="12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>((Table1[[#This Row],[deadline]]/60)/60/24)+DATE(1970,1,1)</f>
        <v>42012.570138888885</v>
      </c>
      <c r="K3090">
        <v>1418046247</v>
      </c>
      <c r="L3090" s="11">
        <f>((Table1[[#This Row],[launched_at]]/60)/60/24)+DATE(1970,1,1)</f>
        <v>41981.57230324074</v>
      </c>
      <c r="M3090">
        <f>MONTH(Table1[[#This Row],[Date Created Conversion]])</f>
        <v>12</v>
      </c>
      <c r="N3090">
        <f>YEAR(Table1[[#This Row],[Date Created Conversion]])</f>
        <v>2014</v>
      </c>
      <c r="O3090" t="b">
        <v>0</v>
      </c>
      <c r="P3090">
        <v>3</v>
      </c>
      <c r="Q3090" t="b">
        <v>0</v>
      </c>
      <c r="R3090" t="s">
        <v>8303</v>
      </c>
      <c r="S3090" s="6">
        <f>Table1[[#This Row],[pledged]]/Table1[[#This Row],[goal]]</f>
        <v>1.9384615384615384E-3</v>
      </c>
      <c r="T3090" s="8">
        <f>IF(Table1[[#This Row],[pledged]]=0,"no backers",Table1[[#This Row],[pledged]]/Table1[[#This Row],[backers_count]])</f>
        <v>42</v>
      </c>
      <c r="U3090" t="str">
        <f>LEFT(Table1[[#This Row],[Category and Sub-Category]],FIND("/",Table1[[#This Row],[Category and Sub-Category]])-1)</f>
        <v>theater</v>
      </c>
      <c r="V3090" t="str">
        <f>RIGHT(Table1[[#This Row],[Category and Sub-Category]],LEN(Table1[[#This Row],[Category and Sub-Category]])-FIND("/",Table1[[#This Row],[Category and Sub-Category]]))</f>
        <v>spaces</v>
      </c>
    </row>
    <row r="3091" spans="1:22" ht="43.2" x14ac:dyDescent="0.3">
      <c r="A3091">
        <v>3089</v>
      </c>
      <c r="B3091" s="3" t="s">
        <v>3089</v>
      </c>
      <c r="C3091" s="3" t="s">
        <v>7199</v>
      </c>
      <c r="D3091" s="12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>((Table1[[#This Row],[deadline]]/60)/60/24)+DATE(1970,1,1)</f>
        <v>42560.082638888889</v>
      </c>
      <c r="K3091">
        <v>1465304483</v>
      </c>
      <c r="L3091" s="11">
        <f>((Table1[[#This Row],[launched_at]]/60)/60/24)+DATE(1970,1,1)</f>
        <v>42528.542627314819</v>
      </c>
      <c r="M3091">
        <f>MONTH(Table1[[#This Row],[Date Created Conversion]])</f>
        <v>6</v>
      </c>
      <c r="N3091">
        <f>YEAR(Table1[[#This Row],[Date Created Conversion]])</f>
        <v>2016</v>
      </c>
      <c r="O3091" t="b">
        <v>0</v>
      </c>
      <c r="P3091">
        <v>45</v>
      </c>
      <c r="Q3091" t="b">
        <v>0</v>
      </c>
      <c r="R3091" t="s">
        <v>8303</v>
      </c>
      <c r="S3091" s="6">
        <f>Table1[[#This Row],[pledged]]/Table1[[#This Row],[goal]]</f>
        <v>0.23416000000000001</v>
      </c>
      <c r="T3091" s="8">
        <f>IF(Table1[[#This Row],[pledged]]=0,"no backers",Table1[[#This Row],[pledged]]/Table1[[#This Row],[backers_count]])</f>
        <v>130.0888888888889</v>
      </c>
      <c r="U3091" t="str">
        <f>LEFT(Table1[[#This Row],[Category and Sub-Category]],FIND("/",Table1[[#This Row],[Category and Sub-Category]])-1)</f>
        <v>theater</v>
      </c>
      <c r="V3091" t="str">
        <f>RIGHT(Table1[[#This Row],[Category and Sub-Category]],LEN(Table1[[#This Row],[Category and Sub-Category]])-FIND("/",Table1[[#This Row],[Category and Sub-Category]]))</f>
        <v>spaces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 s="1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>((Table1[[#This Row],[deadline]]/60)/60/24)+DATE(1970,1,1)</f>
        <v>42125.777141203704</v>
      </c>
      <c r="K3092">
        <v>1425325145</v>
      </c>
      <c r="L3092" s="11">
        <f>((Table1[[#This Row],[launched_at]]/60)/60/24)+DATE(1970,1,1)</f>
        <v>42065.818807870368</v>
      </c>
      <c r="M3092">
        <f>MONTH(Table1[[#This Row],[Date Created Conversion]])</f>
        <v>3</v>
      </c>
      <c r="N3092">
        <f>YEAR(Table1[[#This Row],[Date Created Conversion]])</f>
        <v>2015</v>
      </c>
      <c r="O3092" t="b">
        <v>0</v>
      </c>
      <c r="P3092">
        <v>9</v>
      </c>
      <c r="Q3092" t="b">
        <v>0</v>
      </c>
      <c r="R3092" t="s">
        <v>8303</v>
      </c>
      <c r="S3092" s="6">
        <f>Table1[[#This Row],[pledged]]/Table1[[#This Row],[goal]]</f>
        <v>5.080888888888889E-2</v>
      </c>
      <c r="T3092" s="8">
        <f>IF(Table1[[#This Row],[pledged]]=0,"no backers",Table1[[#This Row],[pledged]]/Table1[[#This Row],[backers_count]])</f>
        <v>1270.2222222222222</v>
      </c>
      <c r="U3092" t="str">
        <f>LEFT(Table1[[#This Row],[Category and Sub-Category]],FIND("/",Table1[[#This Row],[Category and Sub-Category]])-1)</f>
        <v>theater</v>
      </c>
      <c r="V3092" t="str">
        <f>RIGHT(Table1[[#This Row],[Category and Sub-Category]],LEN(Table1[[#This Row],[Category and Sub-Category]])-FIND("/",Table1[[#This Row],[Category and Sub-Category]]))</f>
        <v>spaces</v>
      </c>
    </row>
    <row r="3093" spans="1:22" ht="57.6" x14ac:dyDescent="0.3">
      <c r="A3093">
        <v>3091</v>
      </c>
      <c r="B3093" s="3" t="s">
        <v>3091</v>
      </c>
      <c r="C3093" s="3" t="s">
        <v>7201</v>
      </c>
      <c r="D3093" s="12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>((Table1[[#This Row],[deadline]]/60)/60/24)+DATE(1970,1,1)</f>
        <v>42596.948414351849</v>
      </c>
      <c r="K3093">
        <v>1468622743</v>
      </c>
      <c r="L3093" s="11">
        <f>((Table1[[#This Row],[launched_at]]/60)/60/24)+DATE(1970,1,1)</f>
        <v>42566.948414351849</v>
      </c>
      <c r="M3093">
        <f>MONTH(Table1[[#This Row],[Date Created Conversion]])</f>
        <v>7</v>
      </c>
      <c r="N3093">
        <f>YEAR(Table1[[#This Row],[Date Created Conversion]])</f>
        <v>2016</v>
      </c>
      <c r="O3093" t="b">
        <v>0</v>
      </c>
      <c r="P3093">
        <v>9</v>
      </c>
      <c r="Q3093" t="b">
        <v>0</v>
      </c>
      <c r="R3093" t="s">
        <v>8303</v>
      </c>
      <c r="S3093" s="6">
        <f>Table1[[#This Row],[pledged]]/Table1[[#This Row],[goal]]</f>
        <v>0.15920000000000001</v>
      </c>
      <c r="T3093" s="8">
        <f>IF(Table1[[#This Row],[pledged]]=0,"no backers",Table1[[#This Row],[pledged]]/Table1[[#This Row],[backers_count]])</f>
        <v>88.444444444444443</v>
      </c>
      <c r="U3093" t="str">
        <f>LEFT(Table1[[#This Row],[Category and Sub-Category]],FIND("/",Table1[[#This Row],[Category and Sub-Category]])-1)</f>
        <v>theater</v>
      </c>
      <c r="V3093" t="str">
        <f>RIGHT(Table1[[#This Row],[Category and Sub-Category]],LEN(Table1[[#This Row],[Category and Sub-Category]])-FIND("/",Table1[[#This Row],[Category and Sub-Category]]))</f>
        <v>spaces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 s="12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>((Table1[[#This Row],[deadline]]/60)/60/24)+DATE(1970,1,1)</f>
        <v>42292.916666666672</v>
      </c>
      <c r="K3094">
        <v>1441723912</v>
      </c>
      <c r="L3094" s="11">
        <f>((Table1[[#This Row],[launched_at]]/60)/60/24)+DATE(1970,1,1)</f>
        <v>42255.619351851856</v>
      </c>
      <c r="M3094">
        <f>MONTH(Table1[[#This Row],[Date Created Conversion]])</f>
        <v>9</v>
      </c>
      <c r="N3094">
        <f>YEAR(Table1[[#This Row],[Date Created Conversion]])</f>
        <v>2015</v>
      </c>
      <c r="O3094" t="b">
        <v>0</v>
      </c>
      <c r="P3094">
        <v>21</v>
      </c>
      <c r="Q3094" t="b">
        <v>0</v>
      </c>
      <c r="R3094" t="s">
        <v>8303</v>
      </c>
      <c r="S3094" s="6">
        <f>Table1[[#This Row],[pledged]]/Table1[[#This Row],[goal]]</f>
        <v>1.1831900000000001E-2</v>
      </c>
      <c r="T3094" s="8">
        <f>IF(Table1[[#This Row],[pledged]]=0,"no backers",Table1[[#This Row],[pledged]]/Table1[[#This Row],[backers_count]])</f>
        <v>56.342380952380957</v>
      </c>
      <c r="U3094" t="str">
        <f>LEFT(Table1[[#This Row],[Category and Sub-Category]],FIND("/",Table1[[#This Row],[Category and Sub-Category]])-1)</f>
        <v>theater</v>
      </c>
      <c r="V3094" t="str">
        <f>RIGHT(Table1[[#This Row],[Category and Sub-Category]],LEN(Table1[[#This Row],[Category and Sub-Category]])-FIND("/",Table1[[#This Row],[Category and Sub-Category]]))</f>
        <v>spaces</v>
      </c>
    </row>
    <row r="3095" spans="1:22" ht="57.6" x14ac:dyDescent="0.3">
      <c r="A3095">
        <v>3093</v>
      </c>
      <c r="B3095" s="3" t="s">
        <v>3093</v>
      </c>
      <c r="C3095" s="3" t="s">
        <v>7203</v>
      </c>
      <c r="D3095" s="12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>((Table1[[#This Row],[deadline]]/60)/60/24)+DATE(1970,1,1)</f>
        <v>41791.165972222225</v>
      </c>
      <c r="K3095">
        <v>1398980941</v>
      </c>
      <c r="L3095" s="11">
        <f>((Table1[[#This Row],[launched_at]]/60)/60/24)+DATE(1970,1,1)</f>
        <v>41760.909039351849</v>
      </c>
      <c r="M3095">
        <f>MONTH(Table1[[#This Row],[Date Created Conversion]])</f>
        <v>5</v>
      </c>
      <c r="N3095">
        <f>YEAR(Table1[[#This Row],[Date Created Conversion]])</f>
        <v>2014</v>
      </c>
      <c r="O3095" t="b">
        <v>0</v>
      </c>
      <c r="P3095">
        <v>17</v>
      </c>
      <c r="Q3095" t="b">
        <v>0</v>
      </c>
      <c r="R3095" t="s">
        <v>8303</v>
      </c>
      <c r="S3095" s="6">
        <f>Table1[[#This Row],[pledged]]/Table1[[#This Row],[goal]]</f>
        <v>0.22750000000000001</v>
      </c>
      <c r="T3095" s="8">
        <f>IF(Table1[[#This Row],[pledged]]=0,"no backers",Table1[[#This Row],[pledged]]/Table1[[#This Row],[backers_count]])</f>
        <v>53.529411764705884</v>
      </c>
      <c r="U3095" t="str">
        <f>LEFT(Table1[[#This Row],[Category and Sub-Category]],FIND("/",Table1[[#This Row],[Category and Sub-Category]])-1)</f>
        <v>theater</v>
      </c>
      <c r="V3095" t="str">
        <f>RIGHT(Table1[[#This Row],[Category and Sub-Category]],LEN(Table1[[#This Row],[Category and Sub-Category]])-FIND("/",Table1[[#This Row],[Category and Sub-Category]]))</f>
        <v>spaces</v>
      </c>
    </row>
    <row r="3096" spans="1:22" ht="43.2" x14ac:dyDescent="0.3">
      <c r="A3096">
        <v>3094</v>
      </c>
      <c r="B3096" s="3" t="s">
        <v>3094</v>
      </c>
      <c r="C3096" s="3" t="s">
        <v>7204</v>
      </c>
      <c r="D3096" s="12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>((Table1[[#This Row],[deadline]]/60)/60/24)+DATE(1970,1,1)</f>
        <v>42267.795787037037</v>
      </c>
      <c r="K3096">
        <v>1437591956</v>
      </c>
      <c r="L3096" s="11">
        <f>((Table1[[#This Row],[launched_at]]/60)/60/24)+DATE(1970,1,1)</f>
        <v>42207.795787037037</v>
      </c>
      <c r="M3096">
        <f>MONTH(Table1[[#This Row],[Date Created Conversion]])</f>
        <v>7</v>
      </c>
      <c r="N3096">
        <f>YEAR(Table1[[#This Row],[Date Created Conversion]])</f>
        <v>2015</v>
      </c>
      <c r="O3096" t="b">
        <v>0</v>
      </c>
      <c r="P3096">
        <v>1</v>
      </c>
      <c r="Q3096" t="b">
        <v>0</v>
      </c>
      <c r="R3096" t="s">
        <v>8303</v>
      </c>
      <c r="S3096" s="6">
        <f>Table1[[#This Row],[pledged]]/Table1[[#This Row],[goal]]</f>
        <v>2.5000000000000001E-4</v>
      </c>
      <c r="T3096" s="8">
        <f>IF(Table1[[#This Row],[pledged]]=0,"no backers",Table1[[#This Row],[pledged]]/Table1[[#This Row],[backers_count]])</f>
        <v>25</v>
      </c>
      <c r="U3096" t="str">
        <f>LEFT(Table1[[#This Row],[Category and Sub-Category]],FIND("/",Table1[[#This Row],[Category and Sub-Category]])-1)</f>
        <v>theater</v>
      </c>
      <c r="V3096" t="str">
        <f>RIGHT(Table1[[#This Row],[Category and Sub-Category]],LEN(Table1[[#This Row],[Category and Sub-Category]])-FIND("/",Table1[[#This Row],[Category and Sub-Category]]))</f>
        <v>spaces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 s="12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>((Table1[[#This Row],[deadline]]/60)/60/24)+DATE(1970,1,1)</f>
        <v>42583.025231481486</v>
      </c>
      <c r="K3097">
        <v>1464827780</v>
      </c>
      <c r="L3097" s="11">
        <f>((Table1[[#This Row],[launched_at]]/60)/60/24)+DATE(1970,1,1)</f>
        <v>42523.025231481486</v>
      </c>
      <c r="M3097">
        <f>MONTH(Table1[[#This Row],[Date Created Conversion]])</f>
        <v>6</v>
      </c>
      <c r="N3097">
        <f>YEAR(Table1[[#This Row],[Date Created Conversion]])</f>
        <v>2016</v>
      </c>
      <c r="O3097" t="b">
        <v>0</v>
      </c>
      <c r="P3097">
        <v>1</v>
      </c>
      <c r="Q3097" t="b">
        <v>0</v>
      </c>
      <c r="R3097" t="s">
        <v>8303</v>
      </c>
      <c r="S3097" s="6">
        <f>Table1[[#This Row],[pledged]]/Table1[[#This Row],[goal]]</f>
        <v>3.351206434316354E-3</v>
      </c>
      <c r="T3097" s="8">
        <f>IF(Table1[[#This Row],[pledged]]=0,"no backers",Table1[[#This Row],[pledged]]/Table1[[#This Row],[backers_count]])</f>
        <v>50</v>
      </c>
      <c r="U3097" t="str">
        <f>LEFT(Table1[[#This Row],[Category and Sub-Category]],FIND("/",Table1[[#This Row],[Category and Sub-Category]])-1)</f>
        <v>theater</v>
      </c>
      <c r="V3097" t="str">
        <f>RIGHT(Table1[[#This Row],[Category and Sub-Category]],LEN(Table1[[#This Row],[Category and Sub-Category]])-FIND("/",Table1[[#This Row],[Category and Sub-Category]]))</f>
        <v>spaces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 s="12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>((Table1[[#This Row],[deadline]]/60)/60/24)+DATE(1970,1,1)</f>
        <v>42144.825532407413</v>
      </c>
      <c r="K3098">
        <v>1429559326</v>
      </c>
      <c r="L3098" s="11">
        <f>((Table1[[#This Row],[launched_at]]/60)/60/24)+DATE(1970,1,1)</f>
        <v>42114.825532407413</v>
      </c>
      <c r="M3098">
        <f>MONTH(Table1[[#This Row],[Date Created Conversion]])</f>
        <v>4</v>
      </c>
      <c r="N3098">
        <f>YEAR(Table1[[#This Row],[Date Created Conversion]])</f>
        <v>2015</v>
      </c>
      <c r="O3098" t="b">
        <v>0</v>
      </c>
      <c r="P3098">
        <v>14</v>
      </c>
      <c r="Q3098" t="b">
        <v>0</v>
      </c>
      <c r="R3098" t="s">
        <v>8303</v>
      </c>
      <c r="S3098" s="6">
        <f>Table1[[#This Row],[pledged]]/Table1[[#This Row],[goal]]</f>
        <v>3.9750000000000001E-2</v>
      </c>
      <c r="T3098" s="8">
        <f>IF(Table1[[#This Row],[pledged]]=0,"no backers",Table1[[#This Row],[pledged]]/Table1[[#This Row],[backers_count]])</f>
        <v>56.785714285714285</v>
      </c>
      <c r="U3098" t="str">
        <f>LEFT(Table1[[#This Row],[Category and Sub-Category]],FIND("/",Table1[[#This Row],[Category and Sub-Category]])-1)</f>
        <v>theater</v>
      </c>
      <c r="V3098" t="str">
        <f>RIGHT(Table1[[#This Row],[Category and Sub-Category]],LEN(Table1[[#This Row],[Category and Sub-Category]])-FIND("/",Table1[[#This Row],[Category and Sub-Category]]))</f>
        <v>spaces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 s="12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>((Table1[[#This Row],[deadline]]/60)/60/24)+DATE(1970,1,1)</f>
        <v>42650.583333333328</v>
      </c>
      <c r="K3099">
        <v>1474027501</v>
      </c>
      <c r="L3099" s="11">
        <f>((Table1[[#This Row],[launched_at]]/60)/60/24)+DATE(1970,1,1)</f>
        <v>42629.503483796296</v>
      </c>
      <c r="M3099">
        <f>MONTH(Table1[[#This Row],[Date Created Conversion]])</f>
        <v>9</v>
      </c>
      <c r="N3099">
        <f>YEAR(Table1[[#This Row],[Date Created Conversion]])</f>
        <v>2016</v>
      </c>
      <c r="O3099" t="b">
        <v>0</v>
      </c>
      <c r="P3099">
        <v>42</v>
      </c>
      <c r="Q3099" t="b">
        <v>0</v>
      </c>
      <c r="R3099" t="s">
        <v>8303</v>
      </c>
      <c r="S3099" s="6">
        <f>Table1[[#This Row],[pledged]]/Table1[[#This Row],[goal]]</f>
        <v>0.17150000000000001</v>
      </c>
      <c r="T3099" s="8">
        <f>IF(Table1[[#This Row],[pledged]]=0,"no backers",Table1[[#This Row],[pledged]]/Table1[[#This Row],[backers_count]])</f>
        <v>40.833333333333336</v>
      </c>
      <c r="U3099" t="str">
        <f>LEFT(Table1[[#This Row],[Category and Sub-Category]],FIND("/",Table1[[#This Row],[Category and Sub-Category]])-1)</f>
        <v>theater</v>
      </c>
      <c r="V3099" t="str">
        <f>RIGHT(Table1[[#This Row],[Category and Sub-Category]],LEN(Table1[[#This Row],[Category and Sub-Category]])-FIND("/",Table1[[#This Row],[Category and Sub-Category]]))</f>
        <v>spaces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 s="12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>((Table1[[#This Row],[deadline]]/60)/60/24)+DATE(1970,1,1)</f>
        <v>42408.01180555555</v>
      </c>
      <c r="K3100">
        <v>1450724449</v>
      </c>
      <c r="L3100" s="11">
        <f>((Table1[[#This Row],[launched_at]]/60)/60/24)+DATE(1970,1,1)</f>
        <v>42359.792233796295</v>
      </c>
      <c r="M3100">
        <f>MONTH(Table1[[#This Row],[Date Created Conversion]])</f>
        <v>12</v>
      </c>
      <c r="N3100">
        <f>YEAR(Table1[[#This Row],[Date Created Conversion]])</f>
        <v>2015</v>
      </c>
      <c r="O3100" t="b">
        <v>0</v>
      </c>
      <c r="P3100">
        <v>27</v>
      </c>
      <c r="Q3100" t="b">
        <v>0</v>
      </c>
      <c r="R3100" t="s">
        <v>8303</v>
      </c>
      <c r="S3100" s="6">
        <f>Table1[[#This Row],[pledged]]/Table1[[#This Row],[goal]]</f>
        <v>3.608004104669061E-2</v>
      </c>
      <c r="T3100" s="8">
        <f>IF(Table1[[#This Row],[pledged]]=0,"no backers",Table1[[#This Row],[pledged]]/Table1[[#This Row],[backers_count]])</f>
        <v>65.111111111111114</v>
      </c>
      <c r="U3100" t="str">
        <f>LEFT(Table1[[#This Row],[Category and Sub-Category]],FIND("/",Table1[[#This Row],[Category and Sub-Category]])-1)</f>
        <v>theater</v>
      </c>
      <c r="V3100" t="str">
        <f>RIGHT(Table1[[#This Row],[Category and Sub-Category]],LEN(Table1[[#This Row],[Category and Sub-Category]])-FIND("/",Table1[[#This Row],[Category and Sub-Category]]))</f>
        <v>spaces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 s="12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>((Table1[[#This Row],[deadline]]/60)/60/24)+DATE(1970,1,1)</f>
        <v>42412.189710648148</v>
      </c>
      <c r="K3101">
        <v>1452659591</v>
      </c>
      <c r="L3101" s="11">
        <f>((Table1[[#This Row],[launched_at]]/60)/60/24)+DATE(1970,1,1)</f>
        <v>42382.189710648148</v>
      </c>
      <c r="M3101">
        <f>MONTH(Table1[[#This Row],[Date Created Conversion]])</f>
        <v>1</v>
      </c>
      <c r="N3101">
        <f>YEAR(Table1[[#This Row],[Date Created Conversion]])</f>
        <v>2016</v>
      </c>
      <c r="O3101" t="b">
        <v>0</v>
      </c>
      <c r="P3101">
        <v>5</v>
      </c>
      <c r="Q3101" t="b">
        <v>0</v>
      </c>
      <c r="R3101" t="s">
        <v>8303</v>
      </c>
      <c r="S3101" s="6">
        <f>Table1[[#This Row],[pledged]]/Table1[[#This Row],[goal]]</f>
        <v>0.13900000000000001</v>
      </c>
      <c r="T3101" s="8">
        <f>IF(Table1[[#This Row],[pledged]]=0,"no backers",Table1[[#This Row],[pledged]]/Table1[[#This Row],[backers_count]])</f>
        <v>55.6</v>
      </c>
      <c r="U3101" t="str">
        <f>LEFT(Table1[[#This Row],[Category and Sub-Category]],FIND("/",Table1[[#This Row],[Category and Sub-Category]])-1)</f>
        <v>theater</v>
      </c>
      <c r="V3101" t="str">
        <f>RIGHT(Table1[[#This Row],[Category and Sub-Category]],LEN(Table1[[#This Row],[Category and Sub-Category]])-FIND("/",Table1[[#This Row],[Category and Sub-Category]]))</f>
        <v>spaces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 s="1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>((Table1[[#This Row],[deadline]]/60)/60/24)+DATE(1970,1,1)</f>
        <v>41932.622395833336</v>
      </c>
      <c r="K3102">
        <v>1411224975</v>
      </c>
      <c r="L3102" s="11">
        <f>((Table1[[#This Row],[launched_at]]/60)/60/24)+DATE(1970,1,1)</f>
        <v>41902.622395833336</v>
      </c>
      <c r="M3102">
        <f>MONTH(Table1[[#This Row],[Date Created Conversion]])</f>
        <v>9</v>
      </c>
      <c r="N3102">
        <f>YEAR(Table1[[#This Row],[Date Created Conversion]])</f>
        <v>2014</v>
      </c>
      <c r="O3102" t="b">
        <v>0</v>
      </c>
      <c r="P3102">
        <v>13</v>
      </c>
      <c r="Q3102" t="b">
        <v>0</v>
      </c>
      <c r="R3102" t="s">
        <v>8303</v>
      </c>
      <c r="S3102" s="6">
        <f>Table1[[#This Row],[pledged]]/Table1[[#This Row],[goal]]</f>
        <v>0.15225</v>
      </c>
      <c r="T3102" s="8">
        <f>IF(Table1[[#This Row],[pledged]]=0,"no backers",Table1[[#This Row],[pledged]]/Table1[[#This Row],[backers_count]])</f>
        <v>140.53846153846155</v>
      </c>
      <c r="U3102" t="str">
        <f>LEFT(Table1[[#This Row],[Category and Sub-Category]],FIND("/",Table1[[#This Row],[Category and Sub-Category]])-1)</f>
        <v>theater</v>
      </c>
      <c r="V3102" t="str">
        <f>RIGHT(Table1[[#This Row],[Category and Sub-Category]],LEN(Table1[[#This Row],[Category and Sub-Category]])-FIND("/",Table1[[#This Row],[Category and Sub-Category]]))</f>
        <v>spaces</v>
      </c>
    </row>
    <row r="3103" spans="1:22" ht="57.6" x14ac:dyDescent="0.3">
      <c r="A3103">
        <v>3101</v>
      </c>
      <c r="B3103" s="3" t="s">
        <v>3101</v>
      </c>
      <c r="C3103" s="3" t="s">
        <v>7211</v>
      </c>
      <c r="D3103" s="12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>((Table1[[#This Row],[deadline]]/60)/60/24)+DATE(1970,1,1)</f>
        <v>42201.330555555556</v>
      </c>
      <c r="K3103">
        <v>1434445937</v>
      </c>
      <c r="L3103" s="11">
        <f>((Table1[[#This Row],[launched_at]]/60)/60/24)+DATE(1970,1,1)</f>
        <v>42171.383530092593</v>
      </c>
      <c r="M3103">
        <f>MONTH(Table1[[#This Row],[Date Created Conversion]])</f>
        <v>6</v>
      </c>
      <c r="N3103">
        <f>YEAR(Table1[[#This Row],[Date Created Conversion]])</f>
        <v>2015</v>
      </c>
      <c r="O3103" t="b">
        <v>0</v>
      </c>
      <c r="P3103">
        <v>12</v>
      </c>
      <c r="Q3103" t="b">
        <v>0</v>
      </c>
      <c r="R3103" t="s">
        <v>8303</v>
      </c>
      <c r="S3103" s="6">
        <f>Table1[[#This Row],[pledged]]/Table1[[#This Row],[goal]]</f>
        <v>0.12</v>
      </c>
      <c r="T3103" s="8">
        <f>IF(Table1[[#This Row],[pledged]]=0,"no backers",Table1[[#This Row],[pledged]]/Table1[[#This Row],[backers_count]])</f>
        <v>25</v>
      </c>
      <c r="U3103" t="str">
        <f>LEFT(Table1[[#This Row],[Category and Sub-Category]],FIND("/",Table1[[#This Row],[Category and Sub-Category]])-1)</f>
        <v>theater</v>
      </c>
      <c r="V3103" t="str">
        <f>RIGHT(Table1[[#This Row],[Category and Sub-Category]],LEN(Table1[[#This Row],[Category and Sub-Category]])-FIND("/",Table1[[#This Row],[Category and Sub-Category]]))</f>
        <v>spaces</v>
      </c>
    </row>
    <row r="3104" spans="1:22" ht="57.6" x14ac:dyDescent="0.3">
      <c r="A3104">
        <v>3102</v>
      </c>
      <c r="B3104" s="3" t="s">
        <v>3102</v>
      </c>
      <c r="C3104" s="3" t="s">
        <v>7212</v>
      </c>
      <c r="D3104" s="12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>((Table1[[#This Row],[deadline]]/60)/60/24)+DATE(1970,1,1)</f>
        <v>42605.340486111112</v>
      </c>
      <c r="K3104">
        <v>1467619818</v>
      </c>
      <c r="L3104" s="11">
        <f>((Table1[[#This Row],[launched_at]]/60)/60/24)+DATE(1970,1,1)</f>
        <v>42555.340486111112</v>
      </c>
      <c r="M3104">
        <f>MONTH(Table1[[#This Row],[Date Created Conversion]])</f>
        <v>7</v>
      </c>
      <c r="N3104">
        <f>YEAR(Table1[[#This Row],[Date Created Conversion]])</f>
        <v>2016</v>
      </c>
      <c r="O3104" t="b">
        <v>0</v>
      </c>
      <c r="P3104">
        <v>90</v>
      </c>
      <c r="Q3104" t="b">
        <v>0</v>
      </c>
      <c r="R3104" t="s">
        <v>8303</v>
      </c>
      <c r="S3104" s="6">
        <f>Table1[[#This Row],[pledged]]/Table1[[#This Row],[goal]]</f>
        <v>0.391125</v>
      </c>
      <c r="T3104" s="8">
        <f>IF(Table1[[#This Row],[pledged]]=0,"no backers",Table1[[#This Row],[pledged]]/Table1[[#This Row],[backers_count]])</f>
        <v>69.533333333333331</v>
      </c>
      <c r="U3104" t="str">
        <f>LEFT(Table1[[#This Row],[Category and Sub-Category]],FIND("/",Table1[[#This Row],[Category and Sub-Category]])-1)</f>
        <v>theater</v>
      </c>
      <c r="V3104" t="str">
        <f>RIGHT(Table1[[#This Row],[Category and Sub-Category]],LEN(Table1[[#This Row],[Category and Sub-Category]])-FIND("/",Table1[[#This Row],[Category and Sub-Category]]))</f>
        <v>spaces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 s="12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>((Table1[[#This Row],[deadline]]/60)/60/24)+DATE(1970,1,1)</f>
        <v>42167.156319444446</v>
      </c>
      <c r="K3105">
        <v>1428896706</v>
      </c>
      <c r="L3105" s="11">
        <f>((Table1[[#This Row],[launched_at]]/60)/60/24)+DATE(1970,1,1)</f>
        <v>42107.156319444446</v>
      </c>
      <c r="M3105">
        <f>MONTH(Table1[[#This Row],[Date Created Conversion]])</f>
        <v>4</v>
      </c>
      <c r="N3105">
        <f>YEAR(Table1[[#This Row],[Date Created Conversion]])</f>
        <v>2015</v>
      </c>
      <c r="O3105" t="b">
        <v>0</v>
      </c>
      <c r="P3105">
        <v>2</v>
      </c>
      <c r="Q3105" t="b">
        <v>0</v>
      </c>
      <c r="R3105" t="s">
        <v>8303</v>
      </c>
      <c r="S3105" s="6">
        <f>Table1[[#This Row],[pledged]]/Table1[[#This Row],[goal]]</f>
        <v>2.6829268292682929E-3</v>
      </c>
      <c r="T3105" s="8">
        <f>IF(Table1[[#This Row],[pledged]]=0,"no backers",Table1[[#This Row],[pledged]]/Table1[[#This Row],[backers_count]])</f>
        <v>5.5</v>
      </c>
      <c r="U3105" t="str">
        <f>LEFT(Table1[[#This Row],[Category and Sub-Category]],FIND("/",Table1[[#This Row],[Category and Sub-Category]])-1)</f>
        <v>theater</v>
      </c>
      <c r="V3105" t="str">
        <f>RIGHT(Table1[[#This Row],[Category and Sub-Category]],LEN(Table1[[#This Row],[Category and Sub-Category]])-FIND("/",Table1[[#This Row],[Category and Sub-Category]]))</f>
        <v>spaces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 s="12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>((Table1[[#This Row],[deadline]]/60)/60/24)+DATE(1970,1,1)</f>
        <v>42038.083333333328</v>
      </c>
      <c r="K3106">
        <v>1420235311</v>
      </c>
      <c r="L3106" s="11">
        <f>((Table1[[#This Row],[launched_at]]/60)/60/24)+DATE(1970,1,1)</f>
        <v>42006.908692129626</v>
      </c>
      <c r="M3106">
        <f>MONTH(Table1[[#This Row],[Date Created Conversion]])</f>
        <v>1</v>
      </c>
      <c r="N3106">
        <f>YEAR(Table1[[#This Row],[Date Created Conversion]])</f>
        <v>2015</v>
      </c>
      <c r="O3106" t="b">
        <v>0</v>
      </c>
      <c r="P3106">
        <v>5</v>
      </c>
      <c r="Q3106" t="b">
        <v>0</v>
      </c>
      <c r="R3106" t="s">
        <v>8303</v>
      </c>
      <c r="S3106" s="6">
        <f>Table1[[#This Row],[pledged]]/Table1[[#This Row],[goal]]</f>
        <v>0.29625000000000001</v>
      </c>
      <c r="T3106" s="8">
        <f>IF(Table1[[#This Row],[pledged]]=0,"no backers",Table1[[#This Row],[pledged]]/Table1[[#This Row],[backers_count]])</f>
        <v>237</v>
      </c>
      <c r="U3106" t="str">
        <f>LEFT(Table1[[#This Row],[Category and Sub-Category]],FIND("/",Table1[[#This Row],[Category and Sub-Category]])-1)</f>
        <v>theater</v>
      </c>
      <c r="V3106" t="str">
        <f>RIGHT(Table1[[#This Row],[Category and Sub-Category]],LEN(Table1[[#This Row],[Category and Sub-Category]])-FIND("/",Table1[[#This Row],[Category and Sub-Category]]))</f>
        <v>spaces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 s="12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>((Table1[[#This Row],[deadline]]/60)/60/24)+DATE(1970,1,1)</f>
        <v>41931.208333333336</v>
      </c>
      <c r="K3107">
        <v>1408986916</v>
      </c>
      <c r="L3107" s="11">
        <f>((Table1[[#This Row],[launched_at]]/60)/60/24)+DATE(1970,1,1)</f>
        <v>41876.718935185185</v>
      </c>
      <c r="M3107">
        <f>MONTH(Table1[[#This Row],[Date Created Conversion]])</f>
        <v>8</v>
      </c>
      <c r="N3107">
        <f>YEAR(Table1[[#This Row],[Date Created Conversion]])</f>
        <v>2014</v>
      </c>
      <c r="O3107" t="b">
        <v>0</v>
      </c>
      <c r="P3107">
        <v>31</v>
      </c>
      <c r="Q3107" t="b">
        <v>0</v>
      </c>
      <c r="R3107" t="s">
        <v>8303</v>
      </c>
      <c r="S3107" s="6">
        <f>Table1[[#This Row],[pledged]]/Table1[[#This Row],[goal]]</f>
        <v>0.4236099230111206</v>
      </c>
      <c r="T3107" s="8">
        <f>IF(Table1[[#This Row],[pledged]]=0,"no backers",Table1[[#This Row],[pledged]]/Table1[[#This Row],[backers_count]])</f>
        <v>79.870967741935488</v>
      </c>
      <c r="U3107" t="str">
        <f>LEFT(Table1[[#This Row],[Category and Sub-Category]],FIND("/",Table1[[#This Row],[Category and Sub-Category]])-1)</f>
        <v>theater</v>
      </c>
      <c r="V3107" t="str">
        <f>RIGHT(Table1[[#This Row],[Category and Sub-Category]],LEN(Table1[[#This Row],[Category and Sub-Category]])-FIND("/",Table1[[#This Row],[Category and Sub-Category]]))</f>
        <v>spaces</v>
      </c>
    </row>
    <row r="3108" spans="1:22" ht="57.6" x14ac:dyDescent="0.3">
      <c r="A3108">
        <v>3106</v>
      </c>
      <c r="B3108" s="3" t="s">
        <v>3106</v>
      </c>
      <c r="C3108" s="3" t="s">
        <v>7216</v>
      </c>
      <c r="D3108" s="12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>((Table1[[#This Row],[deadline]]/60)/60/24)+DATE(1970,1,1)</f>
        <v>42263.916666666672</v>
      </c>
      <c r="K3108">
        <v>1440497876</v>
      </c>
      <c r="L3108" s="11">
        <f>((Table1[[#This Row],[launched_at]]/60)/60/24)+DATE(1970,1,1)</f>
        <v>42241.429120370376</v>
      </c>
      <c r="M3108">
        <f>MONTH(Table1[[#This Row],[Date Created Conversion]])</f>
        <v>8</v>
      </c>
      <c r="N3108">
        <f>YEAR(Table1[[#This Row],[Date Created Conversion]])</f>
        <v>2015</v>
      </c>
      <c r="O3108" t="b">
        <v>0</v>
      </c>
      <c r="P3108">
        <v>4</v>
      </c>
      <c r="Q3108" t="b">
        <v>0</v>
      </c>
      <c r="R3108" t="s">
        <v>8303</v>
      </c>
      <c r="S3108" s="6">
        <f>Table1[[#This Row],[pledged]]/Table1[[#This Row],[goal]]</f>
        <v>4.1000000000000002E-2</v>
      </c>
      <c r="T3108" s="8">
        <f>IF(Table1[[#This Row],[pledged]]=0,"no backers",Table1[[#This Row],[pledged]]/Table1[[#This Row],[backers_count]])</f>
        <v>10.25</v>
      </c>
      <c r="U3108" t="str">
        <f>LEFT(Table1[[#This Row],[Category and Sub-Category]],FIND("/",Table1[[#This Row],[Category and Sub-Category]])-1)</f>
        <v>theater</v>
      </c>
      <c r="V3108" t="str">
        <f>RIGHT(Table1[[#This Row],[Category and Sub-Category]],LEN(Table1[[#This Row],[Category and Sub-Category]])-FIND("/",Table1[[#This Row],[Category and Sub-Category]]))</f>
        <v>spaces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 s="12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>((Table1[[#This Row],[deadline]]/60)/60/24)+DATE(1970,1,1)</f>
        <v>42135.814247685179</v>
      </c>
      <c r="K3109">
        <v>1430767951</v>
      </c>
      <c r="L3109" s="11">
        <f>((Table1[[#This Row],[launched_at]]/60)/60/24)+DATE(1970,1,1)</f>
        <v>42128.814247685179</v>
      </c>
      <c r="M3109">
        <f>MONTH(Table1[[#This Row],[Date Created Conversion]])</f>
        <v>5</v>
      </c>
      <c r="N3109">
        <f>YEAR(Table1[[#This Row],[Date Created Conversion]])</f>
        <v>2015</v>
      </c>
      <c r="O3109" t="b">
        <v>0</v>
      </c>
      <c r="P3109">
        <v>29</v>
      </c>
      <c r="Q3109" t="b">
        <v>0</v>
      </c>
      <c r="R3109" t="s">
        <v>8303</v>
      </c>
      <c r="S3109" s="6">
        <f>Table1[[#This Row],[pledged]]/Table1[[#This Row],[goal]]</f>
        <v>0.197625</v>
      </c>
      <c r="T3109" s="8">
        <f>IF(Table1[[#This Row],[pledged]]=0,"no backers",Table1[[#This Row],[pledged]]/Table1[[#This Row],[backers_count]])</f>
        <v>272.58620689655174</v>
      </c>
      <c r="U3109" t="str">
        <f>LEFT(Table1[[#This Row],[Category and Sub-Category]],FIND("/",Table1[[#This Row],[Category and Sub-Category]])-1)</f>
        <v>theater</v>
      </c>
      <c r="V3109" t="str">
        <f>RIGHT(Table1[[#This Row],[Category and Sub-Category]],LEN(Table1[[#This Row],[Category and Sub-Category]])-FIND("/",Table1[[#This Row],[Category and Sub-Category]]))</f>
        <v>spaces</v>
      </c>
    </row>
    <row r="3110" spans="1:22" x14ac:dyDescent="0.3">
      <c r="A3110">
        <v>3108</v>
      </c>
      <c r="B3110" s="3" t="s">
        <v>3108</v>
      </c>
      <c r="C3110" s="3" t="s">
        <v>7218</v>
      </c>
      <c r="D3110" s="12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>((Table1[[#This Row],[deadline]]/60)/60/24)+DATE(1970,1,1)</f>
        <v>42122.638819444444</v>
      </c>
      <c r="K3110">
        <v>1425053994</v>
      </c>
      <c r="L3110" s="11">
        <f>((Table1[[#This Row],[launched_at]]/60)/60/24)+DATE(1970,1,1)</f>
        <v>42062.680486111116</v>
      </c>
      <c r="M3110">
        <f>MONTH(Table1[[#This Row],[Date Created Conversion]])</f>
        <v>2</v>
      </c>
      <c r="N3110">
        <f>YEAR(Table1[[#This Row],[Date Created Conversion]])</f>
        <v>2015</v>
      </c>
      <c r="O3110" t="b">
        <v>0</v>
      </c>
      <c r="P3110">
        <v>2</v>
      </c>
      <c r="Q3110" t="b">
        <v>0</v>
      </c>
      <c r="R3110" t="s">
        <v>8303</v>
      </c>
      <c r="S3110" s="6">
        <f>Table1[[#This Row],[pledged]]/Table1[[#This Row],[goal]]</f>
        <v>5.1999999999999995E-4</v>
      </c>
      <c r="T3110" s="8">
        <f>IF(Table1[[#This Row],[pledged]]=0,"no backers",Table1[[#This Row],[pledged]]/Table1[[#This Row],[backers_count]])</f>
        <v>13</v>
      </c>
      <c r="U3110" t="str">
        <f>LEFT(Table1[[#This Row],[Category and Sub-Category]],FIND("/",Table1[[#This Row],[Category and Sub-Category]])-1)</f>
        <v>theater</v>
      </c>
      <c r="V3110" t="str">
        <f>RIGHT(Table1[[#This Row],[Category and Sub-Category]],LEN(Table1[[#This Row],[Category and Sub-Category]])-FIND("/",Table1[[#This Row],[Category and Sub-Category]]))</f>
        <v>spaces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 s="12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>((Table1[[#This Row],[deadline]]/60)/60/24)+DATE(1970,1,1)</f>
        <v>41879.125115740739</v>
      </c>
      <c r="K3111">
        <v>1406170810</v>
      </c>
      <c r="L3111" s="11">
        <f>((Table1[[#This Row],[launched_at]]/60)/60/24)+DATE(1970,1,1)</f>
        <v>41844.125115740739</v>
      </c>
      <c r="M3111">
        <f>MONTH(Table1[[#This Row],[Date Created Conversion]])</f>
        <v>7</v>
      </c>
      <c r="N3111">
        <f>YEAR(Table1[[#This Row],[Date Created Conversion]])</f>
        <v>2014</v>
      </c>
      <c r="O3111" t="b">
        <v>0</v>
      </c>
      <c r="P3111">
        <v>114</v>
      </c>
      <c r="Q3111" t="b">
        <v>0</v>
      </c>
      <c r="R3111" t="s">
        <v>8303</v>
      </c>
      <c r="S3111" s="6">
        <f>Table1[[#This Row],[pledged]]/Table1[[#This Row],[goal]]</f>
        <v>0.25030188679245285</v>
      </c>
      <c r="T3111" s="8">
        <f>IF(Table1[[#This Row],[pledged]]=0,"no backers",Table1[[#This Row],[pledged]]/Table1[[#This Row],[backers_count]])</f>
        <v>58.184210526315788</v>
      </c>
      <c r="U3111" t="str">
        <f>LEFT(Table1[[#This Row],[Category and Sub-Category]],FIND("/",Table1[[#This Row],[Category and Sub-Category]])-1)</f>
        <v>theater</v>
      </c>
      <c r="V3111" t="str">
        <f>RIGHT(Table1[[#This Row],[Category and Sub-Category]],LEN(Table1[[#This Row],[Category and Sub-Category]])-FIND("/",Table1[[#This Row],[Category and Sub-Category]]))</f>
        <v>spaces</v>
      </c>
    </row>
    <row r="3112" spans="1:22" ht="43.2" x14ac:dyDescent="0.3">
      <c r="A3112">
        <v>3110</v>
      </c>
      <c r="B3112" s="3" t="s">
        <v>3110</v>
      </c>
      <c r="C3112" s="3" t="s">
        <v>7220</v>
      </c>
      <c r="D3112" s="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>((Table1[[#This Row],[deadline]]/60)/60/24)+DATE(1970,1,1)</f>
        <v>42785.031469907408</v>
      </c>
      <c r="K3112">
        <v>1484009119</v>
      </c>
      <c r="L3112" s="11">
        <f>((Table1[[#This Row],[launched_at]]/60)/60/24)+DATE(1970,1,1)</f>
        <v>42745.031469907408</v>
      </c>
      <c r="M3112">
        <f>MONTH(Table1[[#This Row],[Date Created Conversion]])</f>
        <v>1</v>
      </c>
      <c r="N3112">
        <f>YEAR(Table1[[#This Row],[Date Created Conversion]])</f>
        <v>2017</v>
      </c>
      <c r="O3112" t="b">
        <v>0</v>
      </c>
      <c r="P3112">
        <v>1</v>
      </c>
      <c r="Q3112" t="b">
        <v>0</v>
      </c>
      <c r="R3112" t="s">
        <v>8303</v>
      </c>
      <c r="S3112" s="6">
        <f>Table1[[#This Row],[pledged]]/Table1[[#This Row],[goal]]</f>
        <v>4.0000000000000002E-4</v>
      </c>
      <c r="T3112" s="8">
        <f>IF(Table1[[#This Row],[pledged]]=0,"no backers",Table1[[#This Row],[pledged]]/Table1[[#This Row],[backers_count]])</f>
        <v>10</v>
      </c>
      <c r="U3112" t="str">
        <f>LEFT(Table1[[#This Row],[Category and Sub-Category]],FIND("/",Table1[[#This Row],[Category and Sub-Category]])-1)</f>
        <v>theater</v>
      </c>
      <c r="V3112" t="str">
        <f>RIGHT(Table1[[#This Row],[Category and Sub-Category]],LEN(Table1[[#This Row],[Category and Sub-Category]])-FIND("/",Table1[[#This Row],[Category and Sub-Category]]))</f>
        <v>spaces</v>
      </c>
    </row>
    <row r="3113" spans="1:22" ht="43.2" x14ac:dyDescent="0.3">
      <c r="A3113">
        <v>3111</v>
      </c>
      <c r="B3113" s="3" t="s">
        <v>3111</v>
      </c>
      <c r="C3113" s="3" t="s">
        <v>7221</v>
      </c>
      <c r="D3113" s="12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>((Table1[[#This Row],[deadline]]/60)/60/24)+DATE(1970,1,1)</f>
        <v>41916.595138888886</v>
      </c>
      <c r="K3113">
        <v>1409753820</v>
      </c>
      <c r="L3113" s="11">
        <f>((Table1[[#This Row],[launched_at]]/60)/60/24)+DATE(1970,1,1)</f>
        <v>41885.595138888886</v>
      </c>
      <c r="M3113">
        <f>MONTH(Table1[[#This Row],[Date Created Conversion]])</f>
        <v>9</v>
      </c>
      <c r="N3113">
        <f>YEAR(Table1[[#This Row],[Date Created Conversion]])</f>
        <v>2014</v>
      </c>
      <c r="O3113" t="b">
        <v>0</v>
      </c>
      <c r="P3113">
        <v>76</v>
      </c>
      <c r="Q3113" t="b">
        <v>0</v>
      </c>
      <c r="R3113" t="s">
        <v>8303</v>
      </c>
      <c r="S3113" s="6">
        <f>Table1[[#This Row],[pledged]]/Table1[[#This Row],[goal]]</f>
        <v>0.26640000000000003</v>
      </c>
      <c r="T3113" s="8">
        <f>IF(Table1[[#This Row],[pledged]]=0,"no backers",Table1[[#This Row],[pledged]]/Table1[[#This Row],[backers_count]])</f>
        <v>70.10526315789474</v>
      </c>
      <c r="U3113" t="str">
        <f>LEFT(Table1[[#This Row],[Category and Sub-Category]],FIND("/",Table1[[#This Row],[Category and Sub-Category]])-1)</f>
        <v>theater</v>
      </c>
      <c r="V3113" t="str">
        <f>RIGHT(Table1[[#This Row],[Category and Sub-Category]],LEN(Table1[[#This Row],[Category and Sub-Category]])-FIND("/",Table1[[#This Row],[Category and Sub-Category]]))</f>
        <v>spaces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 s="12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>((Table1[[#This Row],[deadline]]/60)/60/24)+DATE(1970,1,1)</f>
        <v>42675.121921296297</v>
      </c>
      <c r="K3114">
        <v>1472784934</v>
      </c>
      <c r="L3114" s="11">
        <f>((Table1[[#This Row],[launched_at]]/60)/60/24)+DATE(1970,1,1)</f>
        <v>42615.121921296297</v>
      </c>
      <c r="M3114">
        <f>MONTH(Table1[[#This Row],[Date Created Conversion]])</f>
        <v>9</v>
      </c>
      <c r="N3114">
        <f>YEAR(Table1[[#This Row],[Date Created Conversion]])</f>
        <v>2016</v>
      </c>
      <c r="O3114" t="b">
        <v>0</v>
      </c>
      <c r="P3114">
        <v>9</v>
      </c>
      <c r="Q3114" t="b">
        <v>0</v>
      </c>
      <c r="R3114" t="s">
        <v>8303</v>
      </c>
      <c r="S3114" s="6">
        <f>Table1[[#This Row],[pledged]]/Table1[[#This Row],[goal]]</f>
        <v>4.7363636363636365E-2</v>
      </c>
      <c r="T3114" s="8">
        <f>IF(Table1[[#This Row],[pledged]]=0,"no backers",Table1[[#This Row],[pledged]]/Table1[[#This Row],[backers_count]])</f>
        <v>57.888888888888886</v>
      </c>
      <c r="U3114" t="str">
        <f>LEFT(Table1[[#This Row],[Category and Sub-Category]],FIND("/",Table1[[#This Row],[Category and Sub-Category]])-1)</f>
        <v>theater</v>
      </c>
      <c r="V3114" t="str">
        <f>RIGHT(Table1[[#This Row],[Category and Sub-Category]],LEN(Table1[[#This Row],[Category and Sub-Category]])-FIND("/",Table1[[#This Row],[Category and Sub-Category]]))</f>
        <v>spaces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 s="12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>((Table1[[#This Row],[deadline]]/60)/60/24)+DATE(1970,1,1)</f>
        <v>42111.731273148151</v>
      </c>
      <c r="K3115">
        <v>1426699982</v>
      </c>
      <c r="L3115" s="11">
        <f>((Table1[[#This Row],[launched_at]]/60)/60/24)+DATE(1970,1,1)</f>
        <v>42081.731273148151</v>
      </c>
      <c r="M3115">
        <f>MONTH(Table1[[#This Row],[Date Created Conversion]])</f>
        <v>3</v>
      </c>
      <c r="N3115">
        <f>YEAR(Table1[[#This Row],[Date Created Conversion]])</f>
        <v>2015</v>
      </c>
      <c r="O3115" t="b">
        <v>0</v>
      </c>
      <c r="P3115">
        <v>37</v>
      </c>
      <c r="Q3115" t="b">
        <v>0</v>
      </c>
      <c r="R3115" t="s">
        <v>8303</v>
      </c>
      <c r="S3115" s="6">
        <f>Table1[[#This Row],[pledged]]/Table1[[#This Row],[goal]]</f>
        <v>4.2435339894712751E-2</v>
      </c>
      <c r="T3115" s="8">
        <f>IF(Table1[[#This Row],[pledged]]=0,"no backers",Table1[[#This Row],[pledged]]/Table1[[#This Row],[backers_count]])</f>
        <v>125.27027027027027</v>
      </c>
      <c r="U3115" t="str">
        <f>LEFT(Table1[[#This Row],[Category and Sub-Category]],FIND("/",Table1[[#This Row],[Category and Sub-Category]])-1)</f>
        <v>theater</v>
      </c>
      <c r="V3115" t="str">
        <f>RIGHT(Table1[[#This Row],[Category and Sub-Category]],LEN(Table1[[#This Row],[Category and Sub-Category]])-FIND("/",Table1[[#This Row],[Category and Sub-Category]]))</f>
        <v>spaces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 s="12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>((Table1[[#This Row],[deadline]]/60)/60/24)+DATE(1970,1,1)</f>
        <v>41903.632523148146</v>
      </c>
      <c r="K3116">
        <v>1406128250</v>
      </c>
      <c r="L3116" s="11">
        <f>((Table1[[#This Row],[launched_at]]/60)/60/24)+DATE(1970,1,1)</f>
        <v>41843.632523148146</v>
      </c>
      <c r="M3116">
        <f>MONTH(Table1[[#This Row],[Date Created Conversion]])</f>
        <v>7</v>
      </c>
      <c r="N3116">
        <f>YEAR(Table1[[#This Row],[Date Created Conversion]])</f>
        <v>2014</v>
      </c>
      <c r="O3116" t="b">
        <v>0</v>
      </c>
      <c r="P3116">
        <v>0</v>
      </c>
      <c r="Q3116" t="b">
        <v>0</v>
      </c>
      <c r="R3116" t="s">
        <v>8303</v>
      </c>
      <c r="S3116" s="6">
        <f>Table1[[#This Row],[pledged]]/Table1[[#This Row],[goal]]</f>
        <v>0</v>
      </c>
      <c r="T3116" s="8" t="str">
        <f>IF(Table1[[#This Row],[pledged]]=0,"no backers",Table1[[#This Row],[pledged]]/Table1[[#This Row],[backers_count]])</f>
        <v>no backers</v>
      </c>
      <c r="U3116" t="str">
        <f>LEFT(Table1[[#This Row],[Category and Sub-Category]],FIND("/",Table1[[#This Row],[Category and Sub-Category]])-1)</f>
        <v>theater</v>
      </c>
      <c r="V3116" t="str">
        <f>RIGHT(Table1[[#This Row],[Category and Sub-Category]],LEN(Table1[[#This Row],[Category and Sub-Category]])-FIND("/",Table1[[#This Row],[Category and Sub-Category]]))</f>
        <v>spaces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 s="12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>((Table1[[#This Row],[deadline]]/60)/60/24)+DATE(1970,1,1)</f>
        <v>42526.447071759263</v>
      </c>
      <c r="K3117">
        <v>1462531427</v>
      </c>
      <c r="L3117" s="11">
        <f>((Table1[[#This Row],[launched_at]]/60)/60/24)+DATE(1970,1,1)</f>
        <v>42496.447071759263</v>
      </c>
      <c r="M3117">
        <f>MONTH(Table1[[#This Row],[Date Created Conversion]])</f>
        <v>5</v>
      </c>
      <c r="N3117">
        <f>YEAR(Table1[[#This Row],[Date Created Conversion]])</f>
        <v>2016</v>
      </c>
      <c r="O3117" t="b">
        <v>0</v>
      </c>
      <c r="P3117">
        <v>1</v>
      </c>
      <c r="Q3117" t="b">
        <v>0</v>
      </c>
      <c r="R3117" t="s">
        <v>8303</v>
      </c>
      <c r="S3117" s="6">
        <f>Table1[[#This Row],[pledged]]/Table1[[#This Row],[goal]]</f>
        <v>0.03</v>
      </c>
      <c r="T3117" s="8">
        <f>IF(Table1[[#This Row],[pledged]]=0,"no backers",Table1[[#This Row],[pledged]]/Table1[[#This Row],[backers_count]])</f>
        <v>300</v>
      </c>
      <c r="U3117" t="str">
        <f>LEFT(Table1[[#This Row],[Category and Sub-Category]],FIND("/",Table1[[#This Row],[Category and Sub-Category]])-1)</f>
        <v>theater</v>
      </c>
      <c r="V3117" t="str">
        <f>RIGHT(Table1[[#This Row],[Category and Sub-Category]],LEN(Table1[[#This Row],[Category and Sub-Category]])-FIND("/",Table1[[#This Row],[Category and Sub-Category]]))</f>
        <v>spaces</v>
      </c>
    </row>
    <row r="3118" spans="1:22" ht="43.2" x14ac:dyDescent="0.3">
      <c r="A3118">
        <v>3116</v>
      </c>
      <c r="B3118" s="3" t="s">
        <v>3116</v>
      </c>
      <c r="C3118" s="3" t="s">
        <v>7226</v>
      </c>
      <c r="D3118" s="12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>((Table1[[#This Row],[deadline]]/60)/60/24)+DATE(1970,1,1)</f>
        <v>42095.515335648146</v>
      </c>
      <c r="K3118">
        <v>1426681325</v>
      </c>
      <c r="L3118" s="11">
        <f>((Table1[[#This Row],[launched_at]]/60)/60/24)+DATE(1970,1,1)</f>
        <v>42081.515335648146</v>
      </c>
      <c r="M3118">
        <f>MONTH(Table1[[#This Row],[Date Created Conversion]])</f>
        <v>3</v>
      </c>
      <c r="N3118">
        <f>YEAR(Table1[[#This Row],[Date Created Conversion]])</f>
        <v>2015</v>
      </c>
      <c r="O3118" t="b">
        <v>0</v>
      </c>
      <c r="P3118">
        <v>10</v>
      </c>
      <c r="Q3118" t="b">
        <v>0</v>
      </c>
      <c r="R3118" t="s">
        <v>8303</v>
      </c>
      <c r="S3118" s="6">
        <f>Table1[[#This Row],[pledged]]/Table1[[#This Row],[goal]]</f>
        <v>0.57333333333333336</v>
      </c>
      <c r="T3118" s="8">
        <f>IF(Table1[[#This Row],[pledged]]=0,"no backers",Table1[[#This Row],[pledged]]/Table1[[#This Row],[backers_count]])</f>
        <v>43</v>
      </c>
      <c r="U3118" t="str">
        <f>LEFT(Table1[[#This Row],[Category and Sub-Category]],FIND("/",Table1[[#This Row],[Category and Sub-Category]])-1)</f>
        <v>theater</v>
      </c>
      <c r="V3118" t="str">
        <f>RIGHT(Table1[[#This Row],[Category and Sub-Category]],LEN(Table1[[#This Row],[Category and Sub-Category]])-FIND("/",Table1[[#This Row],[Category and Sub-Category]]))</f>
        <v>spaces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 s="12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>((Table1[[#This Row],[deadline]]/60)/60/24)+DATE(1970,1,1)</f>
        <v>42517.55</v>
      </c>
      <c r="K3119">
        <v>1463648360</v>
      </c>
      <c r="L3119" s="11">
        <f>((Table1[[#This Row],[launched_at]]/60)/60/24)+DATE(1970,1,1)</f>
        <v>42509.374537037031</v>
      </c>
      <c r="M3119">
        <f>MONTH(Table1[[#This Row],[Date Created Conversion]])</f>
        <v>5</v>
      </c>
      <c r="N3119">
        <f>YEAR(Table1[[#This Row],[Date Created Conversion]])</f>
        <v>2016</v>
      </c>
      <c r="O3119" t="b">
        <v>0</v>
      </c>
      <c r="P3119">
        <v>1</v>
      </c>
      <c r="Q3119" t="b">
        <v>0</v>
      </c>
      <c r="R3119" t="s">
        <v>8303</v>
      </c>
      <c r="S3119" s="6">
        <f>Table1[[#This Row],[pledged]]/Table1[[#This Row],[goal]]</f>
        <v>1E-3</v>
      </c>
      <c r="T3119" s="8">
        <f>IF(Table1[[#This Row],[pledged]]=0,"no backers",Table1[[#This Row],[pledged]]/Table1[[#This Row],[backers_count]])</f>
        <v>1</v>
      </c>
      <c r="U3119" t="str">
        <f>LEFT(Table1[[#This Row],[Category and Sub-Category]],FIND("/",Table1[[#This Row],[Category and Sub-Category]])-1)</f>
        <v>theater</v>
      </c>
      <c r="V3119" t="str">
        <f>RIGHT(Table1[[#This Row],[Category and Sub-Category]],LEN(Table1[[#This Row],[Category and Sub-Category]])-FIND("/",Table1[[#This Row],[Category and Sub-Category]]))</f>
        <v>spaces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 s="12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>((Table1[[#This Row],[deadline]]/60)/60/24)+DATE(1970,1,1)</f>
        <v>42553.649571759262</v>
      </c>
      <c r="K3120">
        <v>1465832123</v>
      </c>
      <c r="L3120" s="11">
        <f>((Table1[[#This Row],[launched_at]]/60)/60/24)+DATE(1970,1,1)</f>
        <v>42534.649571759262</v>
      </c>
      <c r="M3120">
        <f>MONTH(Table1[[#This Row],[Date Created Conversion]])</f>
        <v>6</v>
      </c>
      <c r="N3120">
        <f>YEAR(Table1[[#This Row],[Date Created Conversion]])</f>
        <v>2016</v>
      </c>
      <c r="O3120" t="b">
        <v>0</v>
      </c>
      <c r="P3120">
        <v>2</v>
      </c>
      <c r="Q3120" t="b">
        <v>0</v>
      </c>
      <c r="R3120" t="s">
        <v>8303</v>
      </c>
      <c r="S3120" s="6">
        <f>Table1[[#This Row],[pledged]]/Table1[[#This Row],[goal]]</f>
        <v>3.0999999999999999E-3</v>
      </c>
      <c r="T3120" s="8">
        <f>IF(Table1[[#This Row],[pledged]]=0,"no backers",Table1[[#This Row],[pledged]]/Table1[[#This Row],[backers_count]])</f>
        <v>775</v>
      </c>
      <c r="U3120" t="str">
        <f>LEFT(Table1[[#This Row],[Category and Sub-Category]],FIND("/",Table1[[#This Row],[Category and Sub-Category]])-1)</f>
        <v>theater</v>
      </c>
      <c r="V3120" t="str">
        <f>RIGHT(Table1[[#This Row],[Category and Sub-Category]],LEN(Table1[[#This Row],[Category and Sub-Category]])-FIND("/",Table1[[#This Row],[Category and Sub-Category]]))</f>
        <v>spaces</v>
      </c>
    </row>
    <row r="3121" spans="1:22" ht="57.6" x14ac:dyDescent="0.3">
      <c r="A3121">
        <v>3119</v>
      </c>
      <c r="B3121" s="3" t="s">
        <v>3119</v>
      </c>
      <c r="C3121" s="3" t="s">
        <v>7229</v>
      </c>
      <c r="D3121" s="12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>((Table1[[#This Row],[deadline]]/60)/60/24)+DATE(1970,1,1)</f>
        <v>42090.003842592589</v>
      </c>
      <c r="K3121">
        <v>1424826332</v>
      </c>
      <c r="L3121" s="11">
        <f>((Table1[[#This Row],[launched_at]]/60)/60/24)+DATE(1970,1,1)</f>
        <v>42060.04550925926</v>
      </c>
      <c r="M3121">
        <f>MONTH(Table1[[#This Row],[Date Created Conversion]])</f>
        <v>2</v>
      </c>
      <c r="N3121">
        <f>YEAR(Table1[[#This Row],[Date Created Conversion]])</f>
        <v>2015</v>
      </c>
      <c r="O3121" t="b">
        <v>0</v>
      </c>
      <c r="P3121">
        <v>1</v>
      </c>
      <c r="Q3121" t="b">
        <v>0</v>
      </c>
      <c r="R3121" t="s">
        <v>8303</v>
      </c>
      <c r="S3121" s="6">
        <f>Table1[[#This Row],[pledged]]/Table1[[#This Row],[goal]]</f>
        <v>5.0000000000000001E-4</v>
      </c>
      <c r="T3121" s="8">
        <f>IF(Table1[[#This Row],[pledged]]=0,"no backers",Table1[[#This Row],[pledged]]/Table1[[#This Row],[backers_count]])</f>
        <v>5</v>
      </c>
      <c r="U3121" t="str">
        <f>LEFT(Table1[[#This Row],[Category and Sub-Category]],FIND("/",Table1[[#This Row],[Category and Sub-Category]])-1)</f>
        <v>theater</v>
      </c>
      <c r="V3121" t="str">
        <f>RIGHT(Table1[[#This Row],[Category and Sub-Category]],LEN(Table1[[#This Row],[Category and Sub-Category]])-FIND("/",Table1[[#This Row],[Category and Sub-Category]]))</f>
        <v>spaces</v>
      </c>
    </row>
    <row r="3122" spans="1:22" ht="43.2" x14ac:dyDescent="0.3">
      <c r="A3122">
        <v>3120</v>
      </c>
      <c r="B3122" s="3" t="s">
        <v>3120</v>
      </c>
      <c r="C3122" s="3" t="s">
        <v>7230</v>
      </c>
      <c r="D3122" s="1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>((Table1[[#This Row],[deadline]]/60)/60/24)+DATE(1970,1,1)</f>
        <v>42495.900416666671</v>
      </c>
      <c r="K3122">
        <v>1457303796</v>
      </c>
      <c r="L3122" s="11">
        <f>((Table1[[#This Row],[launched_at]]/60)/60/24)+DATE(1970,1,1)</f>
        <v>42435.942083333335</v>
      </c>
      <c r="M3122">
        <f>MONTH(Table1[[#This Row],[Date Created Conversion]])</f>
        <v>3</v>
      </c>
      <c r="N3122">
        <f>YEAR(Table1[[#This Row],[Date Created Conversion]])</f>
        <v>2016</v>
      </c>
      <c r="O3122" t="b">
        <v>0</v>
      </c>
      <c r="P3122">
        <v>10</v>
      </c>
      <c r="Q3122" t="b">
        <v>0</v>
      </c>
      <c r="R3122" t="s">
        <v>8303</v>
      </c>
      <c r="S3122" s="6">
        <f>Table1[[#This Row],[pledged]]/Table1[[#This Row],[goal]]</f>
        <v>9.8461538461538464E-5</v>
      </c>
      <c r="T3122" s="8">
        <f>IF(Table1[[#This Row],[pledged]]=0,"no backers",Table1[[#This Row],[pledged]]/Table1[[#This Row],[backers_count]])</f>
        <v>12.8</v>
      </c>
      <c r="U3122" t="str">
        <f>LEFT(Table1[[#This Row],[Category and Sub-Category]],FIND("/",Table1[[#This Row],[Category and Sub-Category]])-1)</f>
        <v>theater</v>
      </c>
      <c r="V3122" t="str">
        <f>RIGHT(Table1[[#This Row],[Category and Sub-Category]],LEN(Table1[[#This Row],[Category and Sub-Category]])-FIND("/",Table1[[#This Row],[Category and Sub-Category]]))</f>
        <v>spaces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 s="12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>((Table1[[#This Row],[deadline]]/60)/60/24)+DATE(1970,1,1)</f>
        <v>41908.679803240739</v>
      </c>
      <c r="K3123">
        <v>1406564335</v>
      </c>
      <c r="L3123" s="11">
        <f>((Table1[[#This Row],[launched_at]]/60)/60/24)+DATE(1970,1,1)</f>
        <v>41848.679803240739</v>
      </c>
      <c r="M3123">
        <f>MONTH(Table1[[#This Row],[Date Created Conversion]])</f>
        <v>7</v>
      </c>
      <c r="N3123">
        <f>YEAR(Table1[[#This Row],[Date Created Conversion]])</f>
        <v>2014</v>
      </c>
      <c r="O3123" t="b">
        <v>0</v>
      </c>
      <c r="P3123">
        <v>1</v>
      </c>
      <c r="Q3123" t="b">
        <v>0</v>
      </c>
      <c r="R3123" t="s">
        <v>8303</v>
      </c>
      <c r="S3123" s="6">
        <f>Table1[[#This Row],[pledged]]/Table1[[#This Row],[goal]]</f>
        <v>6.6666666666666671E-3</v>
      </c>
      <c r="T3123" s="8">
        <f>IF(Table1[[#This Row],[pledged]]=0,"no backers",Table1[[#This Row],[pledged]]/Table1[[#This Row],[backers_count]])</f>
        <v>10</v>
      </c>
      <c r="U3123" t="str">
        <f>LEFT(Table1[[#This Row],[Category and Sub-Category]],FIND("/",Table1[[#This Row],[Category and Sub-Category]])-1)</f>
        <v>theater</v>
      </c>
      <c r="V3123" t="str">
        <f>RIGHT(Table1[[#This Row],[Category and Sub-Category]],LEN(Table1[[#This Row],[Category and Sub-Category]])-FIND("/",Table1[[#This Row],[Category and Sub-Category]]))</f>
        <v>spaces</v>
      </c>
    </row>
    <row r="3124" spans="1:22" x14ac:dyDescent="0.3">
      <c r="A3124">
        <v>3122</v>
      </c>
      <c r="B3124" s="3" t="s">
        <v>3122</v>
      </c>
      <c r="C3124" s="3" t="s">
        <v>7232</v>
      </c>
      <c r="D3124" s="12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>((Table1[[#This Row],[deadline]]/60)/60/24)+DATE(1970,1,1)</f>
        <v>42683.973750000005</v>
      </c>
      <c r="K3124">
        <v>1478298132</v>
      </c>
      <c r="L3124" s="11">
        <f>((Table1[[#This Row],[launched_at]]/60)/60/24)+DATE(1970,1,1)</f>
        <v>42678.932083333333</v>
      </c>
      <c r="M3124">
        <f>MONTH(Table1[[#This Row],[Date Created Conversion]])</f>
        <v>11</v>
      </c>
      <c r="N3124">
        <f>YEAR(Table1[[#This Row],[Date Created Conversion]])</f>
        <v>2016</v>
      </c>
      <c r="O3124" t="b">
        <v>0</v>
      </c>
      <c r="P3124">
        <v>2</v>
      </c>
      <c r="Q3124" t="b">
        <v>0</v>
      </c>
      <c r="R3124" t="s">
        <v>8303</v>
      </c>
      <c r="S3124" s="6">
        <f>Table1[[#This Row],[pledged]]/Table1[[#This Row],[goal]]</f>
        <v>0.58291457286432158</v>
      </c>
      <c r="T3124" s="8">
        <f>IF(Table1[[#This Row],[pledged]]=0,"no backers",Table1[[#This Row],[pledged]]/Table1[[#This Row],[backers_count]])</f>
        <v>58</v>
      </c>
      <c r="U3124" t="str">
        <f>LEFT(Table1[[#This Row],[Category and Sub-Category]],FIND("/",Table1[[#This Row],[Category and Sub-Category]])-1)</f>
        <v>theater</v>
      </c>
      <c r="V3124" t="str">
        <f>RIGHT(Table1[[#This Row],[Category and Sub-Category]],LEN(Table1[[#This Row],[Category and Sub-Category]])-FIND("/",Table1[[#This Row],[Category and Sub-Category]]))</f>
        <v>spaces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 s="12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>((Table1[[#This Row],[deadline]]/60)/60/24)+DATE(1970,1,1)</f>
        <v>42560.993032407408</v>
      </c>
      <c r="K3125">
        <v>1465516198</v>
      </c>
      <c r="L3125" s="11">
        <f>((Table1[[#This Row],[launched_at]]/60)/60/24)+DATE(1970,1,1)</f>
        <v>42530.993032407408</v>
      </c>
      <c r="M3125">
        <f>MONTH(Table1[[#This Row],[Date Created Conversion]])</f>
        <v>6</v>
      </c>
      <c r="N3125">
        <f>YEAR(Table1[[#This Row],[Date Created Conversion]])</f>
        <v>2016</v>
      </c>
      <c r="O3125" t="b">
        <v>0</v>
      </c>
      <c r="P3125">
        <v>348</v>
      </c>
      <c r="Q3125" t="b">
        <v>0</v>
      </c>
      <c r="R3125" t="s">
        <v>8303</v>
      </c>
      <c r="S3125" s="6">
        <f>Table1[[#This Row],[pledged]]/Table1[[#This Row],[goal]]</f>
        <v>0.68153600000000003</v>
      </c>
      <c r="T3125" s="8">
        <f>IF(Table1[[#This Row],[pledged]]=0,"no backers",Table1[[#This Row],[pledged]]/Table1[[#This Row],[backers_count]])</f>
        <v>244.80459770114942</v>
      </c>
      <c r="U3125" t="str">
        <f>LEFT(Table1[[#This Row],[Category and Sub-Category]],FIND("/",Table1[[#This Row],[Category and Sub-Category]])-1)</f>
        <v>theater</v>
      </c>
      <c r="V3125" t="str">
        <f>RIGHT(Table1[[#This Row],[Category and Sub-Category]],LEN(Table1[[#This Row],[Category and Sub-Category]])-FIND("/",Table1[[#This Row],[Category and Sub-Category]]))</f>
        <v>spaces</v>
      </c>
    </row>
    <row r="3126" spans="1:22" ht="43.2" x14ac:dyDescent="0.3">
      <c r="A3126">
        <v>3124</v>
      </c>
      <c r="B3126" s="3" t="s">
        <v>3124</v>
      </c>
      <c r="C3126" s="3" t="s">
        <v>7234</v>
      </c>
      <c r="D3126" s="12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>((Table1[[#This Row],[deadline]]/60)/60/24)+DATE(1970,1,1)</f>
        <v>42037.780104166668</v>
      </c>
      <c r="K3126">
        <v>1417718601</v>
      </c>
      <c r="L3126" s="11">
        <f>((Table1[[#This Row],[launched_at]]/60)/60/24)+DATE(1970,1,1)</f>
        <v>41977.780104166668</v>
      </c>
      <c r="M3126">
        <f>MONTH(Table1[[#This Row],[Date Created Conversion]])</f>
        <v>12</v>
      </c>
      <c r="N3126">
        <f>YEAR(Table1[[#This Row],[Date Created Conversion]])</f>
        <v>2014</v>
      </c>
      <c r="O3126" t="b">
        <v>0</v>
      </c>
      <c r="P3126">
        <v>4</v>
      </c>
      <c r="Q3126" t="b">
        <v>0</v>
      </c>
      <c r="R3126" t="s">
        <v>8303</v>
      </c>
      <c r="S3126" s="6">
        <f>Table1[[#This Row],[pledged]]/Table1[[#This Row],[goal]]</f>
        <v>3.2499999999999997E-5</v>
      </c>
      <c r="T3126" s="8">
        <f>IF(Table1[[#This Row],[pledged]]=0,"no backers",Table1[[#This Row],[pledged]]/Table1[[#This Row],[backers_count]])</f>
        <v>6.5</v>
      </c>
      <c r="U3126" t="str">
        <f>LEFT(Table1[[#This Row],[Category and Sub-Category]],FIND("/",Table1[[#This Row],[Category and Sub-Category]])-1)</f>
        <v>theater</v>
      </c>
      <c r="V3126" t="str">
        <f>RIGHT(Table1[[#This Row],[Category and Sub-Category]],LEN(Table1[[#This Row],[Category and Sub-Category]])-FIND("/",Table1[[#This Row],[Category and Sub-Category]]))</f>
        <v>spaces</v>
      </c>
    </row>
    <row r="3127" spans="1:22" x14ac:dyDescent="0.3">
      <c r="A3127">
        <v>3125</v>
      </c>
      <c r="B3127" s="3" t="s">
        <v>3125</v>
      </c>
      <c r="C3127" s="3" t="s">
        <v>7235</v>
      </c>
      <c r="D3127" s="12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>((Table1[[#This Row],[deadline]]/60)/60/24)+DATE(1970,1,1)</f>
        <v>42376.20685185185</v>
      </c>
      <c r="K3127">
        <v>1449550672</v>
      </c>
      <c r="L3127" s="11">
        <f>((Table1[[#This Row],[launched_at]]/60)/60/24)+DATE(1970,1,1)</f>
        <v>42346.20685185185</v>
      </c>
      <c r="M3127">
        <f>MONTH(Table1[[#This Row],[Date Created Conversion]])</f>
        <v>12</v>
      </c>
      <c r="N3127">
        <f>YEAR(Table1[[#This Row],[Date Created Conversion]])</f>
        <v>2015</v>
      </c>
      <c r="O3127" t="b">
        <v>0</v>
      </c>
      <c r="P3127">
        <v>0</v>
      </c>
      <c r="Q3127" t="b">
        <v>0</v>
      </c>
      <c r="R3127" t="s">
        <v>8303</v>
      </c>
      <c r="S3127" s="6">
        <f>Table1[[#This Row],[pledged]]/Table1[[#This Row],[goal]]</f>
        <v>0</v>
      </c>
      <c r="T3127" s="8" t="str">
        <f>IF(Table1[[#This Row],[pledged]]=0,"no backers",Table1[[#This Row],[pledged]]/Table1[[#This Row],[backers_count]])</f>
        <v>no backers</v>
      </c>
      <c r="U3127" t="str">
        <f>LEFT(Table1[[#This Row],[Category and Sub-Category]],FIND("/",Table1[[#This Row],[Category and Sub-Category]])-1)</f>
        <v>theater</v>
      </c>
      <c r="V3127" t="str">
        <f>RIGHT(Table1[[#This Row],[Category and Sub-Category]],LEN(Table1[[#This Row],[Category and Sub-Category]])-FIND("/",Table1[[#This Row],[Category and Sub-Category]]))</f>
        <v>spaces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 s="12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>((Table1[[#This Row],[deadline]]/60)/60/24)+DATE(1970,1,1)</f>
        <v>42456.976412037038</v>
      </c>
      <c r="K3128">
        <v>1456532762</v>
      </c>
      <c r="L3128" s="11">
        <f>((Table1[[#This Row],[launched_at]]/60)/60/24)+DATE(1970,1,1)</f>
        <v>42427.01807870371</v>
      </c>
      <c r="M3128">
        <f>MONTH(Table1[[#This Row],[Date Created Conversion]])</f>
        <v>2</v>
      </c>
      <c r="N3128">
        <f>YEAR(Table1[[#This Row],[Date Created Conversion]])</f>
        <v>2016</v>
      </c>
      <c r="O3128" t="b">
        <v>0</v>
      </c>
      <c r="P3128">
        <v>17</v>
      </c>
      <c r="Q3128" t="b">
        <v>0</v>
      </c>
      <c r="R3128" t="s">
        <v>8303</v>
      </c>
      <c r="S3128" s="6">
        <f>Table1[[#This Row],[pledged]]/Table1[[#This Row],[goal]]</f>
        <v>4.1599999999999998E-2</v>
      </c>
      <c r="T3128" s="8">
        <f>IF(Table1[[#This Row],[pledged]]=0,"no backers",Table1[[#This Row],[pledged]]/Table1[[#This Row],[backers_count]])</f>
        <v>61.176470588235297</v>
      </c>
      <c r="U3128" t="str">
        <f>LEFT(Table1[[#This Row],[Category and Sub-Category]],FIND("/",Table1[[#This Row],[Category and Sub-Category]])-1)</f>
        <v>theater</v>
      </c>
      <c r="V3128" t="str">
        <f>RIGHT(Table1[[#This Row],[Category and Sub-Category]],LEN(Table1[[#This Row],[Category and Sub-Category]])-FIND("/",Table1[[#This Row],[Category and Sub-Category]]))</f>
        <v>spaces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 s="12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>((Table1[[#This Row],[deadline]]/60)/60/24)+DATE(1970,1,1)</f>
        <v>42064.856817129628</v>
      </c>
      <c r="K3129">
        <v>1422650029</v>
      </c>
      <c r="L3129" s="11">
        <f>((Table1[[#This Row],[launched_at]]/60)/60/24)+DATE(1970,1,1)</f>
        <v>42034.856817129628</v>
      </c>
      <c r="M3129">
        <f>MONTH(Table1[[#This Row],[Date Created Conversion]])</f>
        <v>1</v>
      </c>
      <c r="N3129">
        <f>YEAR(Table1[[#This Row],[Date Created Conversion]])</f>
        <v>2015</v>
      </c>
      <c r="O3129" t="b">
        <v>0</v>
      </c>
      <c r="P3129">
        <v>0</v>
      </c>
      <c r="Q3129" t="b">
        <v>0</v>
      </c>
      <c r="R3129" t="s">
        <v>8303</v>
      </c>
      <c r="S3129" s="6">
        <f>Table1[[#This Row],[pledged]]/Table1[[#This Row],[goal]]</f>
        <v>0</v>
      </c>
      <c r="T3129" s="8" t="str">
        <f>IF(Table1[[#This Row],[pledged]]=0,"no backers",Table1[[#This Row],[pledged]]/Table1[[#This Row],[backers_count]])</f>
        <v>no backers</v>
      </c>
      <c r="U3129" t="str">
        <f>LEFT(Table1[[#This Row],[Category and Sub-Category]],FIND("/",Table1[[#This Row],[Category and Sub-Category]])-1)</f>
        <v>theater</v>
      </c>
      <c r="V3129" t="str">
        <f>RIGHT(Table1[[#This Row],[Category and Sub-Category]],LEN(Table1[[#This Row],[Category and Sub-Category]])-FIND("/",Table1[[#This Row],[Category and Sub-Category]]))</f>
        <v>spaces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 s="12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>((Table1[[#This Row],[deadline]]/60)/60/24)+DATE(1970,1,1)</f>
        <v>42810.784039351856</v>
      </c>
      <c r="K3130">
        <v>1487101741</v>
      </c>
      <c r="L3130" s="11">
        <f>((Table1[[#This Row],[launched_at]]/60)/60/24)+DATE(1970,1,1)</f>
        <v>42780.825706018513</v>
      </c>
      <c r="M3130">
        <f>MONTH(Table1[[#This Row],[Date Created Conversion]])</f>
        <v>2</v>
      </c>
      <c r="N3130">
        <f>YEAR(Table1[[#This Row],[Date Created Conversion]])</f>
        <v>2017</v>
      </c>
      <c r="O3130" t="b">
        <v>0</v>
      </c>
      <c r="P3130">
        <v>117</v>
      </c>
      <c r="Q3130" t="b">
        <v>0</v>
      </c>
      <c r="R3130" t="s">
        <v>8271</v>
      </c>
      <c r="S3130" s="6">
        <f>Table1[[#This Row],[pledged]]/Table1[[#This Row],[goal]]</f>
        <v>1.0860666666666667</v>
      </c>
      <c r="T3130" s="8">
        <f>IF(Table1[[#This Row],[pledged]]=0,"no backers",Table1[[#This Row],[pledged]]/Table1[[#This Row],[backers_count]])</f>
        <v>139.23931623931625</v>
      </c>
      <c r="U3130" t="str">
        <f>LEFT(Table1[[#This Row],[Category and Sub-Category]],FIND("/",Table1[[#This Row],[Category and Sub-Category]])-1)</f>
        <v>theater</v>
      </c>
      <c r="V3130" t="str">
        <f>RIGHT(Table1[[#This Row],[Category and Sub-Category]],LEN(Table1[[#This Row],[Category and Sub-Category]])-FIND("/",Table1[[#This Row],[Category and Sub-Category]]))</f>
        <v>plays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 s="12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>((Table1[[#This Row],[deadline]]/60)/60/24)+DATE(1970,1,1)</f>
        <v>42843.801145833335</v>
      </c>
      <c r="K3131">
        <v>1489090419</v>
      </c>
      <c r="L3131" s="11">
        <f>((Table1[[#This Row],[launched_at]]/60)/60/24)+DATE(1970,1,1)</f>
        <v>42803.842812499999</v>
      </c>
      <c r="M3131">
        <f>MONTH(Table1[[#This Row],[Date Created Conversion]])</f>
        <v>3</v>
      </c>
      <c r="N3131">
        <f>YEAR(Table1[[#This Row],[Date Created Conversion]])</f>
        <v>2017</v>
      </c>
      <c r="O3131" t="b">
        <v>0</v>
      </c>
      <c r="P3131">
        <v>1</v>
      </c>
      <c r="Q3131" t="b">
        <v>0</v>
      </c>
      <c r="R3131" t="s">
        <v>8271</v>
      </c>
      <c r="S3131" s="6">
        <f>Table1[[#This Row],[pledged]]/Table1[[#This Row],[goal]]</f>
        <v>8.0000000000000002E-3</v>
      </c>
      <c r="T3131" s="8">
        <f>IF(Table1[[#This Row],[pledged]]=0,"no backers",Table1[[#This Row],[pledged]]/Table1[[#This Row],[backers_count]])</f>
        <v>10</v>
      </c>
      <c r="U3131" t="str">
        <f>LEFT(Table1[[#This Row],[Category and Sub-Category]],FIND("/",Table1[[#This Row],[Category and Sub-Category]])-1)</f>
        <v>theater</v>
      </c>
      <c r="V3131" t="str">
        <f>RIGHT(Table1[[#This Row],[Category and Sub-Category]],LEN(Table1[[#This Row],[Category and Sub-Category]])-FIND("/",Table1[[#This Row],[Category and Sub-Category]]))</f>
        <v>plays</v>
      </c>
    </row>
    <row r="3132" spans="1:22" ht="43.2" x14ac:dyDescent="0.3">
      <c r="A3132">
        <v>3130</v>
      </c>
      <c r="B3132" s="3" t="s">
        <v>3130</v>
      </c>
      <c r="C3132" s="3" t="s">
        <v>7240</v>
      </c>
      <c r="D3132" s="1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>((Table1[[#This Row],[deadline]]/60)/60/24)+DATE(1970,1,1)</f>
        <v>42839.207638888889</v>
      </c>
      <c r="K3132">
        <v>1489504916</v>
      </c>
      <c r="L3132" s="11">
        <f>((Table1[[#This Row],[launched_at]]/60)/60/24)+DATE(1970,1,1)</f>
        <v>42808.640231481477</v>
      </c>
      <c r="M3132">
        <f>MONTH(Table1[[#This Row],[Date Created Conversion]])</f>
        <v>3</v>
      </c>
      <c r="N3132">
        <f>YEAR(Table1[[#This Row],[Date Created Conversion]])</f>
        <v>2017</v>
      </c>
      <c r="O3132" t="b">
        <v>0</v>
      </c>
      <c r="P3132">
        <v>4</v>
      </c>
      <c r="Q3132" t="b">
        <v>0</v>
      </c>
      <c r="R3132" t="s">
        <v>8271</v>
      </c>
      <c r="S3132" s="6">
        <f>Table1[[#This Row],[pledged]]/Table1[[#This Row],[goal]]</f>
        <v>3.7499999999999999E-2</v>
      </c>
      <c r="T3132" s="8">
        <f>IF(Table1[[#This Row],[pledged]]=0,"no backers",Table1[[#This Row],[pledged]]/Table1[[#This Row],[backers_count]])</f>
        <v>93.75</v>
      </c>
      <c r="U3132" t="str">
        <f>LEFT(Table1[[#This Row],[Category and Sub-Category]],FIND("/",Table1[[#This Row],[Category and Sub-Category]])-1)</f>
        <v>theater</v>
      </c>
      <c r="V3132" t="str">
        <f>RIGHT(Table1[[#This Row],[Category and Sub-Category]],LEN(Table1[[#This Row],[Category and Sub-Category]])-FIND("/",Table1[[#This Row],[Category and Sub-Category]]))</f>
        <v>plays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 s="12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>((Table1[[#This Row],[deadline]]/60)/60/24)+DATE(1970,1,1)</f>
        <v>42833.537557870368</v>
      </c>
      <c r="K3133">
        <v>1489067645</v>
      </c>
      <c r="L3133" s="11">
        <f>((Table1[[#This Row],[launched_at]]/60)/60/24)+DATE(1970,1,1)</f>
        <v>42803.579224537039</v>
      </c>
      <c r="M3133">
        <f>MONTH(Table1[[#This Row],[Date Created Conversion]])</f>
        <v>3</v>
      </c>
      <c r="N3133">
        <f>YEAR(Table1[[#This Row],[Date Created Conversion]])</f>
        <v>2017</v>
      </c>
      <c r="O3133" t="b">
        <v>0</v>
      </c>
      <c r="P3133">
        <v>12</v>
      </c>
      <c r="Q3133" t="b">
        <v>0</v>
      </c>
      <c r="R3133" t="s">
        <v>8271</v>
      </c>
      <c r="S3133" s="6">
        <f>Table1[[#This Row],[pledged]]/Table1[[#This Row],[goal]]</f>
        <v>0.15731707317073171</v>
      </c>
      <c r="T3133" s="8">
        <f>IF(Table1[[#This Row],[pledged]]=0,"no backers",Table1[[#This Row],[pledged]]/Table1[[#This Row],[backers_count]])</f>
        <v>53.75</v>
      </c>
      <c r="U3133" t="str">
        <f>LEFT(Table1[[#This Row],[Category and Sub-Category]],FIND("/",Table1[[#This Row],[Category and Sub-Category]])-1)</f>
        <v>theater</v>
      </c>
      <c r="V3133" t="str">
        <f>RIGHT(Table1[[#This Row],[Category and Sub-Category]],LEN(Table1[[#This Row],[Category and Sub-Category]])-FIND("/",Table1[[#This Row],[Category and Sub-Category]]))</f>
        <v>plays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 s="12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>((Table1[[#This Row],[deadline]]/60)/60/24)+DATE(1970,1,1)</f>
        <v>42846.308564814812</v>
      </c>
      <c r="K3134">
        <v>1487579060</v>
      </c>
      <c r="L3134" s="11">
        <f>((Table1[[#This Row],[launched_at]]/60)/60/24)+DATE(1970,1,1)</f>
        <v>42786.350231481483</v>
      </c>
      <c r="M3134">
        <f>MONTH(Table1[[#This Row],[Date Created Conversion]])</f>
        <v>2</v>
      </c>
      <c r="N3134">
        <f>YEAR(Table1[[#This Row],[Date Created Conversion]])</f>
        <v>2017</v>
      </c>
      <c r="O3134" t="b">
        <v>0</v>
      </c>
      <c r="P3134">
        <v>1</v>
      </c>
      <c r="Q3134" t="b">
        <v>0</v>
      </c>
      <c r="R3134" t="s">
        <v>8271</v>
      </c>
      <c r="S3134" s="6">
        <f>Table1[[#This Row],[pledged]]/Table1[[#This Row],[goal]]</f>
        <v>3.3333333333333332E-4</v>
      </c>
      <c r="T3134" s="8">
        <f>IF(Table1[[#This Row],[pledged]]=0,"no backers",Table1[[#This Row],[pledged]]/Table1[[#This Row],[backers_count]])</f>
        <v>10</v>
      </c>
      <c r="U3134" t="str">
        <f>LEFT(Table1[[#This Row],[Category and Sub-Category]],FIND("/",Table1[[#This Row],[Category and Sub-Category]])-1)</f>
        <v>theater</v>
      </c>
      <c r="V3134" t="str">
        <f>RIGHT(Table1[[#This Row],[Category and Sub-Category]],LEN(Table1[[#This Row],[Category and Sub-Category]])-FIND("/",Table1[[#This Row],[Category and Sub-Category]]))</f>
        <v>plays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 s="12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>((Table1[[#This Row],[deadline]]/60)/60/24)+DATE(1970,1,1)</f>
        <v>42818.523541666669</v>
      </c>
      <c r="K3135">
        <v>1487770434</v>
      </c>
      <c r="L3135" s="11">
        <f>((Table1[[#This Row],[launched_at]]/60)/60/24)+DATE(1970,1,1)</f>
        <v>42788.565208333333</v>
      </c>
      <c r="M3135">
        <f>MONTH(Table1[[#This Row],[Date Created Conversion]])</f>
        <v>2</v>
      </c>
      <c r="N3135">
        <f>YEAR(Table1[[#This Row],[Date Created Conversion]])</f>
        <v>2017</v>
      </c>
      <c r="O3135" t="b">
        <v>0</v>
      </c>
      <c r="P3135">
        <v>16</v>
      </c>
      <c r="Q3135" t="b">
        <v>0</v>
      </c>
      <c r="R3135" t="s">
        <v>8271</v>
      </c>
      <c r="S3135" s="6">
        <f>Table1[[#This Row],[pledged]]/Table1[[#This Row],[goal]]</f>
        <v>1.08</v>
      </c>
      <c r="T3135" s="8">
        <f>IF(Table1[[#This Row],[pledged]]=0,"no backers",Table1[[#This Row],[pledged]]/Table1[[#This Row],[backers_count]])</f>
        <v>33.75</v>
      </c>
      <c r="U3135" t="str">
        <f>LEFT(Table1[[#This Row],[Category and Sub-Category]],FIND("/",Table1[[#This Row],[Category and Sub-Category]])-1)</f>
        <v>theater</v>
      </c>
      <c r="V3135" t="str">
        <f>RIGHT(Table1[[#This Row],[Category and Sub-Category]],LEN(Table1[[#This Row],[Category and Sub-Category]])-FIND("/",Table1[[#This Row],[Category and Sub-Category]]))</f>
        <v>plays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 s="12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>((Table1[[#This Row],[deadline]]/60)/60/24)+DATE(1970,1,1)</f>
        <v>42821.678460648152</v>
      </c>
      <c r="K3136">
        <v>1488820619</v>
      </c>
      <c r="L3136" s="11">
        <f>((Table1[[#This Row],[launched_at]]/60)/60/24)+DATE(1970,1,1)</f>
        <v>42800.720127314817</v>
      </c>
      <c r="M3136">
        <f>MONTH(Table1[[#This Row],[Date Created Conversion]])</f>
        <v>3</v>
      </c>
      <c r="N3136">
        <f>YEAR(Table1[[#This Row],[Date Created Conversion]])</f>
        <v>2017</v>
      </c>
      <c r="O3136" t="b">
        <v>0</v>
      </c>
      <c r="P3136">
        <v>12</v>
      </c>
      <c r="Q3136" t="b">
        <v>0</v>
      </c>
      <c r="R3136" t="s">
        <v>8271</v>
      </c>
      <c r="S3136" s="6">
        <f>Table1[[#This Row],[pledged]]/Table1[[#This Row],[goal]]</f>
        <v>0.22500000000000001</v>
      </c>
      <c r="T3136" s="8">
        <f>IF(Table1[[#This Row],[pledged]]=0,"no backers",Table1[[#This Row],[pledged]]/Table1[[#This Row],[backers_count]])</f>
        <v>18.75</v>
      </c>
      <c r="U3136" t="str">
        <f>LEFT(Table1[[#This Row],[Category and Sub-Category]],FIND("/",Table1[[#This Row],[Category and Sub-Category]])-1)</f>
        <v>theater</v>
      </c>
      <c r="V3136" t="str">
        <f>RIGHT(Table1[[#This Row],[Category and Sub-Category]],LEN(Table1[[#This Row],[Category and Sub-Category]])-FIND("/",Table1[[#This Row],[Category and Sub-Category]]))</f>
        <v>plays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 s="12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>((Table1[[#This Row],[deadline]]/60)/60/24)+DATE(1970,1,1)</f>
        <v>42829.151863425926</v>
      </c>
      <c r="K3137">
        <v>1489376321</v>
      </c>
      <c r="L3137" s="11">
        <f>((Table1[[#This Row],[launched_at]]/60)/60/24)+DATE(1970,1,1)</f>
        <v>42807.151863425926</v>
      </c>
      <c r="M3137">
        <f>MONTH(Table1[[#This Row],[Date Created Conversion]])</f>
        <v>3</v>
      </c>
      <c r="N3137">
        <f>YEAR(Table1[[#This Row],[Date Created Conversion]])</f>
        <v>2017</v>
      </c>
      <c r="O3137" t="b">
        <v>0</v>
      </c>
      <c r="P3137">
        <v>7</v>
      </c>
      <c r="Q3137" t="b">
        <v>0</v>
      </c>
      <c r="R3137" t="s">
        <v>8271</v>
      </c>
      <c r="S3137" s="6">
        <f>Table1[[#This Row],[pledged]]/Table1[[#This Row],[goal]]</f>
        <v>0.20849420849420849</v>
      </c>
      <c r="T3137" s="8">
        <f>IF(Table1[[#This Row],[pledged]]=0,"no backers",Table1[[#This Row],[pledged]]/Table1[[#This Row],[backers_count]])</f>
        <v>23.142857142857142</v>
      </c>
      <c r="U3137" t="str">
        <f>LEFT(Table1[[#This Row],[Category and Sub-Category]],FIND("/",Table1[[#This Row],[Category and Sub-Category]])-1)</f>
        <v>theater</v>
      </c>
      <c r="V3137" t="str">
        <f>RIGHT(Table1[[#This Row],[Category and Sub-Category]],LEN(Table1[[#This Row],[Category and Sub-Category]])-FIND("/",Table1[[#This Row],[Category and Sub-Category]]))</f>
        <v>plays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 s="12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>((Table1[[#This Row],[deadline]]/60)/60/24)+DATE(1970,1,1)</f>
        <v>42825.957638888889</v>
      </c>
      <c r="K3138">
        <v>1487847954</v>
      </c>
      <c r="L3138" s="11">
        <f>((Table1[[#This Row],[launched_at]]/60)/60/24)+DATE(1970,1,1)</f>
        <v>42789.462430555555</v>
      </c>
      <c r="M3138">
        <f>MONTH(Table1[[#This Row],[Date Created Conversion]])</f>
        <v>2</v>
      </c>
      <c r="N3138">
        <f>YEAR(Table1[[#This Row],[Date Created Conversion]])</f>
        <v>2017</v>
      </c>
      <c r="O3138" t="b">
        <v>0</v>
      </c>
      <c r="P3138">
        <v>22</v>
      </c>
      <c r="Q3138" t="b">
        <v>0</v>
      </c>
      <c r="R3138" t="s">
        <v>8271</v>
      </c>
      <c r="S3138" s="6">
        <f>Table1[[#This Row],[pledged]]/Table1[[#This Row],[goal]]</f>
        <v>1.278</v>
      </c>
      <c r="T3138" s="8">
        <f>IF(Table1[[#This Row],[pledged]]=0,"no backers",Table1[[#This Row],[pledged]]/Table1[[#This Row],[backers_count]])</f>
        <v>29.045454545454547</v>
      </c>
      <c r="U3138" t="str">
        <f>LEFT(Table1[[#This Row],[Category and Sub-Category]],FIND("/",Table1[[#This Row],[Category and Sub-Category]])-1)</f>
        <v>theater</v>
      </c>
      <c r="V3138" t="str">
        <f>RIGHT(Table1[[#This Row],[Category and Sub-Category]],LEN(Table1[[#This Row],[Category and Sub-Category]])-FIND("/",Table1[[#This Row],[Category and Sub-Category]]))</f>
        <v>plays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 s="12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>((Table1[[#This Row],[deadline]]/60)/60/24)+DATE(1970,1,1)</f>
        <v>42858.8</v>
      </c>
      <c r="K3139">
        <v>1489439669</v>
      </c>
      <c r="L3139" s="11">
        <f>((Table1[[#This Row],[launched_at]]/60)/60/24)+DATE(1970,1,1)</f>
        <v>42807.885057870371</v>
      </c>
      <c r="M3139">
        <f>MONTH(Table1[[#This Row],[Date Created Conversion]])</f>
        <v>3</v>
      </c>
      <c r="N3139">
        <f>YEAR(Table1[[#This Row],[Date Created Conversion]])</f>
        <v>2017</v>
      </c>
      <c r="O3139" t="b">
        <v>0</v>
      </c>
      <c r="P3139">
        <v>1</v>
      </c>
      <c r="Q3139" t="b">
        <v>0</v>
      </c>
      <c r="R3139" t="s">
        <v>8271</v>
      </c>
      <c r="S3139" s="6">
        <f>Table1[[#This Row],[pledged]]/Table1[[#This Row],[goal]]</f>
        <v>3.3333333333333333E-2</v>
      </c>
      <c r="T3139" s="8">
        <f>IF(Table1[[#This Row],[pledged]]=0,"no backers",Table1[[#This Row],[pledged]]/Table1[[#This Row],[backers_count]])</f>
        <v>50</v>
      </c>
      <c r="U3139" t="str">
        <f>LEFT(Table1[[#This Row],[Category and Sub-Category]],FIND("/",Table1[[#This Row],[Category and Sub-Category]])-1)</f>
        <v>theater</v>
      </c>
      <c r="V3139" t="str">
        <f>RIGHT(Table1[[#This Row],[Category and Sub-Category]],LEN(Table1[[#This Row],[Category and Sub-Category]])-FIND("/",Table1[[#This Row],[Category and Sub-Category]]))</f>
        <v>plays</v>
      </c>
    </row>
    <row r="3140" spans="1:22" ht="57.6" x14ac:dyDescent="0.3">
      <c r="A3140">
        <v>3138</v>
      </c>
      <c r="B3140" s="3" t="s">
        <v>3138</v>
      </c>
      <c r="C3140" s="3" t="s">
        <v>7248</v>
      </c>
      <c r="D3140" s="12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>((Table1[[#This Row],[deadline]]/60)/60/24)+DATE(1970,1,1)</f>
        <v>42828.645914351851</v>
      </c>
      <c r="K3140">
        <v>1489591807</v>
      </c>
      <c r="L3140" s="11">
        <f>((Table1[[#This Row],[launched_at]]/60)/60/24)+DATE(1970,1,1)</f>
        <v>42809.645914351851</v>
      </c>
      <c r="M3140">
        <f>MONTH(Table1[[#This Row],[Date Created Conversion]])</f>
        <v>3</v>
      </c>
      <c r="N3140">
        <f>YEAR(Table1[[#This Row],[Date Created Conversion]])</f>
        <v>2017</v>
      </c>
      <c r="O3140" t="b">
        <v>0</v>
      </c>
      <c r="P3140">
        <v>0</v>
      </c>
      <c r="Q3140" t="b">
        <v>0</v>
      </c>
      <c r="R3140" t="s">
        <v>8271</v>
      </c>
      <c r="S3140" s="6">
        <f>Table1[[#This Row],[pledged]]/Table1[[#This Row],[goal]]</f>
        <v>0</v>
      </c>
      <c r="T3140" s="8" t="str">
        <f>IF(Table1[[#This Row],[pledged]]=0,"no backers",Table1[[#This Row],[pledged]]/Table1[[#This Row],[backers_count]])</f>
        <v>no backers</v>
      </c>
      <c r="U3140" t="str">
        <f>LEFT(Table1[[#This Row],[Category and Sub-Category]],FIND("/",Table1[[#This Row],[Category and Sub-Category]])-1)</f>
        <v>theater</v>
      </c>
      <c r="V3140" t="str">
        <f>RIGHT(Table1[[#This Row],[Category and Sub-Category]],LEN(Table1[[#This Row],[Category and Sub-Category]])-FIND("/",Table1[[#This Row],[Category and Sub-Category]]))</f>
        <v>plays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 s="12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>((Table1[[#This Row],[deadline]]/60)/60/24)+DATE(1970,1,1)</f>
        <v>42819.189583333333</v>
      </c>
      <c r="K3141">
        <v>1487485760</v>
      </c>
      <c r="L3141" s="11">
        <f>((Table1[[#This Row],[launched_at]]/60)/60/24)+DATE(1970,1,1)</f>
        <v>42785.270370370374</v>
      </c>
      <c r="M3141">
        <f>MONTH(Table1[[#This Row],[Date Created Conversion]])</f>
        <v>2</v>
      </c>
      <c r="N3141">
        <f>YEAR(Table1[[#This Row],[Date Created Conversion]])</f>
        <v>2017</v>
      </c>
      <c r="O3141" t="b">
        <v>0</v>
      </c>
      <c r="P3141">
        <v>6</v>
      </c>
      <c r="Q3141" t="b">
        <v>0</v>
      </c>
      <c r="R3141" t="s">
        <v>8271</v>
      </c>
      <c r="S3141" s="6">
        <f>Table1[[#This Row],[pledged]]/Table1[[#This Row],[goal]]</f>
        <v>5.3999999999999999E-2</v>
      </c>
      <c r="T3141" s="8">
        <f>IF(Table1[[#This Row],[pledged]]=0,"no backers",Table1[[#This Row],[pledged]]/Table1[[#This Row],[backers_count]])</f>
        <v>450</v>
      </c>
      <c r="U3141" t="str">
        <f>LEFT(Table1[[#This Row],[Category and Sub-Category]],FIND("/",Table1[[#This Row],[Category and Sub-Category]])-1)</f>
        <v>theater</v>
      </c>
      <c r="V3141" t="str">
        <f>RIGHT(Table1[[#This Row],[Category and Sub-Category]],LEN(Table1[[#This Row],[Category and Sub-Category]])-FIND("/",Table1[[#This Row],[Category and Sub-Category]]))</f>
        <v>plays</v>
      </c>
    </row>
    <row r="3142" spans="1:22" ht="57.6" x14ac:dyDescent="0.3">
      <c r="A3142">
        <v>3140</v>
      </c>
      <c r="B3142" s="3" t="s">
        <v>3140</v>
      </c>
      <c r="C3142" s="3" t="s">
        <v>7250</v>
      </c>
      <c r="D3142" s="1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>((Table1[[#This Row],[deadline]]/60)/60/24)+DATE(1970,1,1)</f>
        <v>42832.677118055552</v>
      </c>
      <c r="K3142">
        <v>1488993303</v>
      </c>
      <c r="L3142" s="11">
        <f>((Table1[[#This Row],[launched_at]]/60)/60/24)+DATE(1970,1,1)</f>
        <v>42802.718784722223</v>
      </c>
      <c r="M3142">
        <f>MONTH(Table1[[#This Row],[Date Created Conversion]])</f>
        <v>3</v>
      </c>
      <c r="N3142">
        <f>YEAR(Table1[[#This Row],[Date Created Conversion]])</f>
        <v>2017</v>
      </c>
      <c r="O3142" t="b">
        <v>0</v>
      </c>
      <c r="P3142">
        <v>4</v>
      </c>
      <c r="Q3142" t="b">
        <v>0</v>
      </c>
      <c r="R3142" t="s">
        <v>8271</v>
      </c>
      <c r="S3142" s="6">
        <f>Table1[[#This Row],[pledged]]/Table1[[#This Row],[goal]]</f>
        <v>9.5999999999999992E-3</v>
      </c>
      <c r="T3142" s="8">
        <f>IF(Table1[[#This Row],[pledged]]=0,"no backers",Table1[[#This Row],[pledged]]/Table1[[#This Row],[backers_count]])</f>
        <v>24</v>
      </c>
      <c r="U3142" t="str">
        <f>LEFT(Table1[[#This Row],[Category and Sub-Category]],FIND("/",Table1[[#This Row],[Category and Sub-Category]])-1)</f>
        <v>theater</v>
      </c>
      <c r="V3142" t="str">
        <f>RIGHT(Table1[[#This Row],[Category and Sub-Category]],LEN(Table1[[#This Row],[Category and Sub-Category]])-FIND("/",Table1[[#This Row],[Category and Sub-Category]]))</f>
        <v>plays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 s="12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>((Table1[[#This Row],[deadline]]/60)/60/24)+DATE(1970,1,1)</f>
        <v>42841.833333333328</v>
      </c>
      <c r="K3143">
        <v>1488823488</v>
      </c>
      <c r="L3143" s="11">
        <f>((Table1[[#This Row],[launched_at]]/60)/60/24)+DATE(1970,1,1)</f>
        <v>42800.753333333334</v>
      </c>
      <c r="M3143">
        <f>MONTH(Table1[[#This Row],[Date Created Conversion]])</f>
        <v>3</v>
      </c>
      <c r="N3143">
        <f>YEAR(Table1[[#This Row],[Date Created Conversion]])</f>
        <v>2017</v>
      </c>
      <c r="O3143" t="b">
        <v>0</v>
      </c>
      <c r="P3143">
        <v>8</v>
      </c>
      <c r="Q3143" t="b">
        <v>0</v>
      </c>
      <c r="R3143" t="s">
        <v>8271</v>
      </c>
      <c r="S3143" s="6">
        <f>Table1[[#This Row],[pledged]]/Table1[[#This Row],[goal]]</f>
        <v>0.51600000000000001</v>
      </c>
      <c r="T3143" s="8">
        <f>IF(Table1[[#This Row],[pledged]]=0,"no backers",Table1[[#This Row],[pledged]]/Table1[[#This Row],[backers_count]])</f>
        <v>32.25</v>
      </c>
      <c r="U3143" t="str">
        <f>LEFT(Table1[[#This Row],[Category and Sub-Category]],FIND("/",Table1[[#This Row],[Category and Sub-Category]])-1)</f>
        <v>theater</v>
      </c>
      <c r="V3143" t="str">
        <f>RIGHT(Table1[[#This Row],[Category and Sub-Category]],LEN(Table1[[#This Row],[Category and Sub-Category]])-FIND("/",Table1[[#This Row],[Category and Sub-Category]]))</f>
        <v>plays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 s="12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>((Table1[[#This Row],[deadline]]/60)/60/24)+DATE(1970,1,1)</f>
        <v>42813.471516203703</v>
      </c>
      <c r="K3144">
        <v>1487333939</v>
      </c>
      <c r="L3144" s="11">
        <f>((Table1[[#This Row],[launched_at]]/60)/60/24)+DATE(1970,1,1)</f>
        <v>42783.513182870374</v>
      </c>
      <c r="M3144">
        <f>MONTH(Table1[[#This Row],[Date Created Conversion]])</f>
        <v>2</v>
      </c>
      <c r="N3144">
        <f>YEAR(Table1[[#This Row],[Date Created Conversion]])</f>
        <v>2017</v>
      </c>
      <c r="O3144" t="b">
        <v>0</v>
      </c>
      <c r="P3144">
        <v>3</v>
      </c>
      <c r="Q3144" t="b">
        <v>0</v>
      </c>
      <c r="R3144" t="s">
        <v>8271</v>
      </c>
      <c r="S3144" s="6">
        <f>Table1[[#This Row],[pledged]]/Table1[[#This Row],[goal]]</f>
        <v>1.6363636363636365E-2</v>
      </c>
      <c r="T3144" s="8">
        <f>IF(Table1[[#This Row],[pledged]]=0,"no backers",Table1[[#This Row],[pledged]]/Table1[[#This Row],[backers_count]])</f>
        <v>15</v>
      </c>
      <c r="U3144" t="str">
        <f>LEFT(Table1[[#This Row],[Category and Sub-Category]],FIND("/",Table1[[#This Row],[Category and Sub-Category]])-1)</f>
        <v>theater</v>
      </c>
      <c r="V3144" t="str">
        <f>RIGHT(Table1[[#This Row],[Category and Sub-Category]],LEN(Table1[[#This Row],[Category and Sub-Category]])-FIND("/",Table1[[#This Row],[Category and Sub-Category]]))</f>
        <v>plays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 s="12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>((Table1[[#This Row],[deadline]]/60)/60/24)+DATE(1970,1,1)</f>
        <v>42834.358287037037</v>
      </c>
      <c r="K3145">
        <v>1489480556</v>
      </c>
      <c r="L3145" s="11">
        <f>((Table1[[#This Row],[launched_at]]/60)/60/24)+DATE(1970,1,1)</f>
        <v>42808.358287037037</v>
      </c>
      <c r="M3145">
        <f>MONTH(Table1[[#This Row],[Date Created Conversion]])</f>
        <v>3</v>
      </c>
      <c r="N3145">
        <f>YEAR(Table1[[#This Row],[Date Created Conversion]])</f>
        <v>2017</v>
      </c>
      <c r="O3145" t="b">
        <v>0</v>
      </c>
      <c r="P3145">
        <v>0</v>
      </c>
      <c r="Q3145" t="b">
        <v>0</v>
      </c>
      <c r="R3145" t="s">
        <v>8271</v>
      </c>
      <c r="S3145" s="6">
        <f>Table1[[#This Row],[pledged]]/Table1[[#This Row],[goal]]</f>
        <v>0</v>
      </c>
      <c r="T3145" s="8" t="str">
        <f>IF(Table1[[#This Row],[pledged]]=0,"no backers",Table1[[#This Row],[pledged]]/Table1[[#This Row],[backers_count]])</f>
        <v>no backers</v>
      </c>
      <c r="U3145" t="str">
        <f>LEFT(Table1[[#This Row],[Category and Sub-Category]],FIND("/",Table1[[#This Row],[Category and Sub-Category]])-1)</f>
        <v>theater</v>
      </c>
      <c r="V3145" t="str">
        <f>RIGHT(Table1[[#This Row],[Category and Sub-Category]],LEN(Table1[[#This Row],[Category and Sub-Category]])-FIND("/",Table1[[#This Row],[Category and Sub-Category]]))</f>
        <v>plays</v>
      </c>
    </row>
    <row r="3146" spans="1:22" ht="57.6" x14ac:dyDescent="0.3">
      <c r="A3146">
        <v>3144</v>
      </c>
      <c r="B3146" s="3" t="s">
        <v>3144</v>
      </c>
      <c r="C3146" s="3" t="s">
        <v>7254</v>
      </c>
      <c r="D3146" s="12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>((Table1[[#This Row],[deadline]]/60)/60/24)+DATE(1970,1,1)</f>
        <v>42813.25</v>
      </c>
      <c r="K3146">
        <v>1488459307</v>
      </c>
      <c r="L3146" s="11">
        <f>((Table1[[#This Row],[launched_at]]/60)/60/24)+DATE(1970,1,1)</f>
        <v>42796.538275462968</v>
      </c>
      <c r="M3146">
        <f>MONTH(Table1[[#This Row],[Date Created Conversion]])</f>
        <v>3</v>
      </c>
      <c r="N3146">
        <f>YEAR(Table1[[#This Row],[Date Created Conversion]])</f>
        <v>2017</v>
      </c>
      <c r="O3146" t="b">
        <v>0</v>
      </c>
      <c r="P3146">
        <v>30</v>
      </c>
      <c r="Q3146" t="b">
        <v>0</v>
      </c>
      <c r="R3146" t="s">
        <v>8271</v>
      </c>
      <c r="S3146" s="6">
        <f>Table1[[#This Row],[pledged]]/Table1[[#This Row],[goal]]</f>
        <v>0.754</v>
      </c>
      <c r="T3146" s="8">
        <f>IF(Table1[[#This Row],[pledged]]=0,"no backers",Table1[[#This Row],[pledged]]/Table1[[#This Row],[backers_count]])</f>
        <v>251.33333333333334</v>
      </c>
      <c r="U3146" t="str">
        <f>LEFT(Table1[[#This Row],[Category and Sub-Category]],FIND("/",Table1[[#This Row],[Category and Sub-Category]])-1)</f>
        <v>theater</v>
      </c>
      <c r="V3146" t="str">
        <f>RIGHT(Table1[[#This Row],[Category and Sub-Category]],LEN(Table1[[#This Row],[Category and Sub-Category]])-FIND("/",Table1[[#This Row],[Category and Sub-Category]]))</f>
        <v>plays</v>
      </c>
    </row>
    <row r="3147" spans="1:22" ht="43.2" x14ac:dyDescent="0.3">
      <c r="A3147">
        <v>3145</v>
      </c>
      <c r="B3147" s="3" t="s">
        <v>3145</v>
      </c>
      <c r="C3147" s="3" t="s">
        <v>7255</v>
      </c>
      <c r="D3147" s="12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>((Table1[[#This Row],[deadline]]/60)/60/24)+DATE(1970,1,1)</f>
        <v>42821.999236111107</v>
      </c>
      <c r="K3147">
        <v>1485478734</v>
      </c>
      <c r="L3147" s="11">
        <f>((Table1[[#This Row],[launched_at]]/60)/60/24)+DATE(1970,1,1)</f>
        <v>42762.040902777779</v>
      </c>
      <c r="M3147">
        <f>MONTH(Table1[[#This Row],[Date Created Conversion]])</f>
        <v>1</v>
      </c>
      <c r="N3147">
        <f>YEAR(Table1[[#This Row],[Date Created Conversion]])</f>
        <v>2017</v>
      </c>
      <c r="O3147" t="b">
        <v>0</v>
      </c>
      <c r="P3147">
        <v>0</v>
      </c>
      <c r="Q3147" t="b">
        <v>0</v>
      </c>
      <c r="R3147" t="s">
        <v>8271</v>
      </c>
      <c r="S3147" s="6">
        <f>Table1[[#This Row],[pledged]]/Table1[[#This Row],[goal]]</f>
        <v>0</v>
      </c>
      <c r="T3147" s="8" t="str">
        <f>IF(Table1[[#This Row],[pledged]]=0,"no backers",Table1[[#This Row],[pledged]]/Table1[[#This Row],[backers_count]])</f>
        <v>no backers</v>
      </c>
      <c r="U3147" t="str">
        <f>LEFT(Table1[[#This Row],[Category and Sub-Category]],FIND("/",Table1[[#This Row],[Category and Sub-Category]])-1)</f>
        <v>theater</v>
      </c>
      <c r="V3147" t="str">
        <f>RIGHT(Table1[[#This Row],[Category and Sub-Category]],LEN(Table1[[#This Row],[Category and Sub-Category]])-FIND("/",Table1[[#This Row],[Category and Sub-Category]]))</f>
        <v>plays</v>
      </c>
    </row>
    <row r="3148" spans="1:22" ht="43.2" x14ac:dyDescent="0.3">
      <c r="A3148">
        <v>3146</v>
      </c>
      <c r="B3148" s="3" t="s">
        <v>3146</v>
      </c>
      <c r="C3148" s="3" t="s">
        <v>7256</v>
      </c>
      <c r="D3148" s="12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>((Table1[[#This Row],[deadline]]/60)/60/24)+DATE(1970,1,1)</f>
        <v>42841.640810185185</v>
      </c>
      <c r="K3148">
        <v>1488471766</v>
      </c>
      <c r="L3148" s="11">
        <f>((Table1[[#This Row],[launched_at]]/60)/60/24)+DATE(1970,1,1)</f>
        <v>42796.682476851856</v>
      </c>
      <c r="M3148">
        <f>MONTH(Table1[[#This Row],[Date Created Conversion]])</f>
        <v>3</v>
      </c>
      <c r="N3148">
        <f>YEAR(Table1[[#This Row],[Date Created Conversion]])</f>
        <v>2017</v>
      </c>
      <c r="O3148" t="b">
        <v>0</v>
      </c>
      <c r="P3148">
        <v>12</v>
      </c>
      <c r="Q3148" t="b">
        <v>0</v>
      </c>
      <c r="R3148" t="s">
        <v>8271</v>
      </c>
      <c r="S3148" s="6">
        <f>Table1[[#This Row],[pledged]]/Table1[[#This Row],[goal]]</f>
        <v>0.105</v>
      </c>
      <c r="T3148" s="8">
        <f>IF(Table1[[#This Row],[pledged]]=0,"no backers",Table1[[#This Row],[pledged]]/Table1[[#This Row],[backers_count]])</f>
        <v>437.5</v>
      </c>
      <c r="U3148" t="str">
        <f>LEFT(Table1[[#This Row],[Category and Sub-Category]],FIND("/",Table1[[#This Row],[Category and Sub-Category]])-1)</f>
        <v>theater</v>
      </c>
      <c r="V3148" t="str">
        <f>RIGHT(Table1[[#This Row],[Category and Sub-Category]],LEN(Table1[[#This Row],[Category and Sub-Category]])-FIND("/",Table1[[#This Row],[Category and Sub-Category]]))</f>
        <v>plays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 s="12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>((Table1[[#This Row],[deadline]]/60)/60/24)+DATE(1970,1,1)</f>
        <v>41950.011053240742</v>
      </c>
      <c r="K3149">
        <v>1411859755</v>
      </c>
      <c r="L3149" s="11">
        <f>((Table1[[#This Row],[launched_at]]/60)/60/24)+DATE(1970,1,1)</f>
        <v>41909.969386574077</v>
      </c>
      <c r="M3149">
        <f>MONTH(Table1[[#This Row],[Date Created Conversion]])</f>
        <v>9</v>
      </c>
      <c r="N3149">
        <f>YEAR(Table1[[#This Row],[Date Created Conversion]])</f>
        <v>2014</v>
      </c>
      <c r="O3149" t="b">
        <v>1</v>
      </c>
      <c r="P3149">
        <v>213</v>
      </c>
      <c r="Q3149" t="b">
        <v>1</v>
      </c>
      <c r="R3149" t="s">
        <v>8271</v>
      </c>
      <c r="S3149" s="6">
        <f>Table1[[#This Row],[pledged]]/Table1[[#This Row],[goal]]</f>
        <v>1.1752499999999999</v>
      </c>
      <c r="T3149" s="8">
        <f>IF(Table1[[#This Row],[pledged]]=0,"no backers",Table1[[#This Row],[pledged]]/Table1[[#This Row],[backers_count]])</f>
        <v>110.35211267605634</v>
      </c>
      <c r="U3149" t="str">
        <f>LEFT(Table1[[#This Row],[Category and Sub-Category]],FIND("/",Table1[[#This Row],[Category and Sub-Category]])-1)</f>
        <v>theater</v>
      </c>
      <c r="V3149" t="str">
        <f>RIGHT(Table1[[#This Row],[Category and Sub-Category]],LEN(Table1[[#This Row],[Category and Sub-Category]])-FIND("/",Table1[[#This Row],[Category and Sub-Category]]))</f>
        <v>plays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 s="12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>((Table1[[#This Row],[deadline]]/60)/60/24)+DATE(1970,1,1)</f>
        <v>41913.166666666664</v>
      </c>
      <c r="K3150">
        <v>1410278284</v>
      </c>
      <c r="L3150" s="11">
        <f>((Table1[[#This Row],[launched_at]]/60)/60/24)+DATE(1970,1,1)</f>
        <v>41891.665324074071</v>
      </c>
      <c r="M3150">
        <f>MONTH(Table1[[#This Row],[Date Created Conversion]])</f>
        <v>9</v>
      </c>
      <c r="N3150">
        <f>YEAR(Table1[[#This Row],[Date Created Conversion]])</f>
        <v>2014</v>
      </c>
      <c r="O3150" t="b">
        <v>1</v>
      </c>
      <c r="P3150">
        <v>57</v>
      </c>
      <c r="Q3150" t="b">
        <v>1</v>
      </c>
      <c r="R3150" t="s">
        <v>8271</v>
      </c>
      <c r="S3150" s="6">
        <f>Table1[[#This Row],[pledged]]/Table1[[#This Row],[goal]]</f>
        <v>1.3116666666666668</v>
      </c>
      <c r="T3150" s="8">
        <f>IF(Table1[[#This Row],[pledged]]=0,"no backers",Table1[[#This Row],[pledged]]/Table1[[#This Row],[backers_count]])</f>
        <v>41.421052631578945</v>
      </c>
      <c r="U3150" t="str">
        <f>LEFT(Table1[[#This Row],[Category and Sub-Category]],FIND("/",Table1[[#This Row],[Category and Sub-Category]])-1)</f>
        <v>theater</v>
      </c>
      <c r="V3150" t="str">
        <f>RIGHT(Table1[[#This Row],[Category and Sub-Category]],LEN(Table1[[#This Row],[Category and Sub-Category]])-FIND("/",Table1[[#This Row],[Category and Sub-Category]]))</f>
        <v>plays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 s="12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>((Table1[[#This Row],[deadline]]/60)/60/24)+DATE(1970,1,1)</f>
        <v>41250.083333333336</v>
      </c>
      <c r="K3151">
        <v>1352766300</v>
      </c>
      <c r="L3151" s="11">
        <f>((Table1[[#This Row],[launched_at]]/60)/60/24)+DATE(1970,1,1)</f>
        <v>41226.017361111109</v>
      </c>
      <c r="M3151">
        <f>MONTH(Table1[[#This Row],[Date Created Conversion]])</f>
        <v>11</v>
      </c>
      <c r="N3151">
        <f>YEAR(Table1[[#This Row],[Date Created Conversion]])</f>
        <v>2012</v>
      </c>
      <c r="O3151" t="b">
        <v>1</v>
      </c>
      <c r="P3151">
        <v>25</v>
      </c>
      <c r="Q3151" t="b">
        <v>1</v>
      </c>
      <c r="R3151" t="s">
        <v>8271</v>
      </c>
      <c r="S3151" s="6">
        <f>Table1[[#This Row],[pledged]]/Table1[[#This Row],[goal]]</f>
        <v>1.04</v>
      </c>
      <c r="T3151" s="8">
        <f>IF(Table1[[#This Row],[pledged]]=0,"no backers",Table1[[#This Row],[pledged]]/Table1[[#This Row],[backers_count]])</f>
        <v>52</v>
      </c>
      <c r="U3151" t="str">
        <f>LEFT(Table1[[#This Row],[Category and Sub-Category]],FIND("/",Table1[[#This Row],[Category and Sub-Category]])-1)</f>
        <v>theater</v>
      </c>
      <c r="V3151" t="str">
        <f>RIGHT(Table1[[#This Row],[Category and Sub-Category]],LEN(Table1[[#This Row],[Category and Sub-Category]])-FIND("/",Table1[[#This Row],[Category and Sub-Category]]))</f>
        <v>plays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 s="1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>((Table1[[#This Row],[deadline]]/60)/60/24)+DATE(1970,1,1)</f>
        <v>40568.166666666664</v>
      </c>
      <c r="K3152">
        <v>1288160403</v>
      </c>
      <c r="L3152" s="11">
        <f>((Table1[[#This Row],[launched_at]]/60)/60/24)+DATE(1970,1,1)</f>
        <v>40478.263923611114</v>
      </c>
      <c r="M3152">
        <f>MONTH(Table1[[#This Row],[Date Created Conversion]])</f>
        <v>10</v>
      </c>
      <c r="N3152">
        <f>YEAR(Table1[[#This Row],[Date Created Conversion]])</f>
        <v>2010</v>
      </c>
      <c r="O3152" t="b">
        <v>1</v>
      </c>
      <c r="P3152">
        <v>104</v>
      </c>
      <c r="Q3152" t="b">
        <v>1</v>
      </c>
      <c r="R3152" t="s">
        <v>8271</v>
      </c>
      <c r="S3152" s="6">
        <f>Table1[[#This Row],[pledged]]/Table1[[#This Row],[goal]]</f>
        <v>1.01</v>
      </c>
      <c r="T3152" s="8">
        <f>IF(Table1[[#This Row],[pledged]]=0,"no backers",Table1[[#This Row],[pledged]]/Table1[[#This Row],[backers_count]])</f>
        <v>33.990384615384613</v>
      </c>
      <c r="U3152" t="str">
        <f>LEFT(Table1[[#This Row],[Category and Sub-Category]],FIND("/",Table1[[#This Row],[Category and Sub-Category]])-1)</f>
        <v>theater</v>
      </c>
      <c r="V3152" t="str">
        <f>RIGHT(Table1[[#This Row],[Category and Sub-Category]],LEN(Table1[[#This Row],[Category and Sub-Category]])-FIND("/",Table1[[#This Row],[Category and Sub-Category]]))</f>
        <v>plays</v>
      </c>
    </row>
    <row r="3153" spans="1:22" ht="43.2" x14ac:dyDescent="0.3">
      <c r="A3153">
        <v>3151</v>
      </c>
      <c r="B3153" s="3" t="s">
        <v>3151</v>
      </c>
      <c r="C3153" s="3" t="s">
        <v>7261</v>
      </c>
      <c r="D3153" s="12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>((Table1[[#This Row],[deadline]]/60)/60/24)+DATE(1970,1,1)</f>
        <v>41892.83997685185</v>
      </c>
      <c r="K3153">
        <v>1407787774</v>
      </c>
      <c r="L3153" s="11">
        <f>((Table1[[#This Row],[launched_at]]/60)/60/24)+DATE(1970,1,1)</f>
        <v>41862.83997685185</v>
      </c>
      <c r="M3153">
        <f>MONTH(Table1[[#This Row],[Date Created Conversion]])</f>
        <v>8</v>
      </c>
      <c r="N3153">
        <f>YEAR(Table1[[#This Row],[Date Created Conversion]])</f>
        <v>2014</v>
      </c>
      <c r="O3153" t="b">
        <v>1</v>
      </c>
      <c r="P3153">
        <v>34</v>
      </c>
      <c r="Q3153" t="b">
        <v>1</v>
      </c>
      <c r="R3153" t="s">
        <v>8271</v>
      </c>
      <c r="S3153" s="6">
        <f>Table1[[#This Row],[pledged]]/Table1[[#This Row],[goal]]</f>
        <v>1.004</v>
      </c>
      <c r="T3153" s="8">
        <f>IF(Table1[[#This Row],[pledged]]=0,"no backers",Table1[[#This Row],[pledged]]/Table1[[#This Row],[backers_count]])</f>
        <v>103.35294117647059</v>
      </c>
      <c r="U3153" t="str">
        <f>LEFT(Table1[[#This Row],[Category and Sub-Category]],FIND("/",Table1[[#This Row],[Category and Sub-Category]])-1)</f>
        <v>theater</v>
      </c>
      <c r="V3153" t="str">
        <f>RIGHT(Table1[[#This Row],[Category and Sub-Category]],LEN(Table1[[#This Row],[Category and Sub-Category]])-FIND("/",Table1[[#This Row],[Category and Sub-Category]]))</f>
        <v>plays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 s="12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>((Table1[[#This Row],[deadline]]/60)/60/24)+DATE(1970,1,1)</f>
        <v>41580.867673611108</v>
      </c>
      <c r="K3154">
        <v>1380833367</v>
      </c>
      <c r="L3154" s="11">
        <f>((Table1[[#This Row],[launched_at]]/60)/60/24)+DATE(1970,1,1)</f>
        <v>41550.867673611108</v>
      </c>
      <c r="M3154">
        <f>MONTH(Table1[[#This Row],[Date Created Conversion]])</f>
        <v>10</v>
      </c>
      <c r="N3154">
        <f>YEAR(Table1[[#This Row],[Date Created Conversion]])</f>
        <v>2013</v>
      </c>
      <c r="O3154" t="b">
        <v>1</v>
      </c>
      <c r="P3154">
        <v>67</v>
      </c>
      <c r="Q3154" t="b">
        <v>1</v>
      </c>
      <c r="R3154" t="s">
        <v>8271</v>
      </c>
      <c r="S3154" s="6">
        <f>Table1[[#This Row],[pledged]]/Table1[[#This Row],[goal]]</f>
        <v>1.0595454545454546</v>
      </c>
      <c r="T3154" s="8">
        <f>IF(Table1[[#This Row],[pledged]]=0,"no backers",Table1[[#This Row],[pledged]]/Table1[[#This Row],[backers_count]])</f>
        <v>34.791044776119406</v>
      </c>
      <c r="U3154" t="str">
        <f>LEFT(Table1[[#This Row],[Category and Sub-Category]],FIND("/",Table1[[#This Row],[Category and Sub-Category]])-1)</f>
        <v>theater</v>
      </c>
      <c r="V3154" t="str">
        <f>RIGHT(Table1[[#This Row],[Category and Sub-Category]],LEN(Table1[[#This Row],[Category and Sub-Category]])-FIND("/",Table1[[#This Row],[Category and Sub-Category]]))</f>
        <v>plays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 s="12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>((Table1[[#This Row],[deadline]]/60)/60/24)+DATE(1970,1,1)</f>
        <v>40664.207638888889</v>
      </c>
      <c r="K3155">
        <v>1301542937</v>
      </c>
      <c r="L3155" s="11">
        <f>((Table1[[#This Row],[launched_at]]/60)/60/24)+DATE(1970,1,1)</f>
        <v>40633.154363425929</v>
      </c>
      <c r="M3155">
        <f>MONTH(Table1[[#This Row],[Date Created Conversion]])</f>
        <v>3</v>
      </c>
      <c r="N3155">
        <f>YEAR(Table1[[#This Row],[Date Created Conversion]])</f>
        <v>2011</v>
      </c>
      <c r="O3155" t="b">
        <v>1</v>
      </c>
      <c r="P3155">
        <v>241</v>
      </c>
      <c r="Q3155" t="b">
        <v>1</v>
      </c>
      <c r="R3155" t="s">
        <v>8271</v>
      </c>
      <c r="S3155" s="6">
        <f>Table1[[#This Row],[pledged]]/Table1[[#This Row],[goal]]</f>
        <v>3.3558333333333334</v>
      </c>
      <c r="T3155" s="8">
        <f>IF(Table1[[#This Row],[pledged]]=0,"no backers",Table1[[#This Row],[pledged]]/Table1[[#This Row],[backers_count]])</f>
        <v>41.773858921161825</v>
      </c>
      <c r="U3155" t="str">
        <f>LEFT(Table1[[#This Row],[Category and Sub-Category]],FIND("/",Table1[[#This Row],[Category and Sub-Category]])-1)</f>
        <v>theater</v>
      </c>
      <c r="V3155" t="str">
        <f>RIGHT(Table1[[#This Row],[Category and Sub-Category]],LEN(Table1[[#This Row],[Category and Sub-Category]])-FIND("/",Table1[[#This Row],[Category and Sub-Category]]))</f>
        <v>plays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 s="12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>((Table1[[#This Row],[deadline]]/60)/60/24)+DATE(1970,1,1)</f>
        <v>41000.834004629629</v>
      </c>
      <c r="K3156">
        <v>1330722058</v>
      </c>
      <c r="L3156" s="11">
        <f>((Table1[[#This Row],[launched_at]]/60)/60/24)+DATE(1970,1,1)</f>
        <v>40970.875671296293</v>
      </c>
      <c r="M3156">
        <f>MONTH(Table1[[#This Row],[Date Created Conversion]])</f>
        <v>3</v>
      </c>
      <c r="N3156">
        <f>YEAR(Table1[[#This Row],[Date Created Conversion]])</f>
        <v>2012</v>
      </c>
      <c r="O3156" t="b">
        <v>1</v>
      </c>
      <c r="P3156">
        <v>123</v>
      </c>
      <c r="Q3156" t="b">
        <v>1</v>
      </c>
      <c r="R3156" t="s">
        <v>8271</v>
      </c>
      <c r="S3156" s="6">
        <f>Table1[[#This Row],[pledged]]/Table1[[#This Row],[goal]]</f>
        <v>1.1292857142857142</v>
      </c>
      <c r="T3156" s="8">
        <f>IF(Table1[[#This Row],[pledged]]=0,"no backers",Table1[[#This Row],[pledged]]/Table1[[#This Row],[backers_count]])</f>
        <v>64.268292682926827</v>
      </c>
      <c r="U3156" t="str">
        <f>LEFT(Table1[[#This Row],[Category and Sub-Category]],FIND("/",Table1[[#This Row],[Category and Sub-Category]])-1)</f>
        <v>theater</v>
      </c>
      <c r="V3156" t="str">
        <f>RIGHT(Table1[[#This Row],[Category and Sub-Category]],LEN(Table1[[#This Row],[Category and Sub-Category]])-FIND("/",Table1[[#This Row],[Category and Sub-Category]]))</f>
        <v>plays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 s="12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>((Table1[[#This Row],[deadline]]/60)/60/24)+DATE(1970,1,1)</f>
        <v>41263.499131944445</v>
      </c>
      <c r="K3157">
        <v>1353412725</v>
      </c>
      <c r="L3157" s="11">
        <f>((Table1[[#This Row],[launched_at]]/60)/60/24)+DATE(1970,1,1)</f>
        <v>41233.499131944445</v>
      </c>
      <c r="M3157">
        <f>MONTH(Table1[[#This Row],[Date Created Conversion]])</f>
        <v>11</v>
      </c>
      <c r="N3157">
        <f>YEAR(Table1[[#This Row],[Date Created Conversion]])</f>
        <v>2012</v>
      </c>
      <c r="O3157" t="b">
        <v>1</v>
      </c>
      <c r="P3157">
        <v>302</v>
      </c>
      <c r="Q3157" t="b">
        <v>1</v>
      </c>
      <c r="R3157" t="s">
        <v>8271</v>
      </c>
      <c r="S3157" s="6">
        <f>Table1[[#This Row],[pledged]]/Table1[[#This Row],[goal]]</f>
        <v>1.885046</v>
      </c>
      <c r="T3157" s="8">
        <f>IF(Table1[[#This Row],[pledged]]=0,"no backers",Table1[[#This Row],[pledged]]/Table1[[#This Row],[backers_count]])</f>
        <v>31.209370860927152</v>
      </c>
      <c r="U3157" t="str">
        <f>LEFT(Table1[[#This Row],[Category and Sub-Category]],FIND("/",Table1[[#This Row],[Category and Sub-Category]])-1)</f>
        <v>theater</v>
      </c>
      <c r="V3157" t="str">
        <f>RIGHT(Table1[[#This Row],[Category and Sub-Category]],LEN(Table1[[#This Row],[Category and Sub-Category]])-FIND("/",Table1[[#This Row],[Category and Sub-Category]]))</f>
        <v>plays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 s="12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>((Table1[[#This Row],[deadline]]/60)/60/24)+DATE(1970,1,1)</f>
        <v>41061.953055555554</v>
      </c>
      <c r="K3158">
        <v>1335567144</v>
      </c>
      <c r="L3158" s="11">
        <f>((Table1[[#This Row],[launched_at]]/60)/60/24)+DATE(1970,1,1)</f>
        <v>41026.953055555554</v>
      </c>
      <c r="M3158">
        <f>MONTH(Table1[[#This Row],[Date Created Conversion]])</f>
        <v>4</v>
      </c>
      <c r="N3158">
        <f>YEAR(Table1[[#This Row],[Date Created Conversion]])</f>
        <v>2012</v>
      </c>
      <c r="O3158" t="b">
        <v>1</v>
      </c>
      <c r="P3158">
        <v>89</v>
      </c>
      <c r="Q3158" t="b">
        <v>1</v>
      </c>
      <c r="R3158" t="s">
        <v>8271</v>
      </c>
      <c r="S3158" s="6">
        <f>Table1[[#This Row],[pledged]]/Table1[[#This Row],[goal]]</f>
        <v>1.0181818181818181</v>
      </c>
      <c r="T3158" s="8">
        <f>IF(Table1[[#This Row],[pledged]]=0,"no backers",Table1[[#This Row],[pledged]]/Table1[[#This Row],[backers_count]])</f>
        <v>62.921348314606739</v>
      </c>
      <c r="U3158" t="str">
        <f>LEFT(Table1[[#This Row],[Category and Sub-Category]],FIND("/",Table1[[#This Row],[Category and Sub-Category]])-1)</f>
        <v>theater</v>
      </c>
      <c r="V3158" t="str">
        <f>RIGHT(Table1[[#This Row],[Category and Sub-Category]],LEN(Table1[[#This Row],[Category and Sub-Category]])-FIND("/",Table1[[#This Row],[Category and Sub-Category]]))</f>
        <v>plays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 s="12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>((Table1[[#This Row],[deadline]]/60)/60/24)+DATE(1970,1,1)</f>
        <v>41839.208333333336</v>
      </c>
      <c r="K3159">
        <v>1404932105</v>
      </c>
      <c r="L3159" s="11">
        <f>((Table1[[#This Row],[launched_at]]/60)/60/24)+DATE(1970,1,1)</f>
        <v>41829.788252314815</v>
      </c>
      <c r="M3159">
        <f>MONTH(Table1[[#This Row],[Date Created Conversion]])</f>
        <v>7</v>
      </c>
      <c r="N3159">
        <f>YEAR(Table1[[#This Row],[Date Created Conversion]])</f>
        <v>2014</v>
      </c>
      <c r="O3159" t="b">
        <v>1</v>
      </c>
      <c r="P3159">
        <v>41</v>
      </c>
      <c r="Q3159" t="b">
        <v>1</v>
      </c>
      <c r="R3159" t="s">
        <v>8271</v>
      </c>
      <c r="S3159" s="6">
        <f>Table1[[#This Row],[pledged]]/Table1[[#This Row],[goal]]</f>
        <v>1.01</v>
      </c>
      <c r="T3159" s="8">
        <f>IF(Table1[[#This Row],[pledged]]=0,"no backers",Table1[[#This Row],[pledged]]/Table1[[#This Row],[backers_count]])</f>
        <v>98.536585365853654</v>
      </c>
      <c r="U3159" t="str">
        <f>LEFT(Table1[[#This Row],[Category and Sub-Category]],FIND("/",Table1[[#This Row],[Category and Sub-Category]])-1)</f>
        <v>theater</v>
      </c>
      <c r="V3159" t="str">
        <f>RIGHT(Table1[[#This Row],[Category and Sub-Category]],LEN(Table1[[#This Row],[Category and Sub-Category]])-FIND("/",Table1[[#This Row],[Category and Sub-Category]]))</f>
        <v>plays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 s="12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>((Table1[[#This Row],[deadline]]/60)/60/24)+DATE(1970,1,1)</f>
        <v>41477.839722222219</v>
      </c>
      <c r="K3160">
        <v>1371931752</v>
      </c>
      <c r="L3160" s="11">
        <f>((Table1[[#This Row],[launched_at]]/60)/60/24)+DATE(1970,1,1)</f>
        <v>41447.839722222219</v>
      </c>
      <c r="M3160">
        <f>MONTH(Table1[[#This Row],[Date Created Conversion]])</f>
        <v>6</v>
      </c>
      <c r="N3160">
        <f>YEAR(Table1[[#This Row],[Date Created Conversion]])</f>
        <v>2013</v>
      </c>
      <c r="O3160" t="b">
        <v>1</v>
      </c>
      <c r="P3160">
        <v>69</v>
      </c>
      <c r="Q3160" t="b">
        <v>1</v>
      </c>
      <c r="R3160" t="s">
        <v>8271</v>
      </c>
      <c r="S3160" s="6">
        <f>Table1[[#This Row],[pledged]]/Table1[[#This Row],[goal]]</f>
        <v>1.1399999999999999</v>
      </c>
      <c r="T3160" s="8">
        <f>IF(Table1[[#This Row],[pledged]]=0,"no backers",Table1[[#This Row],[pledged]]/Table1[[#This Row],[backers_count]])</f>
        <v>82.608695652173907</v>
      </c>
      <c r="U3160" t="str">
        <f>LEFT(Table1[[#This Row],[Category and Sub-Category]],FIND("/",Table1[[#This Row],[Category and Sub-Category]])-1)</f>
        <v>theater</v>
      </c>
      <c r="V3160" t="str">
        <f>RIGHT(Table1[[#This Row],[Category and Sub-Category]],LEN(Table1[[#This Row],[Category and Sub-Category]])-FIND("/",Table1[[#This Row],[Category and Sub-Category]]))</f>
        <v>plays</v>
      </c>
    </row>
    <row r="3161" spans="1:22" ht="43.2" x14ac:dyDescent="0.3">
      <c r="A3161">
        <v>3159</v>
      </c>
      <c r="B3161" s="3" t="s">
        <v>3159</v>
      </c>
      <c r="C3161" s="3" t="s">
        <v>7269</v>
      </c>
      <c r="D3161" s="12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>((Table1[[#This Row],[deadline]]/60)/60/24)+DATE(1970,1,1)</f>
        <v>40926.958333333336</v>
      </c>
      <c r="K3161">
        <v>1323221761</v>
      </c>
      <c r="L3161" s="11">
        <f>((Table1[[#This Row],[launched_at]]/60)/60/24)+DATE(1970,1,1)</f>
        <v>40884.066678240742</v>
      </c>
      <c r="M3161">
        <f>MONTH(Table1[[#This Row],[Date Created Conversion]])</f>
        <v>12</v>
      </c>
      <c r="N3161">
        <f>YEAR(Table1[[#This Row],[Date Created Conversion]])</f>
        <v>2011</v>
      </c>
      <c r="O3161" t="b">
        <v>1</v>
      </c>
      <c r="P3161">
        <v>52</v>
      </c>
      <c r="Q3161" t="b">
        <v>1</v>
      </c>
      <c r="R3161" t="s">
        <v>8271</v>
      </c>
      <c r="S3161" s="6">
        <f>Table1[[#This Row],[pledged]]/Table1[[#This Row],[goal]]</f>
        <v>1.3348133333333334</v>
      </c>
      <c r="T3161" s="8">
        <f>IF(Table1[[#This Row],[pledged]]=0,"no backers",Table1[[#This Row],[pledged]]/Table1[[#This Row],[backers_count]])</f>
        <v>38.504230769230773</v>
      </c>
      <c r="U3161" t="str">
        <f>LEFT(Table1[[#This Row],[Category and Sub-Category]],FIND("/",Table1[[#This Row],[Category and Sub-Category]])-1)</f>
        <v>theater</v>
      </c>
      <c r="V3161" t="str">
        <f>RIGHT(Table1[[#This Row],[Category and Sub-Category]],LEN(Table1[[#This Row],[Category and Sub-Category]])-FIND("/",Table1[[#This Row],[Category and Sub-Category]]))</f>
        <v>plays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 s="1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>((Table1[[#This Row],[deadline]]/60)/60/24)+DATE(1970,1,1)</f>
        <v>41864.207638888889</v>
      </c>
      <c r="K3162">
        <v>1405923687</v>
      </c>
      <c r="L3162" s="11">
        <f>((Table1[[#This Row],[launched_at]]/60)/60/24)+DATE(1970,1,1)</f>
        <v>41841.26489583333</v>
      </c>
      <c r="M3162">
        <f>MONTH(Table1[[#This Row],[Date Created Conversion]])</f>
        <v>7</v>
      </c>
      <c r="N3162">
        <f>YEAR(Table1[[#This Row],[Date Created Conversion]])</f>
        <v>2014</v>
      </c>
      <c r="O3162" t="b">
        <v>1</v>
      </c>
      <c r="P3162">
        <v>57</v>
      </c>
      <c r="Q3162" t="b">
        <v>1</v>
      </c>
      <c r="R3162" t="s">
        <v>8271</v>
      </c>
      <c r="S3162" s="6">
        <f>Table1[[#This Row],[pledged]]/Table1[[#This Row],[goal]]</f>
        <v>1.0153333333333334</v>
      </c>
      <c r="T3162" s="8">
        <f>IF(Table1[[#This Row],[pledged]]=0,"no backers",Table1[[#This Row],[pledged]]/Table1[[#This Row],[backers_count]])</f>
        <v>80.15789473684211</v>
      </c>
      <c r="U3162" t="str">
        <f>LEFT(Table1[[#This Row],[Category and Sub-Category]],FIND("/",Table1[[#This Row],[Category and Sub-Category]])-1)</f>
        <v>theater</v>
      </c>
      <c r="V3162" t="str">
        <f>RIGHT(Table1[[#This Row],[Category and Sub-Category]],LEN(Table1[[#This Row],[Category and Sub-Category]])-FIND("/",Table1[[#This Row],[Category and Sub-Category]]))</f>
        <v>plays</v>
      </c>
    </row>
    <row r="3163" spans="1:22" ht="57.6" x14ac:dyDescent="0.3">
      <c r="A3163">
        <v>3161</v>
      </c>
      <c r="B3163" s="3" t="s">
        <v>3161</v>
      </c>
      <c r="C3163" s="3" t="s">
        <v>7271</v>
      </c>
      <c r="D3163" s="12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>((Table1[[#This Row],[deadline]]/60)/60/24)+DATE(1970,1,1)</f>
        <v>41927.536134259259</v>
      </c>
      <c r="K3163">
        <v>1410785522</v>
      </c>
      <c r="L3163" s="11">
        <f>((Table1[[#This Row],[launched_at]]/60)/60/24)+DATE(1970,1,1)</f>
        <v>41897.536134259259</v>
      </c>
      <c r="M3163">
        <f>MONTH(Table1[[#This Row],[Date Created Conversion]])</f>
        <v>9</v>
      </c>
      <c r="N3163">
        <f>YEAR(Table1[[#This Row],[Date Created Conversion]])</f>
        <v>2014</v>
      </c>
      <c r="O3163" t="b">
        <v>1</v>
      </c>
      <c r="P3163">
        <v>74</v>
      </c>
      <c r="Q3163" t="b">
        <v>1</v>
      </c>
      <c r="R3163" t="s">
        <v>8271</v>
      </c>
      <c r="S3163" s="6">
        <f>Table1[[#This Row],[pledged]]/Table1[[#This Row],[goal]]</f>
        <v>1.0509999999999999</v>
      </c>
      <c r="T3163" s="8">
        <f>IF(Table1[[#This Row],[pledged]]=0,"no backers",Table1[[#This Row],[pledged]]/Table1[[#This Row],[backers_count]])</f>
        <v>28.405405405405407</v>
      </c>
      <c r="U3163" t="str">
        <f>LEFT(Table1[[#This Row],[Category and Sub-Category]],FIND("/",Table1[[#This Row],[Category and Sub-Category]])-1)</f>
        <v>theater</v>
      </c>
      <c r="V3163" t="str">
        <f>RIGHT(Table1[[#This Row],[Category and Sub-Category]],LEN(Table1[[#This Row],[Category and Sub-Category]])-FIND("/",Table1[[#This Row],[Category and Sub-Category]]))</f>
        <v>plays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 s="12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>((Table1[[#This Row],[deadline]]/60)/60/24)+DATE(1970,1,1)</f>
        <v>41827.083333333336</v>
      </c>
      <c r="K3164">
        <v>1402331262</v>
      </c>
      <c r="L3164" s="11">
        <f>((Table1[[#This Row],[launched_at]]/60)/60/24)+DATE(1970,1,1)</f>
        <v>41799.685902777775</v>
      </c>
      <c r="M3164">
        <f>MONTH(Table1[[#This Row],[Date Created Conversion]])</f>
        <v>6</v>
      </c>
      <c r="N3164">
        <f>YEAR(Table1[[#This Row],[Date Created Conversion]])</f>
        <v>2014</v>
      </c>
      <c r="O3164" t="b">
        <v>1</v>
      </c>
      <c r="P3164">
        <v>63</v>
      </c>
      <c r="Q3164" t="b">
        <v>1</v>
      </c>
      <c r="R3164" t="s">
        <v>8271</v>
      </c>
      <c r="S3164" s="6">
        <f>Table1[[#This Row],[pledged]]/Table1[[#This Row],[goal]]</f>
        <v>1.2715000000000001</v>
      </c>
      <c r="T3164" s="8">
        <f>IF(Table1[[#This Row],[pledged]]=0,"no backers",Table1[[#This Row],[pledged]]/Table1[[#This Row],[backers_count]])</f>
        <v>80.730158730158735</v>
      </c>
      <c r="U3164" t="str">
        <f>LEFT(Table1[[#This Row],[Category and Sub-Category]],FIND("/",Table1[[#This Row],[Category and Sub-Category]])-1)</f>
        <v>theater</v>
      </c>
      <c r="V3164" t="str">
        <f>RIGHT(Table1[[#This Row],[Category and Sub-Category]],LEN(Table1[[#This Row],[Category and Sub-Category]])-FIND("/",Table1[[#This Row],[Category and Sub-Category]]))</f>
        <v>plays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 s="12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>((Table1[[#This Row],[deadline]]/60)/60/24)+DATE(1970,1,1)</f>
        <v>41805.753761574073</v>
      </c>
      <c r="K3165">
        <v>1400263525</v>
      </c>
      <c r="L3165" s="11">
        <f>((Table1[[#This Row],[launched_at]]/60)/60/24)+DATE(1970,1,1)</f>
        <v>41775.753761574073</v>
      </c>
      <c r="M3165">
        <f>MONTH(Table1[[#This Row],[Date Created Conversion]])</f>
        <v>5</v>
      </c>
      <c r="N3165">
        <f>YEAR(Table1[[#This Row],[Date Created Conversion]])</f>
        <v>2014</v>
      </c>
      <c r="O3165" t="b">
        <v>1</v>
      </c>
      <c r="P3165">
        <v>72</v>
      </c>
      <c r="Q3165" t="b">
        <v>1</v>
      </c>
      <c r="R3165" t="s">
        <v>8271</v>
      </c>
      <c r="S3165" s="6">
        <f>Table1[[#This Row],[pledged]]/Table1[[#This Row],[goal]]</f>
        <v>1.1115384615384616</v>
      </c>
      <c r="T3165" s="8">
        <f>IF(Table1[[#This Row],[pledged]]=0,"no backers",Table1[[#This Row],[pledged]]/Table1[[#This Row],[backers_count]])</f>
        <v>200.69444444444446</v>
      </c>
      <c r="U3165" t="str">
        <f>LEFT(Table1[[#This Row],[Category and Sub-Category]],FIND("/",Table1[[#This Row],[Category and Sub-Category]])-1)</f>
        <v>theater</v>
      </c>
      <c r="V3165" t="str">
        <f>RIGHT(Table1[[#This Row],[Category and Sub-Category]],LEN(Table1[[#This Row],[Category and Sub-Category]])-FIND("/",Table1[[#This Row],[Category and Sub-Category]]))</f>
        <v>plays</v>
      </c>
    </row>
    <row r="3166" spans="1:22" ht="57.6" x14ac:dyDescent="0.3">
      <c r="A3166">
        <v>3164</v>
      </c>
      <c r="B3166" s="3" t="s">
        <v>3164</v>
      </c>
      <c r="C3166" s="3" t="s">
        <v>7274</v>
      </c>
      <c r="D3166" s="12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>((Table1[[#This Row],[deadline]]/60)/60/24)+DATE(1970,1,1)</f>
        <v>41799.80572916667</v>
      </c>
      <c r="K3166">
        <v>1399490415</v>
      </c>
      <c r="L3166" s="11">
        <f>((Table1[[#This Row],[launched_at]]/60)/60/24)+DATE(1970,1,1)</f>
        <v>41766.80572916667</v>
      </c>
      <c r="M3166">
        <f>MONTH(Table1[[#This Row],[Date Created Conversion]])</f>
        <v>5</v>
      </c>
      <c r="N3166">
        <f>YEAR(Table1[[#This Row],[Date Created Conversion]])</f>
        <v>2014</v>
      </c>
      <c r="O3166" t="b">
        <v>1</v>
      </c>
      <c r="P3166">
        <v>71</v>
      </c>
      <c r="Q3166" t="b">
        <v>1</v>
      </c>
      <c r="R3166" t="s">
        <v>8271</v>
      </c>
      <c r="S3166" s="6">
        <f>Table1[[#This Row],[pledged]]/Table1[[#This Row],[goal]]</f>
        <v>1.0676000000000001</v>
      </c>
      <c r="T3166" s="8">
        <f>IF(Table1[[#This Row],[pledged]]=0,"no backers",Table1[[#This Row],[pledged]]/Table1[[#This Row],[backers_count]])</f>
        <v>37.591549295774648</v>
      </c>
      <c r="U3166" t="str">
        <f>LEFT(Table1[[#This Row],[Category and Sub-Category]],FIND("/",Table1[[#This Row],[Category and Sub-Category]])-1)</f>
        <v>theater</v>
      </c>
      <c r="V3166" t="str">
        <f>RIGHT(Table1[[#This Row],[Category and Sub-Category]],LEN(Table1[[#This Row],[Category and Sub-Category]])-FIND("/",Table1[[#This Row],[Category and Sub-Category]]))</f>
        <v>plays</v>
      </c>
    </row>
    <row r="3167" spans="1:22" ht="57.6" x14ac:dyDescent="0.3">
      <c r="A3167">
        <v>3165</v>
      </c>
      <c r="B3167" s="3" t="s">
        <v>3165</v>
      </c>
      <c r="C3167" s="3" t="s">
        <v>7275</v>
      </c>
      <c r="D3167" s="12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>((Table1[[#This Row],[deadline]]/60)/60/24)+DATE(1970,1,1)</f>
        <v>40666.165972222225</v>
      </c>
      <c r="K3167">
        <v>1302493760</v>
      </c>
      <c r="L3167" s="11">
        <f>((Table1[[#This Row],[launched_at]]/60)/60/24)+DATE(1970,1,1)</f>
        <v>40644.159259259257</v>
      </c>
      <c r="M3167">
        <f>MONTH(Table1[[#This Row],[Date Created Conversion]])</f>
        <v>4</v>
      </c>
      <c r="N3167">
        <f>YEAR(Table1[[#This Row],[Date Created Conversion]])</f>
        <v>2011</v>
      </c>
      <c r="O3167" t="b">
        <v>1</v>
      </c>
      <c r="P3167">
        <v>21</v>
      </c>
      <c r="Q3167" t="b">
        <v>1</v>
      </c>
      <c r="R3167" t="s">
        <v>8271</v>
      </c>
      <c r="S3167" s="6">
        <f>Table1[[#This Row],[pledged]]/Table1[[#This Row],[goal]]</f>
        <v>1.6266666666666667</v>
      </c>
      <c r="T3167" s="8">
        <f>IF(Table1[[#This Row],[pledged]]=0,"no backers",Table1[[#This Row],[pledged]]/Table1[[#This Row],[backers_count]])</f>
        <v>58.095238095238095</v>
      </c>
      <c r="U3167" t="str">
        <f>LEFT(Table1[[#This Row],[Category and Sub-Category]],FIND("/",Table1[[#This Row],[Category and Sub-Category]])-1)</f>
        <v>theater</v>
      </c>
      <c r="V3167" t="str">
        <f>RIGHT(Table1[[#This Row],[Category and Sub-Category]],LEN(Table1[[#This Row],[Category and Sub-Category]])-FIND("/",Table1[[#This Row],[Category and Sub-Category]]))</f>
        <v>plays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 s="12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>((Table1[[#This Row],[deadline]]/60)/60/24)+DATE(1970,1,1)</f>
        <v>41969.332638888889</v>
      </c>
      <c r="K3168">
        <v>1414514153</v>
      </c>
      <c r="L3168" s="11">
        <f>((Table1[[#This Row],[launched_at]]/60)/60/24)+DATE(1970,1,1)</f>
        <v>41940.69158564815</v>
      </c>
      <c r="M3168">
        <f>MONTH(Table1[[#This Row],[Date Created Conversion]])</f>
        <v>10</v>
      </c>
      <c r="N3168">
        <f>YEAR(Table1[[#This Row],[Date Created Conversion]])</f>
        <v>2014</v>
      </c>
      <c r="O3168" t="b">
        <v>1</v>
      </c>
      <c r="P3168">
        <v>930</v>
      </c>
      <c r="Q3168" t="b">
        <v>1</v>
      </c>
      <c r="R3168" t="s">
        <v>8271</v>
      </c>
      <c r="S3168" s="6">
        <f>Table1[[#This Row],[pledged]]/Table1[[#This Row],[goal]]</f>
        <v>1.6022808571428573</v>
      </c>
      <c r="T3168" s="8">
        <f>IF(Table1[[#This Row],[pledged]]=0,"no backers",Table1[[#This Row],[pledged]]/Table1[[#This Row],[backers_count]])</f>
        <v>60.300892473118282</v>
      </c>
      <c r="U3168" t="str">
        <f>LEFT(Table1[[#This Row],[Category and Sub-Category]],FIND("/",Table1[[#This Row],[Category and Sub-Category]])-1)</f>
        <v>theater</v>
      </c>
      <c r="V3168" t="str">
        <f>RIGHT(Table1[[#This Row],[Category and Sub-Category]],LEN(Table1[[#This Row],[Category and Sub-Category]])-FIND("/",Table1[[#This Row],[Category and Sub-Category]]))</f>
        <v>plays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 s="12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>((Table1[[#This Row],[deadline]]/60)/60/24)+DATE(1970,1,1)</f>
        <v>41853.175706018519</v>
      </c>
      <c r="K3169">
        <v>1405743181</v>
      </c>
      <c r="L3169" s="11">
        <f>((Table1[[#This Row],[launched_at]]/60)/60/24)+DATE(1970,1,1)</f>
        <v>41839.175706018519</v>
      </c>
      <c r="M3169">
        <f>MONTH(Table1[[#This Row],[Date Created Conversion]])</f>
        <v>7</v>
      </c>
      <c r="N3169">
        <f>YEAR(Table1[[#This Row],[Date Created Conversion]])</f>
        <v>2014</v>
      </c>
      <c r="O3169" t="b">
        <v>1</v>
      </c>
      <c r="P3169">
        <v>55</v>
      </c>
      <c r="Q3169" t="b">
        <v>1</v>
      </c>
      <c r="R3169" t="s">
        <v>8271</v>
      </c>
      <c r="S3169" s="6">
        <f>Table1[[#This Row],[pledged]]/Table1[[#This Row],[goal]]</f>
        <v>1.1616666666666666</v>
      </c>
      <c r="T3169" s="8">
        <f>IF(Table1[[#This Row],[pledged]]=0,"no backers",Table1[[#This Row],[pledged]]/Table1[[#This Row],[backers_count]])</f>
        <v>63.363636363636367</v>
      </c>
      <c r="U3169" t="str">
        <f>LEFT(Table1[[#This Row],[Category and Sub-Category]],FIND("/",Table1[[#This Row],[Category and Sub-Category]])-1)</f>
        <v>theater</v>
      </c>
      <c r="V3169" t="str">
        <f>RIGHT(Table1[[#This Row],[Category and Sub-Category]],LEN(Table1[[#This Row],[Category and Sub-Category]])-FIND("/",Table1[[#This Row],[Category and Sub-Category]]))</f>
        <v>plays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 s="12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>((Table1[[#This Row],[deadline]]/60)/60/24)+DATE(1970,1,1)</f>
        <v>41803.916666666664</v>
      </c>
      <c r="K3170">
        <v>1399948353</v>
      </c>
      <c r="L3170" s="11">
        <f>((Table1[[#This Row],[launched_at]]/60)/60/24)+DATE(1970,1,1)</f>
        <v>41772.105937500004</v>
      </c>
      <c r="M3170">
        <f>MONTH(Table1[[#This Row],[Date Created Conversion]])</f>
        <v>5</v>
      </c>
      <c r="N3170">
        <f>YEAR(Table1[[#This Row],[Date Created Conversion]])</f>
        <v>2014</v>
      </c>
      <c r="O3170" t="b">
        <v>1</v>
      </c>
      <c r="P3170">
        <v>61</v>
      </c>
      <c r="Q3170" t="b">
        <v>1</v>
      </c>
      <c r="R3170" t="s">
        <v>8271</v>
      </c>
      <c r="S3170" s="6">
        <f>Table1[[#This Row],[pledged]]/Table1[[#This Row],[goal]]</f>
        <v>1.242</v>
      </c>
      <c r="T3170" s="8">
        <f>IF(Table1[[#This Row],[pledged]]=0,"no backers",Table1[[#This Row],[pledged]]/Table1[[#This Row],[backers_count]])</f>
        <v>50.901639344262293</v>
      </c>
      <c r="U3170" t="str">
        <f>LEFT(Table1[[#This Row],[Category and Sub-Category]],FIND("/",Table1[[#This Row],[Category and Sub-Category]])-1)</f>
        <v>theater</v>
      </c>
      <c r="V3170" t="str">
        <f>RIGHT(Table1[[#This Row],[Category and Sub-Category]],LEN(Table1[[#This Row],[Category and Sub-Category]])-FIND("/",Table1[[#This Row],[Category and Sub-Category]]))</f>
        <v>plays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 s="12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>((Table1[[#This Row],[deadline]]/60)/60/24)+DATE(1970,1,1)</f>
        <v>41621.207638888889</v>
      </c>
      <c r="K3171">
        <v>1384364561</v>
      </c>
      <c r="L3171" s="11">
        <f>((Table1[[#This Row],[launched_at]]/60)/60/24)+DATE(1970,1,1)</f>
        <v>41591.737974537034</v>
      </c>
      <c r="M3171">
        <f>MONTH(Table1[[#This Row],[Date Created Conversion]])</f>
        <v>11</v>
      </c>
      <c r="N3171">
        <f>YEAR(Table1[[#This Row],[Date Created Conversion]])</f>
        <v>2013</v>
      </c>
      <c r="O3171" t="b">
        <v>1</v>
      </c>
      <c r="P3171">
        <v>82</v>
      </c>
      <c r="Q3171" t="b">
        <v>1</v>
      </c>
      <c r="R3171" t="s">
        <v>8271</v>
      </c>
      <c r="S3171" s="6">
        <f>Table1[[#This Row],[pledged]]/Table1[[#This Row],[goal]]</f>
        <v>1.030125</v>
      </c>
      <c r="T3171" s="8">
        <f>IF(Table1[[#This Row],[pledged]]=0,"no backers",Table1[[#This Row],[pledged]]/Table1[[#This Row],[backers_count]])</f>
        <v>100.5</v>
      </c>
      <c r="U3171" t="str">
        <f>LEFT(Table1[[#This Row],[Category and Sub-Category]],FIND("/",Table1[[#This Row],[Category and Sub-Category]])-1)</f>
        <v>theater</v>
      </c>
      <c r="V3171" t="str">
        <f>RIGHT(Table1[[#This Row],[Category and Sub-Category]],LEN(Table1[[#This Row],[Category and Sub-Category]])-FIND("/",Table1[[#This Row],[Category and Sub-Category]]))</f>
        <v>plays</v>
      </c>
    </row>
    <row r="3172" spans="1:22" ht="43.2" x14ac:dyDescent="0.3">
      <c r="A3172">
        <v>3170</v>
      </c>
      <c r="B3172" s="3" t="s">
        <v>3170</v>
      </c>
      <c r="C3172" s="3" t="s">
        <v>7280</v>
      </c>
      <c r="D3172" s="1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>((Table1[[#This Row],[deadline]]/60)/60/24)+DATE(1970,1,1)</f>
        <v>41822.166666666664</v>
      </c>
      <c r="K3172">
        <v>1401414944</v>
      </c>
      <c r="L3172" s="11">
        <f>((Table1[[#This Row],[launched_at]]/60)/60/24)+DATE(1970,1,1)</f>
        <v>41789.080370370371</v>
      </c>
      <c r="M3172">
        <f>MONTH(Table1[[#This Row],[Date Created Conversion]])</f>
        <v>5</v>
      </c>
      <c r="N3172">
        <f>YEAR(Table1[[#This Row],[Date Created Conversion]])</f>
        <v>2014</v>
      </c>
      <c r="O3172" t="b">
        <v>1</v>
      </c>
      <c r="P3172">
        <v>71</v>
      </c>
      <c r="Q3172" t="b">
        <v>1</v>
      </c>
      <c r="R3172" t="s">
        <v>8271</v>
      </c>
      <c r="S3172" s="6">
        <f>Table1[[#This Row],[pledged]]/Table1[[#This Row],[goal]]</f>
        <v>1.1225000000000001</v>
      </c>
      <c r="T3172" s="8">
        <f>IF(Table1[[#This Row],[pledged]]=0,"no backers",Table1[[#This Row],[pledged]]/Table1[[#This Row],[backers_count]])</f>
        <v>31.619718309859156</v>
      </c>
      <c r="U3172" t="str">
        <f>LEFT(Table1[[#This Row],[Category and Sub-Category]],FIND("/",Table1[[#This Row],[Category and Sub-Category]])-1)</f>
        <v>theater</v>
      </c>
      <c r="V3172" t="str">
        <f>RIGHT(Table1[[#This Row],[Category and Sub-Category]],LEN(Table1[[#This Row],[Category and Sub-Category]])-FIND("/",Table1[[#This Row],[Category and Sub-Category]]))</f>
        <v>plays</v>
      </c>
    </row>
    <row r="3173" spans="1:22" ht="57.6" x14ac:dyDescent="0.3">
      <c r="A3173">
        <v>3171</v>
      </c>
      <c r="B3173" s="3" t="s">
        <v>3171</v>
      </c>
      <c r="C3173" s="3" t="s">
        <v>7281</v>
      </c>
      <c r="D3173" s="12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>((Table1[[#This Row],[deadline]]/60)/60/24)+DATE(1970,1,1)</f>
        <v>42496.608310185184</v>
      </c>
      <c r="K3173">
        <v>1459953358</v>
      </c>
      <c r="L3173" s="11">
        <f>((Table1[[#This Row],[launched_at]]/60)/60/24)+DATE(1970,1,1)</f>
        <v>42466.608310185184</v>
      </c>
      <c r="M3173">
        <f>MONTH(Table1[[#This Row],[Date Created Conversion]])</f>
        <v>4</v>
      </c>
      <c r="N3173">
        <f>YEAR(Table1[[#This Row],[Date Created Conversion]])</f>
        <v>2016</v>
      </c>
      <c r="O3173" t="b">
        <v>1</v>
      </c>
      <c r="P3173">
        <v>117</v>
      </c>
      <c r="Q3173" t="b">
        <v>1</v>
      </c>
      <c r="R3173" t="s">
        <v>8271</v>
      </c>
      <c r="S3173" s="6">
        <f>Table1[[#This Row],[pledged]]/Table1[[#This Row],[goal]]</f>
        <v>1.0881428571428571</v>
      </c>
      <c r="T3173" s="8">
        <f>IF(Table1[[#This Row],[pledged]]=0,"no backers",Table1[[#This Row],[pledged]]/Table1[[#This Row],[backers_count]])</f>
        <v>65.102564102564102</v>
      </c>
      <c r="U3173" t="str">
        <f>LEFT(Table1[[#This Row],[Category and Sub-Category]],FIND("/",Table1[[#This Row],[Category and Sub-Category]])-1)</f>
        <v>theater</v>
      </c>
      <c r="V3173" t="str">
        <f>RIGHT(Table1[[#This Row],[Category and Sub-Category]],LEN(Table1[[#This Row],[Category and Sub-Category]])-FIND("/",Table1[[#This Row],[Category and Sub-Category]]))</f>
        <v>plays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 s="12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>((Table1[[#This Row],[deadline]]/60)/60/24)+DATE(1970,1,1)</f>
        <v>40953.729953703703</v>
      </c>
      <c r="K3174">
        <v>1326648668</v>
      </c>
      <c r="L3174" s="11">
        <f>((Table1[[#This Row],[launched_at]]/60)/60/24)+DATE(1970,1,1)</f>
        <v>40923.729953703703</v>
      </c>
      <c r="M3174">
        <f>MONTH(Table1[[#This Row],[Date Created Conversion]])</f>
        <v>1</v>
      </c>
      <c r="N3174">
        <f>YEAR(Table1[[#This Row],[Date Created Conversion]])</f>
        <v>2012</v>
      </c>
      <c r="O3174" t="b">
        <v>1</v>
      </c>
      <c r="P3174">
        <v>29</v>
      </c>
      <c r="Q3174" t="b">
        <v>1</v>
      </c>
      <c r="R3174" t="s">
        <v>8271</v>
      </c>
      <c r="S3174" s="6">
        <f>Table1[[#This Row],[pledged]]/Table1[[#This Row],[goal]]</f>
        <v>1.1499999999999999</v>
      </c>
      <c r="T3174" s="8">
        <f>IF(Table1[[#This Row],[pledged]]=0,"no backers",Table1[[#This Row],[pledged]]/Table1[[#This Row],[backers_count]])</f>
        <v>79.310344827586206</v>
      </c>
      <c r="U3174" t="str">
        <f>LEFT(Table1[[#This Row],[Category and Sub-Category]],FIND("/",Table1[[#This Row],[Category and Sub-Category]])-1)</f>
        <v>theater</v>
      </c>
      <c r="V3174" t="str">
        <f>RIGHT(Table1[[#This Row],[Category and Sub-Category]],LEN(Table1[[#This Row],[Category and Sub-Category]])-FIND("/",Table1[[#This Row],[Category and Sub-Category]]))</f>
        <v>plays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 s="12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>((Table1[[#This Row],[deadline]]/60)/60/24)+DATE(1970,1,1)</f>
        <v>41908.878379629627</v>
      </c>
      <c r="K3175">
        <v>1409173492</v>
      </c>
      <c r="L3175" s="11">
        <f>((Table1[[#This Row],[launched_at]]/60)/60/24)+DATE(1970,1,1)</f>
        <v>41878.878379629627</v>
      </c>
      <c r="M3175">
        <f>MONTH(Table1[[#This Row],[Date Created Conversion]])</f>
        <v>8</v>
      </c>
      <c r="N3175">
        <f>YEAR(Table1[[#This Row],[Date Created Conversion]])</f>
        <v>2014</v>
      </c>
      <c r="O3175" t="b">
        <v>1</v>
      </c>
      <c r="P3175">
        <v>74</v>
      </c>
      <c r="Q3175" t="b">
        <v>1</v>
      </c>
      <c r="R3175" t="s">
        <v>8271</v>
      </c>
      <c r="S3175" s="6">
        <f>Table1[[#This Row],[pledged]]/Table1[[#This Row],[goal]]</f>
        <v>1.03</v>
      </c>
      <c r="T3175" s="8">
        <f>IF(Table1[[#This Row],[pledged]]=0,"no backers",Table1[[#This Row],[pledged]]/Table1[[#This Row],[backers_count]])</f>
        <v>139.18918918918919</v>
      </c>
      <c r="U3175" t="str">
        <f>LEFT(Table1[[#This Row],[Category and Sub-Category]],FIND("/",Table1[[#This Row],[Category and Sub-Category]])-1)</f>
        <v>theater</v>
      </c>
      <c r="V3175" t="str">
        <f>RIGHT(Table1[[#This Row],[Category and Sub-Category]],LEN(Table1[[#This Row],[Category and Sub-Category]])-FIND("/",Table1[[#This Row],[Category and Sub-Category]]))</f>
        <v>plays</v>
      </c>
    </row>
    <row r="3176" spans="1:22" ht="57.6" x14ac:dyDescent="0.3">
      <c r="A3176">
        <v>3174</v>
      </c>
      <c r="B3176" s="3" t="s">
        <v>3174</v>
      </c>
      <c r="C3176" s="3" t="s">
        <v>7284</v>
      </c>
      <c r="D3176" s="12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>((Table1[[#This Row],[deadline]]/60)/60/24)+DATE(1970,1,1)</f>
        <v>41876.864675925928</v>
      </c>
      <c r="K3176">
        <v>1407789908</v>
      </c>
      <c r="L3176" s="11">
        <f>((Table1[[#This Row],[launched_at]]/60)/60/24)+DATE(1970,1,1)</f>
        <v>41862.864675925928</v>
      </c>
      <c r="M3176">
        <f>MONTH(Table1[[#This Row],[Date Created Conversion]])</f>
        <v>8</v>
      </c>
      <c r="N3176">
        <f>YEAR(Table1[[#This Row],[Date Created Conversion]])</f>
        <v>2014</v>
      </c>
      <c r="O3176" t="b">
        <v>1</v>
      </c>
      <c r="P3176">
        <v>23</v>
      </c>
      <c r="Q3176" t="b">
        <v>1</v>
      </c>
      <c r="R3176" t="s">
        <v>8271</v>
      </c>
      <c r="S3176" s="6">
        <f>Table1[[#This Row],[pledged]]/Table1[[#This Row],[goal]]</f>
        <v>1.0113333333333334</v>
      </c>
      <c r="T3176" s="8">
        <f>IF(Table1[[#This Row],[pledged]]=0,"no backers",Table1[[#This Row],[pledged]]/Table1[[#This Row],[backers_count]])</f>
        <v>131.91304347826087</v>
      </c>
      <c r="U3176" t="str">
        <f>LEFT(Table1[[#This Row],[Category and Sub-Category]],FIND("/",Table1[[#This Row],[Category and Sub-Category]])-1)</f>
        <v>theater</v>
      </c>
      <c r="V3176" t="str">
        <f>RIGHT(Table1[[#This Row],[Category and Sub-Category]],LEN(Table1[[#This Row],[Category and Sub-Category]])-FIND("/",Table1[[#This Row],[Category and Sub-Category]]))</f>
        <v>plays</v>
      </c>
    </row>
    <row r="3177" spans="1:22" ht="57.6" x14ac:dyDescent="0.3">
      <c r="A3177">
        <v>3175</v>
      </c>
      <c r="B3177" s="3" t="s">
        <v>3175</v>
      </c>
      <c r="C3177" s="3" t="s">
        <v>7285</v>
      </c>
      <c r="D3177" s="12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>((Table1[[#This Row],[deadline]]/60)/60/24)+DATE(1970,1,1)</f>
        <v>40591.886886574073</v>
      </c>
      <c r="K3177">
        <v>1292793427</v>
      </c>
      <c r="L3177" s="11">
        <f>((Table1[[#This Row],[launched_at]]/60)/60/24)+DATE(1970,1,1)</f>
        <v>40531.886886574073</v>
      </c>
      <c r="M3177">
        <f>MONTH(Table1[[#This Row],[Date Created Conversion]])</f>
        <v>12</v>
      </c>
      <c r="N3177">
        <f>YEAR(Table1[[#This Row],[Date Created Conversion]])</f>
        <v>2010</v>
      </c>
      <c r="O3177" t="b">
        <v>1</v>
      </c>
      <c r="P3177">
        <v>60</v>
      </c>
      <c r="Q3177" t="b">
        <v>1</v>
      </c>
      <c r="R3177" t="s">
        <v>8271</v>
      </c>
      <c r="S3177" s="6">
        <f>Table1[[#This Row],[pledged]]/Table1[[#This Row],[goal]]</f>
        <v>1.0955999999999999</v>
      </c>
      <c r="T3177" s="8">
        <f>IF(Table1[[#This Row],[pledged]]=0,"no backers",Table1[[#This Row],[pledged]]/Table1[[#This Row],[backers_count]])</f>
        <v>91.3</v>
      </c>
      <c r="U3177" t="str">
        <f>LEFT(Table1[[#This Row],[Category and Sub-Category]],FIND("/",Table1[[#This Row],[Category and Sub-Category]])-1)</f>
        <v>theater</v>
      </c>
      <c r="V3177" t="str">
        <f>RIGHT(Table1[[#This Row],[Category and Sub-Category]],LEN(Table1[[#This Row],[Category and Sub-Category]])-FIND("/",Table1[[#This Row],[Category and Sub-Category]]))</f>
        <v>plays</v>
      </c>
    </row>
    <row r="3178" spans="1:22" ht="57.6" x14ac:dyDescent="0.3">
      <c r="A3178">
        <v>3176</v>
      </c>
      <c r="B3178" s="3" t="s">
        <v>3176</v>
      </c>
      <c r="C3178" s="3" t="s">
        <v>7286</v>
      </c>
      <c r="D3178" s="12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>((Table1[[#This Row],[deadline]]/60)/60/24)+DATE(1970,1,1)</f>
        <v>41504.625</v>
      </c>
      <c r="K3178">
        <v>1374531631</v>
      </c>
      <c r="L3178" s="11">
        <f>((Table1[[#This Row],[launched_at]]/60)/60/24)+DATE(1970,1,1)</f>
        <v>41477.930914351848</v>
      </c>
      <c r="M3178">
        <f>MONTH(Table1[[#This Row],[Date Created Conversion]])</f>
        <v>7</v>
      </c>
      <c r="N3178">
        <f>YEAR(Table1[[#This Row],[Date Created Conversion]])</f>
        <v>2013</v>
      </c>
      <c r="O3178" t="b">
        <v>1</v>
      </c>
      <c r="P3178">
        <v>55</v>
      </c>
      <c r="Q3178" t="b">
        <v>1</v>
      </c>
      <c r="R3178" t="s">
        <v>8271</v>
      </c>
      <c r="S3178" s="6">
        <f>Table1[[#This Row],[pledged]]/Table1[[#This Row],[goal]]</f>
        <v>1.148421052631579</v>
      </c>
      <c r="T3178" s="8">
        <f>IF(Table1[[#This Row],[pledged]]=0,"no backers",Table1[[#This Row],[pledged]]/Table1[[#This Row],[backers_count]])</f>
        <v>39.672727272727272</v>
      </c>
      <c r="U3178" t="str">
        <f>LEFT(Table1[[#This Row],[Category and Sub-Category]],FIND("/",Table1[[#This Row],[Category and Sub-Category]])-1)</f>
        <v>theater</v>
      </c>
      <c r="V3178" t="str">
        <f>RIGHT(Table1[[#This Row],[Category and Sub-Category]],LEN(Table1[[#This Row],[Category and Sub-Category]])-FIND("/",Table1[[#This Row],[Category and Sub-Category]]))</f>
        <v>plays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 s="12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>((Table1[[#This Row],[deadline]]/60)/60/24)+DATE(1970,1,1)</f>
        <v>41811.666770833333</v>
      </c>
      <c r="K3179">
        <v>1400774409</v>
      </c>
      <c r="L3179" s="11">
        <f>((Table1[[#This Row],[launched_at]]/60)/60/24)+DATE(1970,1,1)</f>
        <v>41781.666770833333</v>
      </c>
      <c r="M3179">
        <f>MONTH(Table1[[#This Row],[Date Created Conversion]])</f>
        <v>5</v>
      </c>
      <c r="N3179">
        <f>YEAR(Table1[[#This Row],[Date Created Conversion]])</f>
        <v>2014</v>
      </c>
      <c r="O3179" t="b">
        <v>1</v>
      </c>
      <c r="P3179">
        <v>51</v>
      </c>
      <c r="Q3179" t="b">
        <v>1</v>
      </c>
      <c r="R3179" t="s">
        <v>8271</v>
      </c>
      <c r="S3179" s="6">
        <f>Table1[[#This Row],[pledged]]/Table1[[#This Row],[goal]]</f>
        <v>1.1739999999999999</v>
      </c>
      <c r="T3179" s="8">
        <f>IF(Table1[[#This Row],[pledged]]=0,"no backers",Table1[[#This Row],[pledged]]/Table1[[#This Row],[backers_count]])</f>
        <v>57.549019607843135</v>
      </c>
      <c r="U3179" t="str">
        <f>LEFT(Table1[[#This Row],[Category and Sub-Category]],FIND("/",Table1[[#This Row],[Category and Sub-Category]])-1)</f>
        <v>theater</v>
      </c>
      <c r="V3179" t="str">
        <f>RIGHT(Table1[[#This Row],[Category and Sub-Category]],LEN(Table1[[#This Row],[Category and Sub-Category]])-FIND("/",Table1[[#This Row],[Category and Sub-Category]]))</f>
        <v>plays</v>
      </c>
    </row>
    <row r="3180" spans="1:22" ht="57.6" x14ac:dyDescent="0.3">
      <c r="A3180">
        <v>3178</v>
      </c>
      <c r="B3180" s="3" t="s">
        <v>3178</v>
      </c>
      <c r="C3180" s="3" t="s">
        <v>7288</v>
      </c>
      <c r="D3180" s="12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>((Table1[[#This Row],[deadline]]/60)/60/24)+DATE(1970,1,1)</f>
        <v>41836.605034722219</v>
      </c>
      <c r="K3180">
        <v>1402929075</v>
      </c>
      <c r="L3180" s="11">
        <f>((Table1[[#This Row],[launched_at]]/60)/60/24)+DATE(1970,1,1)</f>
        <v>41806.605034722219</v>
      </c>
      <c r="M3180">
        <f>MONTH(Table1[[#This Row],[Date Created Conversion]])</f>
        <v>6</v>
      </c>
      <c r="N3180">
        <f>YEAR(Table1[[#This Row],[Date Created Conversion]])</f>
        <v>2014</v>
      </c>
      <c r="O3180" t="b">
        <v>1</v>
      </c>
      <c r="P3180">
        <v>78</v>
      </c>
      <c r="Q3180" t="b">
        <v>1</v>
      </c>
      <c r="R3180" t="s">
        <v>8271</v>
      </c>
      <c r="S3180" s="6">
        <f>Table1[[#This Row],[pledged]]/Table1[[#This Row],[goal]]</f>
        <v>1.7173333333333334</v>
      </c>
      <c r="T3180" s="8">
        <f>IF(Table1[[#This Row],[pledged]]=0,"no backers",Table1[[#This Row],[pledged]]/Table1[[#This Row],[backers_count]])</f>
        <v>33.025641025641029</v>
      </c>
      <c r="U3180" t="str">
        <f>LEFT(Table1[[#This Row],[Category and Sub-Category]],FIND("/",Table1[[#This Row],[Category and Sub-Category]])-1)</f>
        <v>theater</v>
      </c>
      <c r="V3180" t="str">
        <f>RIGHT(Table1[[#This Row],[Category and Sub-Category]],LEN(Table1[[#This Row],[Category and Sub-Category]])-FIND("/",Table1[[#This Row],[Category and Sub-Category]]))</f>
        <v>plays</v>
      </c>
    </row>
    <row r="3181" spans="1:22" ht="43.2" x14ac:dyDescent="0.3">
      <c r="A3181">
        <v>3179</v>
      </c>
      <c r="B3181" s="3" t="s">
        <v>3179</v>
      </c>
      <c r="C3181" s="3" t="s">
        <v>7289</v>
      </c>
      <c r="D3181" s="12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>((Table1[[#This Row],[deadline]]/60)/60/24)+DATE(1970,1,1)</f>
        <v>41400.702210648145</v>
      </c>
      <c r="K3181">
        <v>1365699071</v>
      </c>
      <c r="L3181" s="11">
        <f>((Table1[[#This Row],[launched_at]]/60)/60/24)+DATE(1970,1,1)</f>
        <v>41375.702210648145</v>
      </c>
      <c r="M3181">
        <f>MONTH(Table1[[#This Row],[Date Created Conversion]])</f>
        <v>4</v>
      </c>
      <c r="N3181">
        <f>YEAR(Table1[[#This Row],[Date Created Conversion]])</f>
        <v>2013</v>
      </c>
      <c r="O3181" t="b">
        <v>1</v>
      </c>
      <c r="P3181">
        <v>62</v>
      </c>
      <c r="Q3181" t="b">
        <v>1</v>
      </c>
      <c r="R3181" t="s">
        <v>8271</v>
      </c>
      <c r="S3181" s="6">
        <f>Table1[[#This Row],[pledged]]/Table1[[#This Row],[goal]]</f>
        <v>1.1416238095238094</v>
      </c>
      <c r="T3181" s="8">
        <f>IF(Table1[[#This Row],[pledged]]=0,"no backers",Table1[[#This Row],[pledged]]/Table1[[#This Row],[backers_count]])</f>
        <v>77.335806451612896</v>
      </c>
      <c r="U3181" t="str">
        <f>LEFT(Table1[[#This Row],[Category and Sub-Category]],FIND("/",Table1[[#This Row],[Category and Sub-Category]])-1)</f>
        <v>theater</v>
      </c>
      <c r="V3181" t="str">
        <f>RIGHT(Table1[[#This Row],[Category and Sub-Category]],LEN(Table1[[#This Row],[Category and Sub-Category]])-FIND("/",Table1[[#This Row],[Category and Sub-Category]]))</f>
        <v>plays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 s="1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>((Table1[[#This Row],[deadline]]/60)/60/24)+DATE(1970,1,1)</f>
        <v>41810.412604166668</v>
      </c>
      <c r="K3182">
        <v>1400666049</v>
      </c>
      <c r="L3182" s="11">
        <f>((Table1[[#This Row],[launched_at]]/60)/60/24)+DATE(1970,1,1)</f>
        <v>41780.412604166668</v>
      </c>
      <c r="M3182">
        <f>MONTH(Table1[[#This Row],[Date Created Conversion]])</f>
        <v>5</v>
      </c>
      <c r="N3182">
        <f>YEAR(Table1[[#This Row],[Date Created Conversion]])</f>
        <v>2014</v>
      </c>
      <c r="O3182" t="b">
        <v>1</v>
      </c>
      <c r="P3182">
        <v>45</v>
      </c>
      <c r="Q3182" t="b">
        <v>1</v>
      </c>
      <c r="R3182" t="s">
        <v>8271</v>
      </c>
      <c r="S3182" s="6">
        <f>Table1[[#This Row],[pledged]]/Table1[[#This Row],[goal]]</f>
        <v>1.1975</v>
      </c>
      <c r="T3182" s="8">
        <f>IF(Table1[[#This Row],[pledged]]=0,"no backers",Table1[[#This Row],[pledged]]/Table1[[#This Row],[backers_count]])</f>
        <v>31.933333333333334</v>
      </c>
      <c r="U3182" t="str">
        <f>LEFT(Table1[[#This Row],[Category and Sub-Category]],FIND("/",Table1[[#This Row],[Category and Sub-Category]])-1)</f>
        <v>theater</v>
      </c>
      <c r="V3182" t="str">
        <f>RIGHT(Table1[[#This Row],[Category and Sub-Category]],LEN(Table1[[#This Row],[Category and Sub-Category]])-FIND("/",Table1[[#This Row],[Category and Sub-Category]]))</f>
        <v>plays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 s="12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>((Table1[[#This Row],[deadline]]/60)/60/24)+DATE(1970,1,1)</f>
        <v>41805.666666666664</v>
      </c>
      <c r="K3183">
        <v>1400570787</v>
      </c>
      <c r="L3183" s="11">
        <f>((Table1[[#This Row],[launched_at]]/60)/60/24)+DATE(1970,1,1)</f>
        <v>41779.310034722221</v>
      </c>
      <c r="M3183">
        <f>MONTH(Table1[[#This Row],[Date Created Conversion]])</f>
        <v>5</v>
      </c>
      <c r="N3183">
        <f>YEAR(Table1[[#This Row],[Date Created Conversion]])</f>
        <v>2014</v>
      </c>
      <c r="O3183" t="b">
        <v>1</v>
      </c>
      <c r="P3183">
        <v>15</v>
      </c>
      <c r="Q3183" t="b">
        <v>1</v>
      </c>
      <c r="R3183" t="s">
        <v>8271</v>
      </c>
      <c r="S3183" s="6">
        <f>Table1[[#This Row],[pledged]]/Table1[[#This Row],[goal]]</f>
        <v>1.0900000000000001</v>
      </c>
      <c r="T3183" s="8">
        <f>IF(Table1[[#This Row],[pledged]]=0,"no backers",Table1[[#This Row],[pledged]]/Table1[[#This Row],[backers_count]])</f>
        <v>36.333333333333336</v>
      </c>
      <c r="U3183" t="str">
        <f>LEFT(Table1[[#This Row],[Category and Sub-Category]],FIND("/",Table1[[#This Row],[Category and Sub-Category]])-1)</f>
        <v>theater</v>
      </c>
      <c r="V3183" t="str">
        <f>RIGHT(Table1[[#This Row],[Category and Sub-Category]],LEN(Table1[[#This Row],[Category and Sub-Category]])-FIND("/",Table1[[#This Row],[Category and Sub-Category]]))</f>
        <v>plays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 s="12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>((Table1[[#This Row],[deadline]]/60)/60/24)+DATE(1970,1,1)</f>
        <v>40939.708333333336</v>
      </c>
      <c r="K3184">
        <v>1323211621</v>
      </c>
      <c r="L3184" s="11">
        <f>((Table1[[#This Row],[launched_at]]/60)/60/24)+DATE(1970,1,1)</f>
        <v>40883.949317129627</v>
      </c>
      <c r="M3184">
        <f>MONTH(Table1[[#This Row],[Date Created Conversion]])</f>
        <v>12</v>
      </c>
      <c r="N3184">
        <f>YEAR(Table1[[#This Row],[Date Created Conversion]])</f>
        <v>2011</v>
      </c>
      <c r="O3184" t="b">
        <v>1</v>
      </c>
      <c r="P3184">
        <v>151</v>
      </c>
      <c r="Q3184" t="b">
        <v>1</v>
      </c>
      <c r="R3184" t="s">
        <v>8271</v>
      </c>
      <c r="S3184" s="6">
        <f>Table1[[#This Row],[pledged]]/Table1[[#This Row],[goal]]</f>
        <v>1.0088571428571429</v>
      </c>
      <c r="T3184" s="8">
        <f>IF(Table1[[#This Row],[pledged]]=0,"no backers",Table1[[#This Row],[pledged]]/Table1[[#This Row],[backers_count]])</f>
        <v>46.768211920529801</v>
      </c>
      <c r="U3184" t="str">
        <f>LEFT(Table1[[#This Row],[Category and Sub-Category]],FIND("/",Table1[[#This Row],[Category and Sub-Category]])-1)</f>
        <v>theater</v>
      </c>
      <c r="V3184" t="str">
        <f>RIGHT(Table1[[#This Row],[Category and Sub-Category]],LEN(Table1[[#This Row],[Category and Sub-Category]])-FIND("/",Table1[[#This Row],[Category and Sub-Category]]))</f>
        <v>plays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 s="12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>((Table1[[#This Row],[deadline]]/60)/60/24)+DATE(1970,1,1)</f>
        <v>41509.79478009259</v>
      </c>
      <c r="K3185">
        <v>1375729469</v>
      </c>
      <c r="L3185" s="11">
        <f>((Table1[[#This Row],[launched_at]]/60)/60/24)+DATE(1970,1,1)</f>
        <v>41491.79478009259</v>
      </c>
      <c r="M3185">
        <f>MONTH(Table1[[#This Row],[Date Created Conversion]])</f>
        <v>8</v>
      </c>
      <c r="N3185">
        <f>YEAR(Table1[[#This Row],[Date Created Conversion]])</f>
        <v>2013</v>
      </c>
      <c r="O3185" t="b">
        <v>1</v>
      </c>
      <c r="P3185">
        <v>68</v>
      </c>
      <c r="Q3185" t="b">
        <v>1</v>
      </c>
      <c r="R3185" t="s">
        <v>8271</v>
      </c>
      <c r="S3185" s="6">
        <f>Table1[[#This Row],[pledged]]/Table1[[#This Row],[goal]]</f>
        <v>1.0900000000000001</v>
      </c>
      <c r="T3185" s="8">
        <f>IF(Table1[[#This Row],[pledged]]=0,"no backers",Table1[[#This Row],[pledged]]/Table1[[#This Row],[backers_count]])</f>
        <v>40.073529411764703</v>
      </c>
      <c r="U3185" t="str">
        <f>LEFT(Table1[[#This Row],[Category and Sub-Category]],FIND("/",Table1[[#This Row],[Category and Sub-Category]])-1)</f>
        <v>theater</v>
      </c>
      <c r="V3185" t="str">
        <f>RIGHT(Table1[[#This Row],[Category and Sub-Category]],LEN(Table1[[#This Row],[Category and Sub-Category]])-FIND("/",Table1[[#This Row],[Category and Sub-Category]]))</f>
        <v>plays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 s="12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>((Table1[[#This Row],[deadline]]/60)/60/24)+DATE(1970,1,1)</f>
        <v>41821.993414351848</v>
      </c>
      <c r="K3186">
        <v>1401666631</v>
      </c>
      <c r="L3186" s="11">
        <f>((Table1[[#This Row],[launched_at]]/60)/60/24)+DATE(1970,1,1)</f>
        <v>41791.993414351848</v>
      </c>
      <c r="M3186">
        <f>MONTH(Table1[[#This Row],[Date Created Conversion]])</f>
        <v>6</v>
      </c>
      <c r="N3186">
        <f>YEAR(Table1[[#This Row],[Date Created Conversion]])</f>
        <v>2014</v>
      </c>
      <c r="O3186" t="b">
        <v>1</v>
      </c>
      <c r="P3186">
        <v>46</v>
      </c>
      <c r="Q3186" t="b">
        <v>1</v>
      </c>
      <c r="R3186" t="s">
        <v>8271</v>
      </c>
      <c r="S3186" s="6">
        <f>Table1[[#This Row],[pledged]]/Table1[[#This Row],[goal]]</f>
        <v>1.0720930232558139</v>
      </c>
      <c r="T3186" s="8">
        <f>IF(Table1[[#This Row],[pledged]]=0,"no backers",Table1[[#This Row],[pledged]]/Table1[[#This Row],[backers_count]])</f>
        <v>100.21739130434783</v>
      </c>
      <c r="U3186" t="str">
        <f>LEFT(Table1[[#This Row],[Category and Sub-Category]],FIND("/",Table1[[#This Row],[Category and Sub-Category]])-1)</f>
        <v>theater</v>
      </c>
      <c r="V3186" t="str">
        <f>RIGHT(Table1[[#This Row],[Category and Sub-Category]],LEN(Table1[[#This Row],[Category and Sub-Category]])-FIND("/",Table1[[#This Row],[Category and Sub-Category]]))</f>
        <v>plays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 s="12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>((Table1[[#This Row],[deadline]]/60)/60/24)+DATE(1970,1,1)</f>
        <v>41836.977326388893</v>
      </c>
      <c r="K3187">
        <v>1404948441</v>
      </c>
      <c r="L3187" s="11">
        <f>((Table1[[#This Row],[launched_at]]/60)/60/24)+DATE(1970,1,1)</f>
        <v>41829.977326388893</v>
      </c>
      <c r="M3187">
        <f>MONTH(Table1[[#This Row],[Date Created Conversion]])</f>
        <v>7</v>
      </c>
      <c r="N3187">
        <f>YEAR(Table1[[#This Row],[Date Created Conversion]])</f>
        <v>2014</v>
      </c>
      <c r="O3187" t="b">
        <v>1</v>
      </c>
      <c r="P3187">
        <v>24</v>
      </c>
      <c r="Q3187" t="b">
        <v>1</v>
      </c>
      <c r="R3187" t="s">
        <v>8271</v>
      </c>
      <c r="S3187" s="6">
        <f>Table1[[#This Row],[pledged]]/Table1[[#This Row],[goal]]</f>
        <v>1</v>
      </c>
      <c r="T3187" s="8">
        <f>IF(Table1[[#This Row],[pledged]]=0,"no backers",Table1[[#This Row],[pledged]]/Table1[[#This Row],[backers_count]])</f>
        <v>41.666666666666664</v>
      </c>
      <c r="U3187" t="str">
        <f>LEFT(Table1[[#This Row],[Category and Sub-Category]],FIND("/",Table1[[#This Row],[Category and Sub-Category]])-1)</f>
        <v>theater</v>
      </c>
      <c r="V3187" t="str">
        <f>RIGHT(Table1[[#This Row],[Category and Sub-Category]],LEN(Table1[[#This Row],[Category and Sub-Category]])-FIND("/",Table1[[#This Row],[Category and Sub-Category]]))</f>
        <v>plays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 s="12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>((Table1[[#This Row],[deadline]]/60)/60/24)+DATE(1970,1,1)</f>
        <v>41898.875</v>
      </c>
      <c r="K3188">
        <v>1408313438</v>
      </c>
      <c r="L3188" s="11">
        <f>((Table1[[#This Row],[launched_at]]/60)/60/24)+DATE(1970,1,1)</f>
        <v>41868.924050925925</v>
      </c>
      <c r="M3188">
        <f>MONTH(Table1[[#This Row],[Date Created Conversion]])</f>
        <v>8</v>
      </c>
      <c r="N3188">
        <f>YEAR(Table1[[#This Row],[Date Created Conversion]])</f>
        <v>2014</v>
      </c>
      <c r="O3188" t="b">
        <v>1</v>
      </c>
      <c r="P3188">
        <v>70</v>
      </c>
      <c r="Q3188" t="b">
        <v>1</v>
      </c>
      <c r="R3188" t="s">
        <v>8271</v>
      </c>
      <c r="S3188" s="6">
        <f>Table1[[#This Row],[pledged]]/Table1[[#This Row],[goal]]</f>
        <v>1.0218750000000001</v>
      </c>
      <c r="T3188" s="8">
        <f>IF(Table1[[#This Row],[pledged]]=0,"no backers",Table1[[#This Row],[pledged]]/Table1[[#This Row],[backers_count]])</f>
        <v>46.714285714285715</v>
      </c>
      <c r="U3188" t="str">
        <f>LEFT(Table1[[#This Row],[Category and Sub-Category]],FIND("/",Table1[[#This Row],[Category and Sub-Category]])-1)</f>
        <v>theater</v>
      </c>
      <c r="V3188" t="str">
        <f>RIGHT(Table1[[#This Row],[Category and Sub-Category]],LEN(Table1[[#This Row],[Category and Sub-Category]])-FIND("/",Table1[[#This Row],[Category and Sub-Category]]))</f>
        <v>plays</v>
      </c>
    </row>
    <row r="3189" spans="1:22" ht="57.6" x14ac:dyDescent="0.3">
      <c r="A3189">
        <v>3187</v>
      </c>
      <c r="B3189" s="3" t="s">
        <v>3187</v>
      </c>
      <c r="C3189" s="3" t="s">
        <v>7297</v>
      </c>
      <c r="D3189" s="12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>((Table1[[#This Row],[deadline]]/60)/60/24)+DATE(1970,1,1)</f>
        <v>41855.666354166664</v>
      </c>
      <c r="K3189">
        <v>1405439973</v>
      </c>
      <c r="L3189" s="11">
        <f>((Table1[[#This Row],[launched_at]]/60)/60/24)+DATE(1970,1,1)</f>
        <v>41835.666354166664</v>
      </c>
      <c r="M3189">
        <f>MONTH(Table1[[#This Row],[Date Created Conversion]])</f>
        <v>7</v>
      </c>
      <c r="N3189">
        <f>YEAR(Table1[[#This Row],[Date Created Conversion]])</f>
        <v>2014</v>
      </c>
      <c r="O3189" t="b">
        <v>1</v>
      </c>
      <c r="P3189">
        <v>244</v>
      </c>
      <c r="Q3189" t="b">
        <v>1</v>
      </c>
      <c r="R3189" t="s">
        <v>8271</v>
      </c>
      <c r="S3189" s="6">
        <f>Table1[[#This Row],[pledged]]/Table1[[#This Row],[goal]]</f>
        <v>1.1629333333333334</v>
      </c>
      <c r="T3189" s="8">
        <f>IF(Table1[[#This Row],[pledged]]=0,"no backers",Table1[[#This Row],[pledged]]/Table1[[#This Row],[backers_count]])</f>
        <v>71.491803278688522</v>
      </c>
      <c r="U3189" t="str">
        <f>LEFT(Table1[[#This Row],[Category and Sub-Category]],FIND("/",Table1[[#This Row],[Category and Sub-Category]])-1)</f>
        <v>theater</v>
      </c>
      <c r="V3189" t="str">
        <f>RIGHT(Table1[[#This Row],[Category and Sub-Category]],LEN(Table1[[#This Row],[Category and Sub-Category]])-FIND("/",Table1[[#This Row],[Category and Sub-Category]]))</f>
        <v>plays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 s="12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>((Table1[[#This Row],[deadline]]/60)/60/24)+DATE(1970,1,1)</f>
        <v>42165.415532407409</v>
      </c>
      <c r="K3190">
        <v>1432115902</v>
      </c>
      <c r="L3190" s="11">
        <f>((Table1[[#This Row],[launched_at]]/60)/60/24)+DATE(1970,1,1)</f>
        <v>42144.415532407409</v>
      </c>
      <c r="M3190">
        <f>MONTH(Table1[[#This Row],[Date Created Conversion]])</f>
        <v>5</v>
      </c>
      <c r="N3190">
        <f>YEAR(Table1[[#This Row],[Date Created Conversion]])</f>
        <v>2015</v>
      </c>
      <c r="O3190" t="b">
        <v>0</v>
      </c>
      <c r="P3190">
        <v>9</v>
      </c>
      <c r="Q3190" t="b">
        <v>0</v>
      </c>
      <c r="R3190" t="s">
        <v>8305</v>
      </c>
      <c r="S3190" s="6">
        <f>Table1[[#This Row],[pledged]]/Table1[[#This Row],[goal]]</f>
        <v>0.65</v>
      </c>
      <c r="T3190" s="8">
        <f>IF(Table1[[#This Row],[pledged]]=0,"no backers",Table1[[#This Row],[pledged]]/Table1[[#This Row],[backers_count]])</f>
        <v>14.444444444444445</v>
      </c>
      <c r="U3190" t="str">
        <f>LEFT(Table1[[#This Row],[Category and Sub-Category]],FIND("/",Table1[[#This Row],[Category and Sub-Category]])-1)</f>
        <v>theater</v>
      </c>
      <c r="V3190" t="str">
        <f>RIGHT(Table1[[#This Row],[Category and Sub-Category]],LEN(Table1[[#This Row],[Category and Sub-Category]])-FIND("/",Table1[[#This Row],[Category and Sub-Category]]))</f>
        <v>musical</v>
      </c>
    </row>
    <row r="3191" spans="1:22" ht="57.6" x14ac:dyDescent="0.3">
      <c r="A3191">
        <v>3189</v>
      </c>
      <c r="B3191" s="3" t="s">
        <v>3189</v>
      </c>
      <c r="C3191" s="3" t="s">
        <v>7299</v>
      </c>
      <c r="D3191" s="12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>((Table1[[#This Row],[deadline]]/60)/60/24)+DATE(1970,1,1)</f>
        <v>42148.346435185187</v>
      </c>
      <c r="K3191">
        <v>1429863532</v>
      </c>
      <c r="L3191" s="11">
        <f>((Table1[[#This Row],[launched_at]]/60)/60/24)+DATE(1970,1,1)</f>
        <v>42118.346435185187</v>
      </c>
      <c r="M3191">
        <f>MONTH(Table1[[#This Row],[Date Created Conversion]])</f>
        <v>4</v>
      </c>
      <c r="N3191">
        <f>YEAR(Table1[[#This Row],[Date Created Conversion]])</f>
        <v>2015</v>
      </c>
      <c r="O3191" t="b">
        <v>0</v>
      </c>
      <c r="P3191">
        <v>19</v>
      </c>
      <c r="Q3191" t="b">
        <v>0</v>
      </c>
      <c r="R3191" t="s">
        <v>8305</v>
      </c>
      <c r="S3191" s="6">
        <f>Table1[[#This Row],[pledged]]/Table1[[#This Row],[goal]]</f>
        <v>0.12327272727272727</v>
      </c>
      <c r="T3191" s="8">
        <f>IF(Table1[[#This Row],[pledged]]=0,"no backers",Table1[[#This Row],[pledged]]/Table1[[#This Row],[backers_count]])</f>
        <v>356.84210526315792</v>
      </c>
      <c r="U3191" t="str">
        <f>LEFT(Table1[[#This Row],[Category and Sub-Category]],FIND("/",Table1[[#This Row],[Category and Sub-Category]])-1)</f>
        <v>theater</v>
      </c>
      <c r="V3191" t="str">
        <f>RIGHT(Table1[[#This Row],[Category and Sub-Category]],LEN(Table1[[#This Row],[Category and Sub-Category]])-FIND("/",Table1[[#This Row],[Category and Sub-Category]]))</f>
        <v>musical</v>
      </c>
    </row>
    <row r="3192" spans="1:22" ht="43.2" x14ac:dyDescent="0.3">
      <c r="A3192">
        <v>3190</v>
      </c>
      <c r="B3192" s="3" t="s">
        <v>3190</v>
      </c>
      <c r="C3192" s="3" t="s">
        <v>7300</v>
      </c>
      <c r="D3192" s="1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>((Table1[[#This Row],[deadline]]/60)/60/24)+DATE(1970,1,1)</f>
        <v>42713.192997685182</v>
      </c>
      <c r="K3192">
        <v>1478662675</v>
      </c>
      <c r="L3192" s="11">
        <f>((Table1[[#This Row],[launched_at]]/60)/60/24)+DATE(1970,1,1)</f>
        <v>42683.151331018518</v>
      </c>
      <c r="M3192">
        <f>MONTH(Table1[[#This Row],[Date Created Conversion]])</f>
        <v>11</v>
      </c>
      <c r="N3192">
        <f>YEAR(Table1[[#This Row],[Date Created Conversion]])</f>
        <v>2016</v>
      </c>
      <c r="O3192" t="b">
        <v>0</v>
      </c>
      <c r="P3192">
        <v>0</v>
      </c>
      <c r="Q3192" t="b">
        <v>0</v>
      </c>
      <c r="R3192" t="s">
        <v>8305</v>
      </c>
      <c r="S3192" s="6">
        <f>Table1[[#This Row],[pledged]]/Table1[[#This Row],[goal]]</f>
        <v>0</v>
      </c>
      <c r="T3192" s="8" t="str">
        <f>IF(Table1[[#This Row],[pledged]]=0,"no backers",Table1[[#This Row],[pledged]]/Table1[[#This Row],[backers_count]])</f>
        <v>no backers</v>
      </c>
      <c r="U3192" t="str">
        <f>LEFT(Table1[[#This Row],[Category and Sub-Category]],FIND("/",Table1[[#This Row],[Category and Sub-Category]])-1)</f>
        <v>theater</v>
      </c>
      <c r="V3192" t="str">
        <f>RIGHT(Table1[[#This Row],[Category and Sub-Category]],LEN(Table1[[#This Row],[Category and Sub-Category]])-FIND("/",Table1[[#This Row],[Category and Sub-Category]]))</f>
        <v>musical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 s="12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>((Table1[[#This Row],[deadline]]/60)/60/24)+DATE(1970,1,1)</f>
        <v>42598.755428240736</v>
      </c>
      <c r="K3193">
        <v>1466186869</v>
      </c>
      <c r="L3193" s="11">
        <f>((Table1[[#This Row],[launched_at]]/60)/60/24)+DATE(1970,1,1)</f>
        <v>42538.755428240736</v>
      </c>
      <c r="M3193">
        <f>MONTH(Table1[[#This Row],[Date Created Conversion]])</f>
        <v>6</v>
      </c>
      <c r="N3193">
        <f>YEAR(Table1[[#This Row],[Date Created Conversion]])</f>
        <v>2016</v>
      </c>
      <c r="O3193" t="b">
        <v>0</v>
      </c>
      <c r="P3193">
        <v>4</v>
      </c>
      <c r="Q3193" t="b">
        <v>0</v>
      </c>
      <c r="R3193" t="s">
        <v>8305</v>
      </c>
      <c r="S3193" s="6">
        <f>Table1[[#This Row],[pledged]]/Table1[[#This Row],[goal]]</f>
        <v>4.0266666666666666E-2</v>
      </c>
      <c r="T3193" s="8">
        <f>IF(Table1[[#This Row],[pledged]]=0,"no backers",Table1[[#This Row],[pledged]]/Table1[[#This Row],[backers_count]])</f>
        <v>37.75</v>
      </c>
      <c r="U3193" t="str">
        <f>LEFT(Table1[[#This Row],[Category and Sub-Category]],FIND("/",Table1[[#This Row],[Category and Sub-Category]])-1)</f>
        <v>theater</v>
      </c>
      <c r="V3193" t="str">
        <f>RIGHT(Table1[[#This Row],[Category and Sub-Category]],LEN(Table1[[#This Row],[Category and Sub-Category]])-FIND("/",Table1[[#This Row],[Category and Sub-Category]]))</f>
        <v>musical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 s="12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>((Table1[[#This Row],[deadline]]/60)/60/24)+DATE(1970,1,1)</f>
        <v>42063.916666666672</v>
      </c>
      <c r="K3194">
        <v>1421274859</v>
      </c>
      <c r="L3194" s="11">
        <f>((Table1[[#This Row],[launched_at]]/60)/60/24)+DATE(1970,1,1)</f>
        <v>42018.94049768518</v>
      </c>
      <c r="M3194">
        <f>MONTH(Table1[[#This Row],[Date Created Conversion]])</f>
        <v>1</v>
      </c>
      <c r="N3194">
        <f>YEAR(Table1[[#This Row],[Date Created Conversion]])</f>
        <v>2015</v>
      </c>
      <c r="O3194" t="b">
        <v>0</v>
      </c>
      <c r="P3194">
        <v>8</v>
      </c>
      <c r="Q3194" t="b">
        <v>0</v>
      </c>
      <c r="R3194" t="s">
        <v>8305</v>
      </c>
      <c r="S3194" s="6">
        <f>Table1[[#This Row],[pledged]]/Table1[[#This Row],[goal]]</f>
        <v>1.0200000000000001E-2</v>
      </c>
      <c r="T3194" s="8">
        <f>IF(Table1[[#This Row],[pledged]]=0,"no backers",Table1[[#This Row],[pledged]]/Table1[[#This Row],[backers_count]])</f>
        <v>12.75</v>
      </c>
      <c r="U3194" t="str">
        <f>LEFT(Table1[[#This Row],[Category and Sub-Category]],FIND("/",Table1[[#This Row],[Category and Sub-Category]])-1)</f>
        <v>theater</v>
      </c>
      <c r="V3194" t="str">
        <f>RIGHT(Table1[[#This Row],[Category and Sub-Category]],LEN(Table1[[#This Row],[Category and Sub-Category]])-FIND("/",Table1[[#This Row],[Category and Sub-Category]]))</f>
        <v>musical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 s="12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>((Table1[[#This Row],[deadline]]/60)/60/24)+DATE(1970,1,1)</f>
        <v>42055.968240740738</v>
      </c>
      <c r="K3195">
        <v>1420586056</v>
      </c>
      <c r="L3195" s="11">
        <f>((Table1[[#This Row],[launched_at]]/60)/60/24)+DATE(1970,1,1)</f>
        <v>42010.968240740738</v>
      </c>
      <c r="M3195">
        <f>MONTH(Table1[[#This Row],[Date Created Conversion]])</f>
        <v>1</v>
      </c>
      <c r="N3195">
        <f>YEAR(Table1[[#This Row],[Date Created Conversion]])</f>
        <v>2015</v>
      </c>
      <c r="O3195" t="b">
        <v>0</v>
      </c>
      <c r="P3195">
        <v>24</v>
      </c>
      <c r="Q3195" t="b">
        <v>0</v>
      </c>
      <c r="R3195" t="s">
        <v>8305</v>
      </c>
      <c r="S3195" s="6">
        <f>Table1[[#This Row],[pledged]]/Table1[[#This Row],[goal]]</f>
        <v>0.1174</v>
      </c>
      <c r="T3195" s="8">
        <f>IF(Table1[[#This Row],[pledged]]=0,"no backers",Table1[[#This Row],[pledged]]/Table1[[#This Row],[backers_count]])</f>
        <v>24.458333333333332</v>
      </c>
      <c r="U3195" t="str">
        <f>LEFT(Table1[[#This Row],[Category and Sub-Category]],FIND("/",Table1[[#This Row],[Category and Sub-Category]])-1)</f>
        <v>theater</v>
      </c>
      <c r="V3195" t="str">
        <f>RIGHT(Table1[[#This Row],[Category and Sub-Category]],LEN(Table1[[#This Row],[Category and Sub-Category]])-FIND("/",Table1[[#This Row],[Category and Sub-Category]]))</f>
        <v>musical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 s="12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>((Table1[[#This Row],[deadline]]/60)/60/24)+DATE(1970,1,1)</f>
        <v>42212.062476851846</v>
      </c>
      <c r="K3196">
        <v>1435368598</v>
      </c>
      <c r="L3196" s="11">
        <f>((Table1[[#This Row],[launched_at]]/60)/60/24)+DATE(1970,1,1)</f>
        <v>42182.062476851846</v>
      </c>
      <c r="M3196">
        <f>MONTH(Table1[[#This Row],[Date Created Conversion]])</f>
        <v>6</v>
      </c>
      <c r="N3196">
        <f>YEAR(Table1[[#This Row],[Date Created Conversion]])</f>
        <v>2015</v>
      </c>
      <c r="O3196" t="b">
        <v>0</v>
      </c>
      <c r="P3196">
        <v>0</v>
      </c>
      <c r="Q3196" t="b">
        <v>0</v>
      </c>
      <c r="R3196" t="s">
        <v>8305</v>
      </c>
      <c r="S3196" s="6">
        <f>Table1[[#This Row],[pledged]]/Table1[[#This Row],[goal]]</f>
        <v>0</v>
      </c>
      <c r="T3196" s="8" t="str">
        <f>IF(Table1[[#This Row],[pledged]]=0,"no backers",Table1[[#This Row],[pledged]]/Table1[[#This Row],[backers_count]])</f>
        <v>no backers</v>
      </c>
      <c r="U3196" t="str">
        <f>LEFT(Table1[[#This Row],[Category and Sub-Category]],FIND("/",Table1[[#This Row],[Category and Sub-Category]])-1)</f>
        <v>theater</v>
      </c>
      <c r="V3196" t="str">
        <f>RIGHT(Table1[[#This Row],[Category and Sub-Category]],LEN(Table1[[#This Row],[Category and Sub-Category]])-FIND("/",Table1[[#This Row],[Category and Sub-Category]]))</f>
        <v>musical</v>
      </c>
    </row>
    <row r="3197" spans="1:22" ht="57.6" x14ac:dyDescent="0.3">
      <c r="A3197">
        <v>3195</v>
      </c>
      <c r="B3197" s="3" t="s">
        <v>3195</v>
      </c>
      <c r="C3197" s="3" t="s">
        <v>7305</v>
      </c>
      <c r="D3197" s="12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>((Table1[[#This Row],[deadline]]/60)/60/24)+DATE(1970,1,1)</f>
        <v>42047.594236111108</v>
      </c>
      <c r="K3197">
        <v>1421158542</v>
      </c>
      <c r="L3197" s="11">
        <f>((Table1[[#This Row],[launched_at]]/60)/60/24)+DATE(1970,1,1)</f>
        <v>42017.594236111108</v>
      </c>
      <c r="M3197">
        <f>MONTH(Table1[[#This Row],[Date Created Conversion]])</f>
        <v>1</v>
      </c>
      <c r="N3197">
        <f>YEAR(Table1[[#This Row],[Date Created Conversion]])</f>
        <v>2015</v>
      </c>
      <c r="O3197" t="b">
        <v>0</v>
      </c>
      <c r="P3197">
        <v>39</v>
      </c>
      <c r="Q3197" t="b">
        <v>0</v>
      </c>
      <c r="R3197" t="s">
        <v>8305</v>
      </c>
      <c r="S3197" s="6">
        <f>Table1[[#This Row],[pledged]]/Table1[[#This Row],[goal]]</f>
        <v>0.59142857142857141</v>
      </c>
      <c r="T3197" s="8">
        <f>IF(Table1[[#This Row],[pledged]]=0,"no backers",Table1[[#This Row],[pledged]]/Table1[[#This Row],[backers_count]])</f>
        <v>53.07692307692308</v>
      </c>
      <c r="U3197" t="str">
        <f>LEFT(Table1[[#This Row],[Category and Sub-Category]],FIND("/",Table1[[#This Row],[Category and Sub-Category]])-1)</f>
        <v>theater</v>
      </c>
      <c r="V3197" t="str">
        <f>RIGHT(Table1[[#This Row],[Category and Sub-Category]],LEN(Table1[[#This Row],[Category and Sub-Category]])-FIND("/",Table1[[#This Row],[Category and Sub-Category]]))</f>
        <v>musical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 s="12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>((Table1[[#This Row],[deadline]]/60)/60/24)+DATE(1970,1,1)</f>
        <v>42217.583333333328</v>
      </c>
      <c r="K3198">
        <v>1433254875</v>
      </c>
      <c r="L3198" s="11">
        <f>((Table1[[#This Row],[launched_at]]/60)/60/24)+DATE(1970,1,1)</f>
        <v>42157.598090277781</v>
      </c>
      <c r="M3198">
        <f>MONTH(Table1[[#This Row],[Date Created Conversion]])</f>
        <v>6</v>
      </c>
      <c r="N3198">
        <f>YEAR(Table1[[#This Row],[Date Created Conversion]])</f>
        <v>2015</v>
      </c>
      <c r="O3198" t="b">
        <v>0</v>
      </c>
      <c r="P3198">
        <v>6</v>
      </c>
      <c r="Q3198" t="b">
        <v>0</v>
      </c>
      <c r="R3198" t="s">
        <v>8305</v>
      </c>
      <c r="S3198" s="6">
        <f>Table1[[#This Row],[pledged]]/Table1[[#This Row],[goal]]</f>
        <v>5.9999999999999995E-4</v>
      </c>
      <c r="T3198" s="8">
        <f>IF(Table1[[#This Row],[pledged]]=0,"no backers",Table1[[#This Row],[pledged]]/Table1[[#This Row],[backers_count]])</f>
        <v>300</v>
      </c>
      <c r="U3198" t="str">
        <f>LEFT(Table1[[#This Row],[Category and Sub-Category]],FIND("/",Table1[[#This Row],[Category and Sub-Category]])-1)</f>
        <v>theater</v>
      </c>
      <c r="V3198" t="str">
        <f>RIGHT(Table1[[#This Row],[Category and Sub-Category]],LEN(Table1[[#This Row],[Category and Sub-Category]])-FIND("/",Table1[[#This Row],[Category and Sub-Category]]))</f>
        <v>musical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 s="12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>((Table1[[#This Row],[deadline]]/60)/60/24)+DATE(1970,1,1)</f>
        <v>42039.493263888886</v>
      </c>
      <c r="K3199">
        <v>1420458618</v>
      </c>
      <c r="L3199" s="11">
        <f>((Table1[[#This Row],[launched_at]]/60)/60/24)+DATE(1970,1,1)</f>
        <v>42009.493263888886</v>
      </c>
      <c r="M3199">
        <f>MONTH(Table1[[#This Row],[Date Created Conversion]])</f>
        <v>1</v>
      </c>
      <c r="N3199">
        <f>YEAR(Table1[[#This Row],[Date Created Conversion]])</f>
        <v>2015</v>
      </c>
      <c r="O3199" t="b">
        <v>0</v>
      </c>
      <c r="P3199">
        <v>4</v>
      </c>
      <c r="Q3199" t="b">
        <v>0</v>
      </c>
      <c r="R3199" t="s">
        <v>8305</v>
      </c>
      <c r="S3199" s="6">
        <f>Table1[[#This Row],[pledged]]/Table1[[#This Row],[goal]]</f>
        <v>0.1145</v>
      </c>
      <c r="T3199" s="8">
        <f>IF(Table1[[#This Row],[pledged]]=0,"no backers",Table1[[#This Row],[pledged]]/Table1[[#This Row],[backers_count]])</f>
        <v>286.25</v>
      </c>
      <c r="U3199" t="str">
        <f>LEFT(Table1[[#This Row],[Category and Sub-Category]],FIND("/",Table1[[#This Row],[Category and Sub-Category]])-1)</f>
        <v>theater</v>
      </c>
      <c r="V3199" t="str">
        <f>RIGHT(Table1[[#This Row],[Category and Sub-Category]],LEN(Table1[[#This Row],[Category and Sub-Category]])-FIND("/",Table1[[#This Row],[Category and Sub-Category]]))</f>
        <v>musical</v>
      </c>
    </row>
    <row r="3200" spans="1:22" ht="57.6" x14ac:dyDescent="0.3">
      <c r="A3200">
        <v>3198</v>
      </c>
      <c r="B3200" s="3" t="s">
        <v>3198</v>
      </c>
      <c r="C3200" s="3" t="s">
        <v>7308</v>
      </c>
      <c r="D3200" s="12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>((Table1[[#This Row],[deadline]]/60)/60/24)+DATE(1970,1,1)</f>
        <v>42051.424502314811</v>
      </c>
      <c r="K3200">
        <v>1420798277</v>
      </c>
      <c r="L3200" s="11">
        <f>((Table1[[#This Row],[launched_at]]/60)/60/24)+DATE(1970,1,1)</f>
        <v>42013.424502314811</v>
      </c>
      <c r="M3200">
        <f>MONTH(Table1[[#This Row],[Date Created Conversion]])</f>
        <v>1</v>
      </c>
      <c r="N3200">
        <f>YEAR(Table1[[#This Row],[Date Created Conversion]])</f>
        <v>2015</v>
      </c>
      <c r="O3200" t="b">
        <v>0</v>
      </c>
      <c r="P3200">
        <v>3</v>
      </c>
      <c r="Q3200" t="b">
        <v>0</v>
      </c>
      <c r="R3200" t="s">
        <v>8305</v>
      </c>
      <c r="S3200" s="6">
        <f>Table1[[#This Row],[pledged]]/Table1[[#This Row],[goal]]</f>
        <v>3.6666666666666666E-3</v>
      </c>
      <c r="T3200" s="8">
        <f>IF(Table1[[#This Row],[pledged]]=0,"no backers",Table1[[#This Row],[pledged]]/Table1[[#This Row],[backers_count]])</f>
        <v>36.666666666666664</v>
      </c>
      <c r="U3200" t="str">
        <f>LEFT(Table1[[#This Row],[Category and Sub-Category]],FIND("/",Table1[[#This Row],[Category and Sub-Category]])-1)</f>
        <v>theater</v>
      </c>
      <c r="V3200" t="str">
        <f>RIGHT(Table1[[#This Row],[Category and Sub-Category]],LEN(Table1[[#This Row],[Category and Sub-Category]])-FIND("/",Table1[[#This Row],[Category and Sub-Category]]))</f>
        <v>musical</v>
      </c>
    </row>
    <row r="3201" spans="1:22" ht="43.2" x14ac:dyDescent="0.3">
      <c r="A3201">
        <v>3199</v>
      </c>
      <c r="B3201" s="3" t="s">
        <v>3199</v>
      </c>
      <c r="C3201" s="3" t="s">
        <v>7309</v>
      </c>
      <c r="D3201" s="12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>((Table1[[#This Row],[deadline]]/60)/60/24)+DATE(1970,1,1)</f>
        <v>41888.875</v>
      </c>
      <c r="K3201">
        <v>1407435418</v>
      </c>
      <c r="L3201" s="11">
        <f>((Table1[[#This Row],[launched_at]]/60)/60/24)+DATE(1970,1,1)</f>
        <v>41858.761782407404</v>
      </c>
      <c r="M3201">
        <f>MONTH(Table1[[#This Row],[Date Created Conversion]])</f>
        <v>8</v>
      </c>
      <c r="N3201">
        <f>YEAR(Table1[[#This Row],[Date Created Conversion]])</f>
        <v>2014</v>
      </c>
      <c r="O3201" t="b">
        <v>0</v>
      </c>
      <c r="P3201">
        <v>53</v>
      </c>
      <c r="Q3201" t="b">
        <v>0</v>
      </c>
      <c r="R3201" t="s">
        <v>8305</v>
      </c>
      <c r="S3201" s="6">
        <f>Table1[[#This Row],[pledged]]/Table1[[#This Row],[goal]]</f>
        <v>0.52159999999999995</v>
      </c>
      <c r="T3201" s="8">
        <f>IF(Table1[[#This Row],[pledged]]=0,"no backers",Table1[[#This Row],[pledged]]/Table1[[#This Row],[backers_count]])</f>
        <v>49.20754716981132</v>
      </c>
      <c r="U3201" t="str">
        <f>LEFT(Table1[[#This Row],[Category and Sub-Category]],FIND("/",Table1[[#This Row],[Category and Sub-Category]])-1)</f>
        <v>theater</v>
      </c>
      <c r="V3201" t="str">
        <f>RIGHT(Table1[[#This Row],[Category and Sub-Category]],LEN(Table1[[#This Row],[Category and Sub-Category]])-FIND("/",Table1[[#This Row],[Category and Sub-Category]]))</f>
        <v>musical</v>
      </c>
    </row>
    <row r="3202" spans="1:22" ht="57.6" x14ac:dyDescent="0.3">
      <c r="A3202">
        <v>3200</v>
      </c>
      <c r="B3202" s="3" t="s">
        <v>3200</v>
      </c>
      <c r="C3202" s="3" t="s">
        <v>7310</v>
      </c>
      <c r="D3202" s="1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>((Table1[[#This Row],[deadline]]/60)/60/24)+DATE(1970,1,1)</f>
        <v>42490.231944444444</v>
      </c>
      <c r="K3202">
        <v>1459410101</v>
      </c>
      <c r="L3202" s="11">
        <f>((Table1[[#This Row],[launched_at]]/60)/60/24)+DATE(1970,1,1)</f>
        <v>42460.320613425924</v>
      </c>
      <c r="M3202">
        <f>MONTH(Table1[[#This Row],[Date Created Conversion]])</f>
        <v>3</v>
      </c>
      <c r="N3202">
        <f>YEAR(Table1[[#This Row],[Date Created Conversion]])</f>
        <v>2016</v>
      </c>
      <c r="O3202" t="b">
        <v>0</v>
      </c>
      <c r="P3202">
        <v>1</v>
      </c>
      <c r="Q3202" t="b">
        <v>0</v>
      </c>
      <c r="R3202" t="s">
        <v>8305</v>
      </c>
      <c r="S3202" s="6">
        <f>Table1[[#This Row],[pledged]]/Table1[[#This Row],[goal]]</f>
        <v>2.0000000000000002E-5</v>
      </c>
      <c r="T3202" s="8">
        <f>IF(Table1[[#This Row],[pledged]]=0,"no backers",Table1[[#This Row],[pledged]]/Table1[[#This Row],[backers_count]])</f>
        <v>1</v>
      </c>
      <c r="U3202" t="str">
        <f>LEFT(Table1[[#This Row],[Category and Sub-Category]],FIND("/",Table1[[#This Row],[Category and Sub-Category]])-1)</f>
        <v>theater</v>
      </c>
      <c r="V3202" t="str">
        <f>RIGHT(Table1[[#This Row],[Category and Sub-Category]],LEN(Table1[[#This Row],[Category and Sub-Category]])-FIND("/",Table1[[#This Row],[Category and Sub-Category]]))</f>
        <v>musical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 s="12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>((Table1[[#This Row],[deadline]]/60)/60/24)+DATE(1970,1,1)</f>
        <v>41882.767094907409</v>
      </c>
      <c r="K3203">
        <v>1407695077</v>
      </c>
      <c r="L3203" s="11">
        <f>((Table1[[#This Row],[launched_at]]/60)/60/24)+DATE(1970,1,1)</f>
        <v>41861.767094907409</v>
      </c>
      <c r="M3203">
        <f>MONTH(Table1[[#This Row],[Date Created Conversion]])</f>
        <v>8</v>
      </c>
      <c r="N3203">
        <f>YEAR(Table1[[#This Row],[Date Created Conversion]])</f>
        <v>2014</v>
      </c>
      <c r="O3203" t="b">
        <v>0</v>
      </c>
      <c r="P3203">
        <v>2</v>
      </c>
      <c r="Q3203" t="b">
        <v>0</v>
      </c>
      <c r="R3203" t="s">
        <v>8305</v>
      </c>
      <c r="S3203" s="6">
        <f>Table1[[#This Row],[pledged]]/Table1[[#This Row],[goal]]</f>
        <v>1.2500000000000001E-2</v>
      </c>
      <c r="T3203" s="8">
        <f>IF(Table1[[#This Row],[pledged]]=0,"no backers",Table1[[#This Row],[pledged]]/Table1[[#This Row],[backers_count]])</f>
        <v>12.5</v>
      </c>
      <c r="U3203" t="str">
        <f>LEFT(Table1[[#This Row],[Category and Sub-Category]],FIND("/",Table1[[#This Row],[Category and Sub-Category]])-1)</f>
        <v>theater</v>
      </c>
      <c r="V3203" t="str">
        <f>RIGHT(Table1[[#This Row],[Category and Sub-Category]],LEN(Table1[[#This Row],[Category and Sub-Category]])-FIND("/",Table1[[#This Row],[Category and Sub-Category]]))</f>
        <v>musical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 s="12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>((Table1[[#This Row],[deadline]]/60)/60/24)+DATE(1970,1,1)</f>
        <v>42352.249305555553</v>
      </c>
      <c r="K3204">
        <v>1445027346</v>
      </c>
      <c r="L3204" s="11">
        <f>((Table1[[#This Row],[launched_at]]/60)/60/24)+DATE(1970,1,1)</f>
        <v>42293.853541666671</v>
      </c>
      <c r="M3204">
        <f>MONTH(Table1[[#This Row],[Date Created Conversion]])</f>
        <v>10</v>
      </c>
      <c r="N3204">
        <f>YEAR(Table1[[#This Row],[Date Created Conversion]])</f>
        <v>2015</v>
      </c>
      <c r="O3204" t="b">
        <v>0</v>
      </c>
      <c r="P3204">
        <v>25</v>
      </c>
      <c r="Q3204" t="b">
        <v>0</v>
      </c>
      <c r="R3204" t="s">
        <v>8305</v>
      </c>
      <c r="S3204" s="6">
        <f>Table1[[#This Row],[pledged]]/Table1[[#This Row],[goal]]</f>
        <v>0.54520000000000002</v>
      </c>
      <c r="T3204" s="8">
        <f>IF(Table1[[#This Row],[pledged]]=0,"no backers",Table1[[#This Row],[pledged]]/Table1[[#This Row],[backers_count]])</f>
        <v>109.04</v>
      </c>
      <c r="U3204" t="str">
        <f>LEFT(Table1[[#This Row],[Category and Sub-Category]],FIND("/",Table1[[#This Row],[Category and Sub-Category]])-1)</f>
        <v>theater</v>
      </c>
      <c r="V3204" t="str">
        <f>RIGHT(Table1[[#This Row],[Category and Sub-Category]],LEN(Table1[[#This Row],[Category and Sub-Category]])-FIND("/",Table1[[#This Row],[Category and Sub-Category]]))</f>
        <v>musical</v>
      </c>
    </row>
    <row r="3205" spans="1:22" ht="43.2" x14ac:dyDescent="0.3">
      <c r="A3205">
        <v>3203</v>
      </c>
      <c r="B3205" s="3" t="s">
        <v>3203</v>
      </c>
      <c r="C3205" s="3" t="s">
        <v>7313</v>
      </c>
      <c r="D3205" s="12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>((Table1[[#This Row],[deadline]]/60)/60/24)+DATE(1970,1,1)</f>
        <v>42272.988680555558</v>
      </c>
      <c r="K3205">
        <v>1440632622</v>
      </c>
      <c r="L3205" s="11">
        <f>((Table1[[#This Row],[launched_at]]/60)/60/24)+DATE(1970,1,1)</f>
        <v>42242.988680555558</v>
      </c>
      <c r="M3205">
        <f>MONTH(Table1[[#This Row],[Date Created Conversion]])</f>
        <v>8</v>
      </c>
      <c r="N3205">
        <f>YEAR(Table1[[#This Row],[Date Created Conversion]])</f>
        <v>2015</v>
      </c>
      <c r="O3205" t="b">
        <v>0</v>
      </c>
      <c r="P3205">
        <v>6</v>
      </c>
      <c r="Q3205" t="b">
        <v>0</v>
      </c>
      <c r="R3205" t="s">
        <v>8305</v>
      </c>
      <c r="S3205" s="6">
        <f>Table1[[#This Row],[pledged]]/Table1[[#This Row],[goal]]</f>
        <v>0.25</v>
      </c>
      <c r="T3205" s="8">
        <f>IF(Table1[[#This Row],[pledged]]=0,"no backers",Table1[[#This Row],[pledged]]/Table1[[#This Row],[backers_count]])</f>
        <v>41.666666666666664</v>
      </c>
      <c r="U3205" t="str">
        <f>LEFT(Table1[[#This Row],[Category and Sub-Category]],FIND("/",Table1[[#This Row],[Category and Sub-Category]])-1)</f>
        <v>theater</v>
      </c>
      <c r="V3205" t="str">
        <f>RIGHT(Table1[[#This Row],[Category and Sub-Category]],LEN(Table1[[#This Row],[Category and Sub-Category]])-FIND("/",Table1[[#This Row],[Category and Sub-Category]]))</f>
        <v>musical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 s="12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>((Table1[[#This Row],[deadline]]/60)/60/24)+DATE(1970,1,1)</f>
        <v>42202.676388888889</v>
      </c>
      <c r="K3206">
        <v>1434558479</v>
      </c>
      <c r="L3206" s="11">
        <f>((Table1[[#This Row],[launched_at]]/60)/60/24)+DATE(1970,1,1)</f>
        <v>42172.686099537037</v>
      </c>
      <c r="M3206">
        <f>MONTH(Table1[[#This Row],[Date Created Conversion]])</f>
        <v>6</v>
      </c>
      <c r="N3206">
        <f>YEAR(Table1[[#This Row],[Date Created Conversion]])</f>
        <v>2015</v>
      </c>
      <c r="O3206" t="b">
        <v>0</v>
      </c>
      <c r="P3206">
        <v>0</v>
      </c>
      <c r="Q3206" t="b">
        <v>0</v>
      </c>
      <c r="R3206" t="s">
        <v>8305</v>
      </c>
      <c r="S3206" s="6">
        <f>Table1[[#This Row],[pledged]]/Table1[[#This Row],[goal]]</f>
        <v>0</v>
      </c>
      <c r="T3206" s="8" t="str">
        <f>IF(Table1[[#This Row],[pledged]]=0,"no backers",Table1[[#This Row],[pledged]]/Table1[[#This Row],[backers_count]])</f>
        <v>no backers</v>
      </c>
      <c r="U3206" t="str">
        <f>LEFT(Table1[[#This Row],[Category and Sub-Category]],FIND("/",Table1[[#This Row],[Category and Sub-Category]])-1)</f>
        <v>theater</v>
      </c>
      <c r="V3206" t="str">
        <f>RIGHT(Table1[[#This Row],[Category and Sub-Category]],LEN(Table1[[#This Row],[Category and Sub-Category]])-FIND("/",Table1[[#This Row],[Category and Sub-Category]]))</f>
        <v>musical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 s="12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>((Table1[[#This Row],[deadline]]/60)/60/24)+DATE(1970,1,1)</f>
        <v>42125.374675925923</v>
      </c>
      <c r="K3207">
        <v>1427878772</v>
      </c>
      <c r="L3207" s="11">
        <f>((Table1[[#This Row],[launched_at]]/60)/60/24)+DATE(1970,1,1)</f>
        <v>42095.374675925923</v>
      </c>
      <c r="M3207">
        <f>MONTH(Table1[[#This Row],[Date Created Conversion]])</f>
        <v>4</v>
      </c>
      <c r="N3207">
        <f>YEAR(Table1[[#This Row],[Date Created Conversion]])</f>
        <v>2015</v>
      </c>
      <c r="O3207" t="b">
        <v>0</v>
      </c>
      <c r="P3207">
        <v>12</v>
      </c>
      <c r="Q3207" t="b">
        <v>0</v>
      </c>
      <c r="R3207" t="s">
        <v>8305</v>
      </c>
      <c r="S3207" s="6">
        <f>Table1[[#This Row],[pledged]]/Table1[[#This Row],[goal]]</f>
        <v>3.4125000000000003E-2</v>
      </c>
      <c r="T3207" s="8">
        <f>IF(Table1[[#This Row],[pledged]]=0,"no backers",Table1[[#This Row],[pledged]]/Table1[[#This Row],[backers_count]])</f>
        <v>22.75</v>
      </c>
      <c r="U3207" t="str">
        <f>LEFT(Table1[[#This Row],[Category and Sub-Category]],FIND("/",Table1[[#This Row],[Category and Sub-Category]])-1)</f>
        <v>theater</v>
      </c>
      <c r="V3207" t="str">
        <f>RIGHT(Table1[[#This Row],[Category and Sub-Category]],LEN(Table1[[#This Row],[Category and Sub-Category]])-FIND("/",Table1[[#This Row],[Category and Sub-Category]]))</f>
        <v>musical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 s="12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>((Table1[[#This Row],[deadline]]/60)/60/24)+DATE(1970,1,1)</f>
        <v>42266.276053240741</v>
      </c>
      <c r="K3208">
        <v>1440052651</v>
      </c>
      <c r="L3208" s="11">
        <f>((Table1[[#This Row],[launched_at]]/60)/60/24)+DATE(1970,1,1)</f>
        <v>42236.276053240741</v>
      </c>
      <c r="M3208">
        <f>MONTH(Table1[[#This Row],[Date Created Conversion]])</f>
        <v>8</v>
      </c>
      <c r="N3208">
        <f>YEAR(Table1[[#This Row],[Date Created Conversion]])</f>
        <v>2015</v>
      </c>
      <c r="O3208" t="b">
        <v>0</v>
      </c>
      <c r="P3208">
        <v>0</v>
      </c>
      <c r="Q3208" t="b">
        <v>0</v>
      </c>
      <c r="R3208" t="s">
        <v>8305</v>
      </c>
      <c r="S3208" s="6">
        <f>Table1[[#This Row],[pledged]]/Table1[[#This Row],[goal]]</f>
        <v>0</v>
      </c>
      <c r="T3208" s="8" t="str">
        <f>IF(Table1[[#This Row],[pledged]]=0,"no backers",Table1[[#This Row],[pledged]]/Table1[[#This Row],[backers_count]])</f>
        <v>no backers</v>
      </c>
      <c r="U3208" t="str">
        <f>LEFT(Table1[[#This Row],[Category and Sub-Category]],FIND("/",Table1[[#This Row],[Category and Sub-Category]])-1)</f>
        <v>theater</v>
      </c>
      <c r="V3208" t="str">
        <f>RIGHT(Table1[[#This Row],[Category and Sub-Category]],LEN(Table1[[#This Row],[Category and Sub-Category]])-FIND("/",Table1[[#This Row],[Category and Sub-Category]]))</f>
        <v>musical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 s="12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>((Table1[[#This Row],[deadline]]/60)/60/24)+DATE(1970,1,1)</f>
        <v>42117.236192129625</v>
      </c>
      <c r="K3209">
        <v>1424587207</v>
      </c>
      <c r="L3209" s="11">
        <f>((Table1[[#This Row],[launched_at]]/60)/60/24)+DATE(1970,1,1)</f>
        <v>42057.277858796297</v>
      </c>
      <c r="M3209">
        <f>MONTH(Table1[[#This Row],[Date Created Conversion]])</f>
        <v>2</v>
      </c>
      <c r="N3209">
        <f>YEAR(Table1[[#This Row],[Date Created Conversion]])</f>
        <v>2015</v>
      </c>
      <c r="O3209" t="b">
        <v>0</v>
      </c>
      <c r="P3209">
        <v>36</v>
      </c>
      <c r="Q3209" t="b">
        <v>0</v>
      </c>
      <c r="R3209" t="s">
        <v>8305</v>
      </c>
      <c r="S3209" s="6">
        <f>Table1[[#This Row],[pledged]]/Table1[[#This Row],[goal]]</f>
        <v>0.46363636363636362</v>
      </c>
      <c r="T3209" s="8">
        <f>IF(Table1[[#This Row],[pledged]]=0,"no backers",Table1[[#This Row],[pledged]]/Table1[[#This Row],[backers_count]])</f>
        <v>70.833333333333329</v>
      </c>
      <c r="U3209" t="str">
        <f>LEFT(Table1[[#This Row],[Category and Sub-Category]],FIND("/",Table1[[#This Row],[Category and Sub-Category]])-1)</f>
        <v>theater</v>
      </c>
      <c r="V3209" t="str">
        <f>RIGHT(Table1[[#This Row],[Category and Sub-Category]],LEN(Table1[[#This Row],[Category and Sub-Category]])-FIND("/",Table1[[#This Row],[Category and Sub-Category]]))</f>
        <v>musical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 s="12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>((Table1[[#This Row],[deadline]]/60)/60/24)+DATE(1970,1,1)</f>
        <v>41848.605057870373</v>
      </c>
      <c r="K3210">
        <v>1404743477</v>
      </c>
      <c r="L3210" s="11">
        <f>((Table1[[#This Row],[launched_at]]/60)/60/24)+DATE(1970,1,1)</f>
        <v>41827.605057870373</v>
      </c>
      <c r="M3210">
        <f>MONTH(Table1[[#This Row],[Date Created Conversion]])</f>
        <v>7</v>
      </c>
      <c r="N3210">
        <f>YEAR(Table1[[#This Row],[Date Created Conversion]])</f>
        <v>2014</v>
      </c>
      <c r="O3210" t="b">
        <v>1</v>
      </c>
      <c r="P3210">
        <v>82</v>
      </c>
      <c r="Q3210" t="b">
        <v>1</v>
      </c>
      <c r="R3210" t="s">
        <v>8271</v>
      </c>
      <c r="S3210" s="6">
        <f>Table1[[#This Row],[pledged]]/Table1[[#This Row],[goal]]</f>
        <v>1.0349999999999999</v>
      </c>
      <c r="T3210" s="8">
        <f>IF(Table1[[#This Row],[pledged]]=0,"no backers",Table1[[#This Row],[pledged]]/Table1[[#This Row],[backers_count]])</f>
        <v>63.109756097560975</v>
      </c>
      <c r="U3210" t="str">
        <f>LEFT(Table1[[#This Row],[Category and Sub-Category]],FIND("/",Table1[[#This Row],[Category and Sub-Category]])-1)</f>
        <v>theater</v>
      </c>
      <c r="V3210" t="str">
        <f>RIGHT(Table1[[#This Row],[Category and Sub-Category]],LEN(Table1[[#This Row],[Category and Sub-Category]])-FIND("/",Table1[[#This Row],[Category and Sub-Category]]))</f>
        <v>plays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 s="12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>((Table1[[#This Row],[deadline]]/60)/60/24)+DATE(1970,1,1)</f>
        <v>41810.958333333336</v>
      </c>
      <c r="K3211">
        <v>1400512658</v>
      </c>
      <c r="L3211" s="11">
        <f>((Table1[[#This Row],[launched_at]]/60)/60/24)+DATE(1970,1,1)</f>
        <v>41778.637245370373</v>
      </c>
      <c r="M3211">
        <f>MONTH(Table1[[#This Row],[Date Created Conversion]])</f>
        <v>5</v>
      </c>
      <c r="N3211">
        <f>YEAR(Table1[[#This Row],[Date Created Conversion]])</f>
        <v>2014</v>
      </c>
      <c r="O3211" t="b">
        <v>1</v>
      </c>
      <c r="P3211">
        <v>226</v>
      </c>
      <c r="Q3211" t="b">
        <v>1</v>
      </c>
      <c r="R3211" t="s">
        <v>8271</v>
      </c>
      <c r="S3211" s="6">
        <f>Table1[[#This Row],[pledged]]/Table1[[#This Row],[goal]]</f>
        <v>1.1932315789473684</v>
      </c>
      <c r="T3211" s="8">
        <f>IF(Table1[[#This Row],[pledged]]=0,"no backers",Table1[[#This Row],[pledged]]/Table1[[#This Row],[backers_count]])</f>
        <v>50.157964601769912</v>
      </c>
      <c r="U3211" t="str">
        <f>LEFT(Table1[[#This Row],[Category and Sub-Category]],FIND("/",Table1[[#This Row],[Category and Sub-Category]])-1)</f>
        <v>theater</v>
      </c>
      <c r="V3211" t="str">
        <f>RIGHT(Table1[[#This Row],[Category and Sub-Category]],LEN(Table1[[#This Row],[Category and Sub-Category]])-FIND("/",Table1[[#This Row],[Category and Sub-Category]]))</f>
        <v>plays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 s="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>((Table1[[#This Row],[deadline]]/60)/60/24)+DATE(1970,1,1)</f>
        <v>41061.165972222225</v>
      </c>
      <c r="K3212">
        <v>1334442519</v>
      </c>
      <c r="L3212" s="11">
        <f>((Table1[[#This Row],[launched_at]]/60)/60/24)+DATE(1970,1,1)</f>
        <v>41013.936562499999</v>
      </c>
      <c r="M3212">
        <f>MONTH(Table1[[#This Row],[Date Created Conversion]])</f>
        <v>4</v>
      </c>
      <c r="N3212">
        <f>YEAR(Table1[[#This Row],[Date Created Conversion]])</f>
        <v>2012</v>
      </c>
      <c r="O3212" t="b">
        <v>1</v>
      </c>
      <c r="P3212">
        <v>60</v>
      </c>
      <c r="Q3212" t="b">
        <v>1</v>
      </c>
      <c r="R3212" t="s">
        <v>8271</v>
      </c>
      <c r="S3212" s="6">
        <f>Table1[[#This Row],[pledged]]/Table1[[#This Row],[goal]]</f>
        <v>1.2576666666666667</v>
      </c>
      <c r="T3212" s="8">
        <f>IF(Table1[[#This Row],[pledged]]=0,"no backers",Table1[[#This Row],[pledged]]/Table1[[#This Row],[backers_count]])</f>
        <v>62.883333333333333</v>
      </c>
      <c r="U3212" t="str">
        <f>LEFT(Table1[[#This Row],[Category and Sub-Category]],FIND("/",Table1[[#This Row],[Category and Sub-Category]])-1)</f>
        <v>theater</v>
      </c>
      <c r="V3212" t="str">
        <f>RIGHT(Table1[[#This Row],[Category and Sub-Category]],LEN(Table1[[#This Row],[Category and Sub-Category]])-FIND("/",Table1[[#This Row],[Category and Sub-Category]]))</f>
        <v>plays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 s="12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>((Table1[[#This Row],[deadline]]/60)/60/24)+DATE(1970,1,1)</f>
        <v>41866.083333333336</v>
      </c>
      <c r="K3213">
        <v>1405346680</v>
      </c>
      <c r="L3213" s="11">
        <f>((Table1[[#This Row],[launched_at]]/60)/60/24)+DATE(1970,1,1)</f>
        <v>41834.586574074077</v>
      </c>
      <c r="M3213">
        <f>MONTH(Table1[[#This Row],[Date Created Conversion]])</f>
        <v>7</v>
      </c>
      <c r="N3213">
        <f>YEAR(Table1[[#This Row],[Date Created Conversion]])</f>
        <v>2014</v>
      </c>
      <c r="O3213" t="b">
        <v>1</v>
      </c>
      <c r="P3213">
        <v>322</v>
      </c>
      <c r="Q3213" t="b">
        <v>1</v>
      </c>
      <c r="R3213" t="s">
        <v>8271</v>
      </c>
      <c r="S3213" s="6">
        <f>Table1[[#This Row],[pledged]]/Table1[[#This Row],[goal]]</f>
        <v>1.1974347826086957</v>
      </c>
      <c r="T3213" s="8">
        <f>IF(Table1[[#This Row],[pledged]]=0,"no backers",Table1[[#This Row],[pledged]]/Table1[[#This Row],[backers_count]])</f>
        <v>85.531055900621112</v>
      </c>
      <c r="U3213" t="str">
        <f>LEFT(Table1[[#This Row],[Category and Sub-Category]],FIND("/",Table1[[#This Row],[Category and Sub-Category]])-1)</f>
        <v>theater</v>
      </c>
      <c r="V3213" t="str">
        <f>RIGHT(Table1[[#This Row],[Category and Sub-Category]],LEN(Table1[[#This Row],[Category and Sub-Category]])-FIND("/",Table1[[#This Row],[Category and Sub-Category]]))</f>
        <v>plays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 s="12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>((Table1[[#This Row],[deadline]]/60)/60/24)+DATE(1970,1,1)</f>
        <v>41859.795729166668</v>
      </c>
      <c r="K3214">
        <v>1404932751</v>
      </c>
      <c r="L3214" s="11">
        <f>((Table1[[#This Row],[launched_at]]/60)/60/24)+DATE(1970,1,1)</f>
        <v>41829.795729166668</v>
      </c>
      <c r="M3214">
        <f>MONTH(Table1[[#This Row],[Date Created Conversion]])</f>
        <v>7</v>
      </c>
      <c r="N3214">
        <f>YEAR(Table1[[#This Row],[Date Created Conversion]])</f>
        <v>2014</v>
      </c>
      <c r="O3214" t="b">
        <v>1</v>
      </c>
      <c r="P3214">
        <v>94</v>
      </c>
      <c r="Q3214" t="b">
        <v>1</v>
      </c>
      <c r="R3214" t="s">
        <v>8271</v>
      </c>
      <c r="S3214" s="6">
        <f>Table1[[#This Row],[pledged]]/Table1[[#This Row],[goal]]</f>
        <v>1.2625</v>
      </c>
      <c r="T3214" s="8">
        <f>IF(Table1[[#This Row],[pledged]]=0,"no backers",Table1[[#This Row],[pledged]]/Table1[[#This Row],[backers_count]])</f>
        <v>53.723404255319146</v>
      </c>
      <c r="U3214" t="str">
        <f>LEFT(Table1[[#This Row],[Category and Sub-Category]],FIND("/",Table1[[#This Row],[Category and Sub-Category]])-1)</f>
        <v>theater</v>
      </c>
      <c r="V3214" t="str">
        <f>RIGHT(Table1[[#This Row],[Category and Sub-Category]],LEN(Table1[[#This Row],[Category and Sub-Category]])-FIND("/",Table1[[#This Row],[Category and Sub-Category]]))</f>
        <v>plays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 s="12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>((Table1[[#This Row],[deadline]]/60)/60/24)+DATE(1970,1,1)</f>
        <v>42211.763414351852</v>
      </c>
      <c r="K3215">
        <v>1434478759</v>
      </c>
      <c r="L3215" s="11">
        <f>((Table1[[#This Row],[launched_at]]/60)/60/24)+DATE(1970,1,1)</f>
        <v>42171.763414351852</v>
      </c>
      <c r="M3215">
        <f>MONTH(Table1[[#This Row],[Date Created Conversion]])</f>
        <v>6</v>
      </c>
      <c r="N3215">
        <f>YEAR(Table1[[#This Row],[Date Created Conversion]])</f>
        <v>2015</v>
      </c>
      <c r="O3215" t="b">
        <v>1</v>
      </c>
      <c r="P3215">
        <v>47</v>
      </c>
      <c r="Q3215" t="b">
        <v>1</v>
      </c>
      <c r="R3215" t="s">
        <v>8271</v>
      </c>
      <c r="S3215" s="6">
        <f>Table1[[#This Row],[pledged]]/Table1[[#This Row],[goal]]</f>
        <v>1.0011666666666668</v>
      </c>
      <c r="T3215" s="8">
        <f>IF(Table1[[#This Row],[pledged]]=0,"no backers",Table1[[#This Row],[pledged]]/Table1[[#This Row],[backers_count]])</f>
        <v>127.80851063829788</v>
      </c>
      <c r="U3215" t="str">
        <f>LEFT(Table1[[#This Row],[Category and Sub-Category]],FIND("/",Table1[[#This Row],[Category and Sub-Category]])-1)</f>
        <v>theater</v>
      </c>
      <c r="V3215" t="str">
        <f>RIGHT(Table1[[#This Row],[Category and Sub-Category]],LEN(Table1[[#This Row],[Category and Sub-Category]])-FIND("/",Table1[[#This Row],[Category and Sub-Category]]))</f>
        <v>plays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 s="12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>((Table1[[#This Row],[deadline]]/60)/60/24)+DATE(1970,1,1)</f>
        <v>42374.996527777781</v>
      </c>
      <c r="K3216">
        <v>1448823673</v>
      </c>
      <c r="L3216" s="11">
        <f>((Table1[[#This Row],[launched_at]]/60)/60/24)+DATE(1970,1,1)</f>
        <v>42337.792511574073</v>
      </c>
      <c r="M3216">
        <f>MONTH(Table1[[#This Row],[Date Created Conversion]])</f>
        <v>11</v>
      </c>
      <c r="N3216">
        <f>YEAR(Table1[[#This Row],[Date Created Conversion]])</f>
        <v>2015</v>
      </c>
      <c r="O3216" t="b">
        <v>1</v>
      </c>
      <c r="P3216">
        <v>115</v>
      </c>
      <c r="Q3216" t="b">
        <v>1</v>
      </c>
      <c r="R3216" t="s">
        <v>8271</v>
      </c>
      <c r="S3216" s="6">
        <f>Table1[[#This Row],[pledged]]/Table1[[#This Row],[goal]]</f>
        <v>1.0213333333333334</v>
      </c>
      <c r="T3216" s="8">
        <f>IF(Table1[[#This Row],[pledged]]=0,"no backers",Table1[[#This Row],[pledged]]/Table1[[#This Row],[backers_count]])</f>
        <v>106.57391304347826</v>
      </c>
      <c r="U3216" t="str">
        <f>LEFT(Table1[[#This Row],[Category and Sub-Category]],FIND("/",Table1[[#This Row],[Category and Sub-Category]])-1)</f>
        <v>theater</v>
      </c>
      <c r="V3216" t="str">
        <f>RIGHT(Table1[[#This Row],[Category and Sub-Category]],LEN(Table1[[#This Row],[Category and Sub-Category]])-FIND("/",Table1[[#This Row],[Category and Sub-Category]]))</f>
        <v>plays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 s="12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>((Table1[[#This Row],[deadline]]/60)/60/24)+DATE(1970,1,1)</f>
        <v>42257.165972222225</v>
      </c>
      <c r="K3217">
        <v>1438617471</v>
      </c>
      <c r="L3217" s="11">
        <f>((Table1[[#This Row],[launched_at]]/60)/60/24)+DATE(1970,1,1)</f>
        <v>42219.665173611109</v>
      </c>
      <c r="M3217">
        <f>MONTH(Table1[[#This Row],[Date Created Conversion]])</f>
        <v>8</v>
      </c>
      <c r="N3217">
        <f>YEAR(Table1[[#This Row],[Date Created Conversion]])</f>
        <v>2015</v>
      </c>
      <c r="O3217" t="b">
        <v>1</v>
      </c>
      <c r="P3217">
        <v>134</v>
      </c>
      <c r="Q3217" t="b">
        <v>1</v>
      </c>
      <c r="R3217" t="s">
        <v>8271</v>
      </c>
      <c r="S3217" s="6">
        <f>Table1[[#This Row],[pledged]]/Table1[[#This Row],[goal]]</f>
        <v>1.0035142857142858</v>
      </c>
      <c r="T3217" s="8">
        <f>IF(Table1[[#This Row],[pledged]]=0,"no backers",Table1[[#This Row],[pledged]]/Table1[[#This Row],[backers_count]])</f>
        <v>262.11194029850748</v>
      </c>
      <c r="U3217" t="str">
        <f>LEFT(Table1[[#This Row],[Category and Sub-Category]],FIND("/",Table1[[#This Row],[Category and Sub-Category]])-1)</f>
        <v>theater</v>
      </c>
      <c r="V3217" t="str">
        <f>RIGHT(Table1[[#This Row],[Category and Sub-Category]],LEN(Table1[[#This Row],[Category and Sub-Category]])-FIND("/",Table1[[#This Row],[Category and Sub-Category]]))</f>
        <v>plays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 s="12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>((Table1[[#This Row],[deadline]]/60)/60/24)+DATE(1970,1,1)</f>
        <v>42196.604166666672</v>
      </c>
      <c r="K3218">
        <v>1433934371</v>
      </c>
      <c r="L3218" s="11">
        <f>((Table1[[#This Row],[launched_at]]/60)/60/24)+DATE(1970,1,1)</f>
        <v>42165.462627314817</v>
      </c>
      <c r="M3218">
        <f>MONTH(Table1[[#This Row],[Date Created Conversion]])</f>
        <v>6</v>
      </c>
      <c r="N3218">
        <f>YEAR(Table1[[#This Row],[Date Created Conversion]])</f>
        <v>2015</v>
      </c>
      <c r="O3218" t="b">
        <v>1</v>
      </c>
      <c r="P3218">
        <v>35</v>
      </c>
      <c r="Q3218" t="b">
        <v>1</v>
      </c>
      <c r="R3218" t="s">
        <v>8271</v>
      </c>
      <c r="S3218" s="6">
        <f>Table1[[#This Row],[pledged]]/Table1[[#This Row],[goal]]</f>
        <v>1.0004999999999999</v>
      </c>
      <c r="T3218" s="8">
        <f>IF(Table1[[#This Row],[pledged]]=0,"no backers",Table1[[#This Row],[pledged]]/Table1[[#This Row],[backers_count]])</f>
        <v>57.171428571428571</v>
      </c>
      <c r="U3218" t="str">
        <f>LEFT(Table1[[#This Row],[Category and Sub-Category]],FIND("/",Table1[[#This Row],[Category and Sub-Category]])-1)</f>
        <v>theater</v>
      </c>
      <c r="V3218" t="str">
        <f>RIGHT(Table1[[#This Row],[Category and Sub-Category]],LEN(Table1[[#This Row],[Category and Sub-Category]])-FIND("/",Table1[[#This Row],[Category and Sub-Category]]))</f>
        <v>plays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 s="12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>((Table1[[#This Row],[deadline]]/60)/60/24)+DATE(1970,1,1)</f>
        <v>42678.546111111107</v>
      </c>
      <c r="K3219">
        <v>1475672784</v>
      </c>
      <c r="L3219" s="11">
        <f>((Table1[[#This Row],[launched_at]]/60)/60/24)+DATE(1970,1,1)</f>
        <v>42648.546111111107</v>
      </c>
      <c r="M3219">
        <f>MONTH(Table1[[#This Row],[Date Created Conversion]])</f>
        <v>10</v>
      </c>
      <c r="N3219">
        <f>YEAR(Table1[[#This Row],[Date Created Conversion]])</f>
        <v>2016</v>
      </c>
      <c r="O3219" t="b">
        <v>1</v>
      </c>
      <c r="P3219">
        <v>104</v>
      </c>
      <c r="Q3219" t="b">
        <v>1</v>
      </c>
      <c r="R3219" t="s">
        <v>8271</v>
      </c>
      <c r="S3219" s="6">
        <f>Table1[[#This Row],[pledged]]/Table1[[#This Row],[goal]]</f>
        <v>1.1602222222222223</v>
      </c>
      <c r="T3219" s="8">
        <f>IF(Table1[[#This Row],[pledged]]=0,"no backers",Table1[[#This Row],[pledged]]/Table1[[#This Row],[backers_count]])</f>
        <v>50.20192307692308</v>
      </c>
      <c r="U3219" t="str">
        <f>LEFT(Table1[[#This Row],[Category and Sub-Category]],FIND("/",Table1[[#This Row],[Category and Sub-Category]])-1)</f>
        <v>theater</v>
      </c>
      <c r="V3219" t="str">
        <f>RIGHT(Table1[[#This Row],[Category and Sub-Category]],LEN(Table1[[#This Row],[Category and Sub-Category]])-FIND("/",Table1[[#This Row],[Category and Sub-Category]]))</f>
        <v>plays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 s="12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>((Table1[[#This Row],[deadline]]/60)/60/24)+DATE(1970,1,1)</f>
        <v>42004</v>
      </c>
      <c r="K3220">
        <v>1417132986</v>
      </c>
      <c r="L3220" s="11">
        <f>((Table1[[#This Row],[launched_at]]/60)/60/24)+DATE(1970,1,1)</f>
        <v>41971.002152777779</v>
      </c>
      <c r="M3220">
        <f>MONTH(Table1[[#This Row],[Date Created Conversion]])</f>
        <v>11</v>
      </c>
      <c r="N3220">
        <f>YEAR(Table1[[#This Row],[Date Created Conversion]])</f>
        <v>2014</v>
      </c>
      <c r="O3220" t="b">
        <v>1</v>
      </c>
      <c r="P3220">
        <v>184</v>
      </c>
      <c r="Q3220" t="b">
        <v>1</v>
      </c>
      <c r="R3220" t="s">
        <v>8271</v>
      </c>
      <c r="S3220" s="6">
        <f>Table1[[#This Row],[pledged]]/Table1[[#This Row],[goal]]</f>
        <v>1.0209999999999999</v>
      </c>
      <c r="T3220" s="8">
        <f>IF(Table1[[#This Row],[pledged]]=0,"no backers",Table1[[#This Row],[pledged]]/Table1[[#This Row],[backers_count]])</f>
        <v>66.586956521739125</v>
      </c>
      <c r="U3220" t="str">
        <f>LEFT(Table1[[#This Row],[Category and Sub-Category]],FIND("/",Table1[[#This Row],[Category and Sub-Category]])-1)</f>
        <v>theater</v>
      </c>
      <c r="V3220" t="str">
        <f>RIGHT(Table1[[#This Row],[Category and Sub-Category]],LEN(Table1[[#This Row],[Category and Sub-Category]])-FIND("/",Table1[[#This Row],[Category and Sub-Category]]))</f>
        <v>plays</v>
      </c>
    </row>
    <row r="3221" spans="1:22" ht="43.2" x14ac:dyDescent="0.3">
      <c r="A3221">
        <v>3219</v>
      </c>
      <c r="B3221" s="3" t="s">
        <v>3219</v>
      </c>
      <c r="C3221" s="3" t="s">
        <v>7329</v>
      </c>
      <c r="D3221" s="12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>((Table1[[#This Row],[deadline]]/60)/60/24)+DATE(1970,1,1)</f>
        <v>42085.941516203704</v>
      </c>
      <c r="K3221">
        <v>1424043347</v>
      </c>
      <c r="L3221" s="11">
        <f>((Table1[[#This Row],[launched_at]]/60)/60/24)+DATE(1970,1,1)</f>
        <v>42050.983182870375</v>
      </c>
      <c r="M3221">
        <f>MONTH(Table1[[#This Row],[Date Created Conversion]])</f>
        <v>2</v>
      </c>
      <c r="N3221">
        <f>YEAR(Table1[[#This Row],[Date Created Conversion]])</f>
        <v>2015</v>
      </c>
      <c r="O3221" t="b">
        <v>1</v>
      </c>
      <c r="P3221">
        <v>119</v>
      </c>
      <c r="Q3221" t="b">
        <v>1</v>
      </c>
      <c r="R3221" t="s">
        <v>8271</v>
      </c>
      <c r="S3221" s="6">
        <f>Table1[[#This Row],[pledged]]/Table1[[#This Row],[goal]]</f>
        <v>1.0011000000000001</v>
      </c>
      <c r="T3221" s="8">
        <f>IF(Table1[[#This Row],[pledged]]=0,"no backers",Table1[[#This Row],[pledged]]/Table1[[#This Row],[backers_count]])</f>
        <v>168.25210084033614</v>
      </c>
      <c r="U3221" t="str">
        <f>LEFT(Table1[[#This Row],[Category and Sub-Category]],FIND("/",Table1[[#This Row],[Category and Sub-Category]])-1)</f>
        <v>theater</v>
      </c>
      <c r="V3221" t="str">
        <f>RIGHT(Table1[[#This Row],[Category and Sub-Category]],LEN(Table1[[#This Row],[Category and Sub-Category]])-FIND("/",Table1[[#This Row],[Category and Sub-Category]]))</f>
        <v>plays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 s="1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>((Table1[[#This Row],[deadline]]/60)/60/24)+DATE(1970,1,1)</f>
        <v>42806.875</v>
      </c>
      <c r="K3222">
        <v>1486411204</v>
      </c>
      <c r="L3222" s="11">
        <f>((Table1[[#This Row],[launched_at]]/60)/60/24)+DATE(1970,1,1)</f>
        <v>42772.833379629628</v>
      </c>
      <c r="M3222">
        <f>MONTH(Table1[[#This Row],[Date Created Conversion]])</f>
        <v>2</v>
      </c>
      <c r="N3222">
        <f>YEAR(Table1[[#This Row],[Date Created Conversion]])</f>
        <v>2017</v>
      </c>
      <c r="O3222" t="b">
        <v>1</v>
      </c>
      <c r="P3222">
        <v>59</v>
      </c>
      <c r="Q3222" t="b">
        <v>1</v>
      </c>
      <c r="R3222" t="s">
        <v>8271</v>
      </c>
      <c r="S3222" s="6">
        <f>Table1[[#This Row],[pledged]]/Table1[[#This Row],[goal]]</f>
        <v>1.0084</v>
      </c>
      <c r="T3222" s="8">
        <f>IF(Table1[[#This Row],[pledged]]=0,"no backers",Table1[[#This Row],[pledged]]/Table1[[#This Row],[backers_count]])</f>
        <v>256.37288135593218</v>
      </c>
      <c r="U3222" t="str">
        <f>LEFT(Table1[[#This Row],[Category and Sub-Category]],FIND("/",Table1[[#This Row],[Category and Sub-Category]])-1)</f>
        <v>theater</v>
      </c>
      <c r="V3222" t="str">
        <f>RIGHT(Table1[[#This Row],[Category and Sub-Category]],LEN(Table1[[#This Row],[Category and Sub-Category]])-FIND("/",Table1[[#This Row],[Category and Sub-Category]]))</f>
        <v>plays</v>
      </c>
    </row>
    <row r="3223" spans="1:22" ht="57.6" x14ac:dyDescent="0.3">
      <c r="A3223">
        <v>3221</v>
      </c>
      <c r="B3223" s="3" t="s">
        <v>3221</v>
      </c>
      <c r="C3223" s="3" t="s">
        <v>7331</v>
      </c>
      <c r="D3223" s="12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>((Table1[[#This Row],[deadline]]/60)/60/24)+DATE(1970,1,1)</f>
        <v>42190.696793981479</v>
      </c>
      <c r="K3223">
        <v>1433090603</v>
      </c>
      <c r="L3223" s="11">
        <f>((Table1[[#This Row],[launched_at]]/60)/60/24)+DATE(1970,1,1)</f>
        <v>42155.696793981479</v>
      </c>
      <c r="M3223">
        <f>MONTH(Table1[[#This Row],[Date Created Conversion]])</f>
        <v>5</v>
      </c>
      <c r="N3223">
        <f>YEAR(Table1[[#This Row],[Date Created Conversion]])</f>
        <v>2015</v>
      </c>
      <c r="O3223" t="b">
        <v>1</v>
      </c>
      <c r="P3223">
        <v>113</v>
      </c>
      <c r="Q3223" t="b">
        <v>1</v>
      </c>
      <c r="R3223" t="s">
        <v>8271</v>
      </c>
      <c r="S3223" s="6">
        <f>Table1[[#This Row],[pledged]]/Table1[[#This Row],[goal]]</f>
        <v>1.0342499999999999</v>
      </c>
      <c r="T3223" s="8">
        <f>IF(Table1[[#This Row],[pledged]]=0,"no backers",Table1[[#This Row],[pledged]]/Table1[[#This Row],[backers_count]])</f>
        <v>36.610619469026545</v>
      </c>
      <c r="U3223" t="str">
        <f>LEFT(Table1[[#This Row],[Category and Sub-Category]],FIND("/",Table1[[#This Row],[Category and Sub-Category]])-1)</f>
        <v>theater</v>
      </c>
      <c r="V3223" t="str">
        <f>RIGHT(Table1[[#This Row],[Category and Sub-Category]],LEN(Table1[[#This Row],[Category and Sub-Category]])-FIND("/",Table1[[#This Row],[Category and Sub-Category]]))</f>
        <v>plays</v>
      </c>
    </row>
    <row r="3224" spans="1:22" ht="43.2" x14ac:dyDescent="0.3">
      <c r="A3224">
        <v>3222</v>
      </c>
      <c r="B3224" s="3" t="s">
        <v>3222</v>
      </c>
      <c r="C3224" s="3" t="s">
        <v>7332</v>
      </c>
      <c r="D3224" s="12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>((Table1[[#This Row],[deadline]]/60)/60/24)+DATE(1970,1,1)</f>
        <v>42301.895138888889</v>
      </c>
      <c r="K3224">
        <v>1443016697</v>
      </c>
      <c r="L3224" s="11">
        <f>((Table1[[#This Row],[launched_at]]/60)/60/24)+DATE(1970,1,1)</f>
        <v>42270.582141203704</v>
      </c>
      <c r="M3224">
        <f>MONTH(Table1[[#This Row],[Date Created Conversion]])</f>
        <v>9</v>
      </c>
      <c r="N3224">
        <f>YEAR(Table1[[#This Row],[Date Created Conversion]])</f>
        <v>2015</v>
      </c>
      <c r="O3224" t="b">
        <v>1</v>
      </c>
      <c r="P3224">
        <v>84</v>
      </c>
      <c r="Q3224" t="b">
        <v>1</v>
      </c>
      <c r="R3224" t="s">
        <v>8271</v>
      </c>
      <c r="S3224" s="6">
        <f>Table1[[#This Row],[pledged]]/Table1[[#This Row],[goal]]</f>
        <v>1.248</v>
      </c>
      <c r="T3224" s="8">
        <f>IF(Table1[[#This Row],[pledged]]=0,"no backers",Table1[[#This Row],[pledged]]/Table1[[#This Row],[backers_count]])</f>
        <v>37.142857142857146</v>
      </c>
      <c r="U3224" t="str">
        <f>LEFT(Table1[[#This Row],[Category and Sub-Category]],FIND("/",Table1[[#This Row],[Category and Sub-Category]])-1)</f>
        <v>theater</v>
      </c>
      <c r="V3224" t="str">
        <f>RIGHT(Table1[[#This Row],[Category and Sub-Category]],LEN(Table1[[#This Row],[Category and Sub-Category]])-FIND("/",Table1[[#This Row],[Category and Sub-Category]]))</f>
        <v>plays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 s="12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>((Table1[[#This Row],[deadline]]/60)/60/24)+DATE(1970,1,1)</f>
        <v>42236.835370370376</v>
      </c>
      <c r="K3225">
        <v>1437508976</v>
      </c>
      <c r="L3225" s="11">
        <f>((Table1[[#This Row],[launched_at]]/60)/60/24)+DATE(1970,1,1)</f>
        <v>42206.835370370376</v>
      </c>
      <c r="M3225">
        <f>MONTH(Table1[[#This Row],[Date Created Conversion]])</f>
        <v>7</v>
      </c>
      <c r="N3225">
        <f>YEAR(Table1[[#This Row],[Date Created Conversion]])</f>
        <v>2015</v>
      </c>
      <c r="O3225" t="b">
        <v>1</v>
      </c>
      <c r="P3225">
        <v>74</v>
      </c>
      <c r="Q3225" t="b">
        <v>1</v>
      </c>
      <c r="R3225" t="s">
        <v>8271</v>
      </c>
      <c r="S3225" s="6">
        <f>Table1[[#This Row],[pledged]]/Table1[[#This Row],[goal]]</f>
        <v>1.0951612903225807</v>
      </c>
      <c r="T3225" s="8">
        <f>IF(Table1[[#This Row],[pledged]]=0,"no backers",Table1[[#This Row],[pledged]]/Table1[[#This Row],[backers_count]])</f>
        <v>45.878378378378379</v>
      </c>
      <c r="U3225" t="str">
        <f>LEFT(Table1[[#This Row],[Category and Sub-Category]],FIND("/",Table1[[#This Row],[Category and Sub-Category]])-1)</f>
        <v>theater</v>
      </c>
      <c r="V3225" t="str">
        <f>RIGHT(Table1[[#This Row],[Category and Sub-Category]],LEN(Table1[[#This Row],[Category and Sub-Category]])-FIND("/",Table1[[#This Row],[Category and Sub-Category]]))</f>
        <v>plays</v>
      </c>
    </row>
    <row r="3226" spans="1:22" ht="57.6" x14ac:dyDescent="0.3">
      <c r="A3226">
        <v>3224</v>
      </c>
      <c r="B3226" s="3" t="s">
        <v>3224</v>
      </c>
      <c r="C3226" s="3" t="s">
        <v>7334</v>
      </c>
      <c r="D3226" s="12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>((Table1[[#This Row],[deadline]]/60)/60/24)+DATE(1970,1,1)</f>
        <v>42745.208333333328</v>
      </c>
      <c r="K3226">
        <v>1479932713</v>
      </c>
      <c r="L3226" s="11">
        <f>((Table1[[#This Row],[launched_at]]/60)/60/24)+DATE(1970,1,1)</f>
        <v>42697.850844907407</v>
      </c>
      <c r="M3226">
        <f>MONTH(Table1[[#This Row],[Date Created Conversion]])</f>
        <v>11</v>
      </c>
      <c r="N3226">
        <f>YEAR(Table1[[#This Row],[Date Created Conversion]])</f>
        <v>2016</v>
      </c>
      <c r="O3226" t="b">
        <v>1</v>
      </c>
      <c r="P3226">
        <v>216</v>
      </c>
      <c r="Q3226" t="b">
        <v>1</v>
      </c>
      <c r="R3226" t="s">
        <v>8271</v>
      </c>
      <c r="S3226" s="6">
        <f>Table1[[#This Row],[pledged]]/Table1[[#This Row],[goal]]</f>
        <v>1.0203333333333333</v>
      </c>
      <c r="T3226" s="8">
        <f>IF(Table1[[#This Row],[pledged]]=0,"no backers",Table1[[#This Row],[pledged]]/Table1[[#This Row],[backers_count]])</f>
        <v>141.71296296296296</v>
      </c>
      <c r="U3226" t="str">
        <f>LEFT(Table1[[#This Row],[Category and Sub-Category]],FIND("/",Table1[[#This Row],[Category and Sub-Category]])-1)</f>
        <v>theater</v>
      </c>
      <c r="V3226" t="str">
        <f>RIGHT(Table1[[#This Row],[Category and Sub-Category]],LEN(Table1[[#This Row],[Category and Sub-Category]])-FIND("/",Table1[[#This Row],[Category and Sub-Category]]))</f>
        <v>plays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 s="12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>((Table1[[#This Row],[deadline]]/60)/60/24)+DATE(1970,1,1)</f>
        <v>42524.875</v>
      </c>
      <c r="K3227">
        <v>1463145938</v>
      </c>
      <c r="L3227" s="11">
        <f>((Table1[[#This Row],[launched_at]]/60)/60/24)+DATE(1970,1,1)</f>
        <v>42503.559467592597</v>
      </c>
      <c r="M3227">
        <f>MONTH(Table1[[#This Row],[Date Created Conversion]])</f>
        <v>5</v>
      </c>
      <c r="N3227">
        <f>YEAR(Table1[[#This Row],[Date Created Conversion]])</f>
        <v>2016</v>
      </c>
      <c r="O3227" t="b">
        <v>1</v>
      </c>
      <c r="P3227">
        <v>39</v>
      </c>
      <c r="Q3227" t="b">
        <v>1</v>
      </c>
      <c r="R3227" t="s">
        <v>8271</v>
      </c>
      <c r="S3227" s="6">
        <f>Table1[[#This Row],[pledged]]/Table1[[#This Row],[goal]]</f>
        <v>1.0235000000000001</v>
      </c>
      <c r="T3227" s="8">
        <f>IF(Table1[[#This Row],[pledged]]=0,"no backers",Table1[[#This Row],[pledged]]/Table1[[#This Row],[backers_count]])</f>
        <v>52.487179487179489</v>
      </c>
      <c r="U3227" t="str">
        <f>LEFT(Table1[[#This Row],[Category and Sub-Category]],FIND("/",Table1[[#This Row],[Category and Sub-Category]])-1)</f>
        <v>theater</v>
      </c>
      <c r="V3227" t="str">
        <f>RIGHT(Table1[[#This Row],[Category and Sub-Category]],LEN(Table1[[#This Row],[Category and Sub-Category]])-FIND("/",Table1[[#This Row],[Category and Sub-Category]]))</f>
        <v>plays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 s="12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>((Table1[[#This Row],[deadline]]/60)/60/24)+DATE(1970,1,1)</f>
        <v>42307.583472222221</v>
      </c>
      <c r="K3228">
        <v>1443621612</v>
      </c>
      <c r="L3228" s="11">
        <f>((Table1[[#This Row],[launched_at]]/60)/60/24)+DATE(1970,1,1)</f>
        <v>42277.583472222221</v>
      </c>
      <c r="M3228">
        <f>MONTH(Table1[[#This Row],[Date Created Conversion]])</f>
        <v>9</v>
      </c>
      <c r="N3228">
        <f>YEAR(Table1[[#This Row],[Date Created Conversion]])</f>
        <v>2015</v>
      </c>
      <c r="O3228" t="b">
        <v>1</v>
      </c>
      <c r="P3228">
        <v>21</v>
      </c>
      <c r="Q3228" t="b">
        <v>1</v>
      </c>
      <c r="R3228" t="s">
        <v>8271</v>
      </c>
      <c r="S3228" s="6">
        <f>Table1[[#This Row],[pledged]]/Table1[[#This Row],[goal]]</f>
        <v>1.0416666666666667</v>
      </c>
      <c r="T3228" s="8">
        <f>IF(Table1[[#This Row],[pledged]]=0,"no backers",Table1[[#This Row],[pledged]]/Table1[[#This Row],[backers_count]])</f>
        <v>59.523809523809526</v>
      </c>
      <c r="U3228" t="str">
        <f>LEFT(Table1[[#This Row],[Category and Sub-Category]],FIND("/",Table1[[#This Row],[Category and Sub-Category]])-1)</f>
        <v>theater</v>
      </c>
      <c r="V3228" t="str">
        <f>RIGHT(Table1[[#This Row],[Category and Sub-Category]],LEN(Table1[[#This Row],[Category and Sub-Category]])-FIND("/",Table1[[#This Row],[Category and Sub-Category]]))</f>
        <v>plays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 s="12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>((Table1[[#This Row],[deadline]]/60)/60/24)+DATE(1970,1,1)</f>
        <v>42752.882361111115</v>
      </c>
      <c r="K3229">
        <v>1482095436</v>
      </c>
      <c r="L3229" s="11">
        <f>((Table1[[#This Row],[launched_at]]/60)/60/24)+DATE(1970,1,1)</f>
        <v>42722.882361111115</v>
      </c>
      <c r="M3229">
        <f>MONTH(Table1[[#This Row],[Date Created Conversion]])</f>
        <v>12</v>
      </c>
      <c r="N3229">
        <f>YEAR(Table1[[#This Row],[Date Created Conversion]])</f>
        <v>2016</v>
      </c>
      <c r="O3229" t="b">
        <v>0</v>
      </c>
      <c r="P3229">
        <v>30</v>
      </c>
      <c r="Q3229" t="b">
        <v>1</v>
      </c>
      <c r="R3229" t="s">
        <v>8271</v>
      </c>
      <c r="S3229" s="6">
        <f>Table1[[#This Row],[pledged]]/Table1[[#This Row],[goal]]</f>
        <v>1.25</v>
      </c>
      <c r="T3229" s="8">
        <f>IF(Table1[[#This Row],[pledged]]=0,"no backers",Table1[[#This Row],[pledged]]/Table1[[#This Row],[backers_count]])</f>
        <v>50</v>
      </c>
      <c r="U3229" t="str">
        <f>LEFT(Table1[[#This Row],[Category and Sub-Category]],FIND("/",Table1[[#This Row],[Category and Sub-Category]])-1)</f>
        <v>theater</v>
      </c>
      <c r="V3229" t="str">
        <f>RIGHT(Table1[[#This Row],[Category and Sub-Category]],LEN(Table1[[#This Row],[Category and Sub-Category]])-FIND("/",Table1[[#This Row],[Category and Sub-Category]]))</f>
        <v>plays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 s="12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>((Table1[[#This Row],[deadline]]/60)/60/24)+DATE(1970,1,1)</f>
        <v>42355.207638888889</v>
      </c>
      <c r="K3230">
        <v>1447606884</v>
      </c>
      <c r="L3230" s="11">
        <f>((Table1[[#This Row],[launched_at]]/60)/60/24)+DATE(1970,1,1)</f>
        <v>42323.70930555556</v>
      </c>
      <c r="M3230">
        <f>MONTH(Table1[[#This Row],[Date Created Conversion]])</f>
        <v>11</v>
      </c>
      <c r="N3230">
        <f>YEAR(Table1[[#This Row],[Date Created Conversion]])</f>
        <v>2015</v>
      </c>
      <c r="O3230" t="b">
        <v>1</v>
      </c>
      <c r="P3230">
        <v>37</v>
      </c>
      <c r="Q3230" t="b">
        <v>1</v>
      </c>
      <c r="R3230" t="s">
        <v>8271</v>
      </c>
      <c r="S3230" s="6">
        <f>Table1[[#This Row],[pledged]]/Table1[[#This Row],[goal]]</f>
        <v>1.0234285714285714</v>
      </c>
      <c r="T3230" s="8">
        <f>IF(Table1[[#This Row],[pledged]]=0,"no backers",Table1[[#This Row],[pledged]]/Table1[[#This Row],[backers_count]])</f>
        <v>193.62162162162161</v>
      </c>
      <c r="U3230" t="str">
        <f>LEFT(Table1[[#This Row],[Category and Sub-Category]],FIND("/",Table1[[#This Row],[Category and Sub-Category]])-1)</f>
        <v>theater</v>
      </c>
      <c r="V3230" t="str">
        <f>RIGHT(Table1[[#This Row],[Category and Sub-Category]],LEN(Table1[[#This Row],[Category and Sub-Category]])-FIND("/",Table1[[#This Row],[Category and Sub-Category]]))</f>
        <v>plays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 s="12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>((Table1[[#This Row],[deadline]]/60)/60/24)+DATE(1970,1,1)</f>
        <v>41963.333310185189</v>
      </c>
      <c r="K3231">
        <v>1413874798</v>
      </c>
      <c r="L3231" s="11">
        <f>((Table1[[#This Row],[launched_at]]/60)/60/24)+DATE(1970,1,1)</f>
        <v>41933.291643518518</v>
      </c>
      <c r="M3231">
        <f>MONTH(Table1[[#This Row],[Date Created Conversion]])</f>
        <v>10</v>
      </c>
      <c r="N3231">
        <f>YEAR(Table1[[#This Row],[Date Created Conversion]])</f>
        <v>2014</v>
      </c>
      <c r="O3231" t="b">
        <v>1</v>
      </c>
      <c r="P3231">
        <v>202</v>
      </c>
      <c r="Q3231" t="b">
        <v>1</v>
      </c>
      <c r="R3231" t="s">
        <v>8271</v>
      </c>
      <c r="S3231" s="6">
        <f>Table1[[#This Row],[pledged]]/Table1[[#This Row],[goal]]</f>
        <v>1.0786500000000001</v>
      </c>
      <c r="T3231" s="8">
        <f>IF(Table1[[#This Row],[pledged]]=0,"no backers",Table1[[#This Row],[pledged]]/Table1[[#This Row],[backers_count]])</f>
        <v>106.79702970297029</v>
      </c>
      <c r="U3231" t="str">
        <f>LEFT(Table1[[#This Row],[Category and Sub-Category]],FIND("/",Table1[[#This Row],[Category and Sub-Category]])-1)</f>
        <v>theater</v>
      </c>
      <c r="V3231" t="str">
        <f>RIGHT(Table1[[#This Row],[Category and Sub-Category]],LEN(Table1[[#This Row],[Category and Sub-Category]])-FIND("/",Table1[[#This Row],[Category and Sub-Category]]))</f>
        <v>plays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 s="1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>((Table1[[#This Row],[deadline]]/60)/60/24)+DATE(1970,1,1)</f>
        <v>41913.165972222225</v>
      </c>
      <c r="K3232">
        <v>1410840126</v>
      </c>
      <c r="L3232" s="11">
        <f>((Table1[[#This Row],[launched_at]]/60)/60/24)+DATE(1970,1,1)</f>
        <v>41898.168125000004</v>
      </c>
      <c r="M3232">
        <f>MONTH(Table1[[#This Row],[Date Created Conversion]])</f>
        <v>9</v>
      </c>
      <c r="N3232">
        <f>YEAR(Table1[[#This Row],[Date Created Conversion]])</f>
        <v>2014</v>
      </c>
      <c r="O3232" t="b">
        <v>1</v>
      </c>
      <c r="P3232">
        <v>37</v>
      </c>
      <c r="Q3232" t="b">
        <v>1</v>
      </c>
      <c r="R3232" t="s">
        <v>8271</v>
      </c>
      <c r="S3232" s="6">
        <f>Table1[[#This Row],[pledged]]/Table1[[#This Row],[goal]]</f>
        <v>1.0988461538461538</v>
      </c>
      <c r="T3232" s="8">
        <f>IF(Table1[[#This Row],[pledged]]=0,"no backers",Table1[[#This Row],[pledged]]/Table1[[#This Row],[backers_count]])</f>
        <v>77.21621621621621</v>
      </c>
      <c r="U3232" t="str">
        <f>LEFT(Table1[[#This Row],[Category and Sub-Category]],FIND("/",Table1[[#This Row],[Category and Sub-Category]])-1)</f>
        <v>theater</v>
      </c>
      <c r="V3232" t="str">
        <f>RIGHT(Table1[[#This Row],[Category and Sub-Category]],LEN(Table1[[#This Row],[Category and Sub-Category]])-FIND("/",Table1[[#This Row],[Category and Sub-Category]]))</f>
        <v>plays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 s="12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>((Table1[[#This Row],[deadline]]/60)/60/24)+DATE(1970,1,1)</f>
        <v>42476.943831018521</v>
      </c>
      <c r="K3233">
        <v>1458254347</v>
      </c>
      <c r="L3233" s="11">
        <f>((Table1[[#This Row],[launched_at]]/60)/60/24)+DATE(1970,1,1)</f>
        <v>42446.943831018521</v>
      </c>
      <c r="M3233">
        <f>MONTH(Table1[[#This Row],[Date Created Conversion]])</f>
        <v>3</v>
      </c>
      <c r="N3233">
        <f>YEAR(Table1[[#This Row],[Date Created Conversion]])</f>
        <v>2016</v>
      </c>
      <c r="O3233" t="b">
        <v>0</v>
      </c>
      <c r="P3233">
        <v>28</v>
      </c>
      <c r="Q3233" t="b">
        <v>1</v>
      </c>
      <c r="R3233" t="s">
        <v>8271</v>
      </c>
      <c r="S3233" s="6">
        <f>Table1[[#This Row],[pledged]]/Table1[[#This Row],[goal]]</f>
        <v>1.61</v>
      </c>
      <c r="T3233" s="8">
        <f>IF(Table1[[#This Row],[pledged]]=0,"no backers",Table1[[#This Row],[pledged]]/Table1[[#This Row],[backers_count]])</f>
        <v>57.5</v>
      </c>
      <c r="U3233" t="str">
        <f>LEFT(Table1[[#This Row],[Category and Sub-Category]],FIND("/",Table1[[#This Row],[Category and Sub-Category]])-1)</f>
        <v>theater</v>
      </c>
      <c r="V3233" t="str">
        <f>RIGHT(Table1[[#This Row],[Category and Sub-Category]],LEN(Table1[[#This Row],[Category and Sub-Category]])-FIND("/",Table1[[#This Row],[Category and Sub-Category]]))</f>
        <v>plays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 s="12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>((Table1[[#This Row],[deadline]]/60)/60/24)+DATE(1970,1,1)</f>
        <v>42494.165972222225</v>
      </c>
      <c r="K3234">
        <v>1459711917</v>
      </c>
      <c r="L3234" s="11">
        <f>((Table1[[#This Row],[launched_at]]/60)/60/24)+DATE(1970,1,1)</f>
        <v>42463.81385416667</v>
      </c>
      <c r="M3234">
        <f>MONTH(Table1[[#This Row],[Date Created Conversion]])</f>
        <v>4</v>
      </c>
      <c r="N3234">
        <f>YEAR(Table1[[#This Row],[Date Created Conversion]])</f>
        <v>2016</v>
      </c>
      <c r="O3234" t="b">
        <v>1</v>
      </c>
      <c r="P3234">
        <v>26</v>
      </c>
      <c r="Q3234" t="b">
        <v>1</v>
      </c>
      <c r="R3234" t="s">
        <v>8271</v>
      </c>
      <c r="S3234" s="6">
        <f>Table1[[#This Row],[pledged]]/Table1[[#This Row],[goal]]</f>
        <v>1.3120000000000001</v>
      </c>
      <c r="T3234" s="8">
        <f>IF(Table1[[#This Row],[pledged]]=0,"no backers",Table1[[#This Row],[pledged]]/Table1[[#This Row],[backers_count]])</f>
        <v>50.46153846153846</v>
      </c>
      <c r="U3234" t="str">
        <f>LEFT(Table1[[#This Row],[Category and Sub-Category]],FIND("/",Table1[[#This Row],[Category and Sub-Category]])-1)</f>
        <v>theater</v>
      </c>
      <c r="V3234" t="str">
        <f>RIGHT(Table1[[#This Row],[Category and Sub-Category]],LEN(Table1[[#This Row],[Category and Sub-Category]])-FIND("/",Table1[[#This Row],[Category and Sub-Category]]))</f>
        <v>plays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 s="12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>((Table1[[#This Row],[deadline]]/60)/60/24)+DATE(1970,1,1)</f>
        <v>42796.805034722223</v>
      </c>
      <c r="K3235">
        <v>1485890355</v>
      </c>
      <c r="L3235" s="11">
        <f>((Table1[[#This Row],[launched_at]]/60)/60/24)+DATE(1970,1,1)</f>
        <v>42766.805034722223</v>
      </c>
      <c r="M3235">
        <f>MONTH(Table1[[#This Row],[Date Created Conversion]])</f>
        <v>1</v>
      </c>
      <c r="N3235">
        <f>YEAR(Table1[[#This Row],[Date Created Conversion]])</f>
        <v>2017</v>
      </c>
      <c r="O3235" t="b">
        <v>0</v>
      </c>
      <c r="P3235">
        <v>61</v>
      </c>
      <c r="Q3235" t="b">
        <v>1</v>
      </c>
      <c r="R3235" t="s">
        <v>8271</v>
      </c>
      <c r="S3235" s="6">
        <f>Table1[[#This Row],[pledged]]/Table1[[#This Row],[goal]]</f>
        <v>1.1879999999999999</v>
      </c>
      <c r="T3235" s="8">
        <f>IF(Table1[[#This Row],[pledged]]=0,"no backers",Table1[[#This Row],[pledged]]/Table1[[#This Row],[backers_count]])</f>
        <v>97.377049180327873</v>
      </c>
      <c r="U3235" t="str">
        <f>LEFT(Table1[[#This Row],[Category and Sub-Category]],FIND("/",Table1[[#This Row],[Category and Sub-Category]])-1)</f>
        <v>theater</v>
      </c>
      <c r="V3235" t="str">
        <f>RIGHT(Table1[[#This Row],[Category and Sub-Category]],LEN(Table1[[#This Row],[Category and Sub-Category]])-FIND("/",Table1[[#This Row],[Category and Sub-Category]]))</f>
        <v>plays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 s="12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>((Table1[[#This Row],[deadline]]/60)/60/24)+DATE(1970,1,1)</f>
        <v>42767.979861111111</v>
      </c>
      <c r="K3236">
        <v>1483124208</v>
      </c>
      <c r="L3236" s="11">
        <f>((Table1[[#This Row],[launched_at]]/60)/60/24)+DATE(1970,1,1)</f>
        <v>42734.789444444439</v>
      </c>
      <c r="M3236">
        <f>MONTH(Table1[[#This Row],[Date Created Conversion]])</f>
        <v>12</v>
      </c>
      <c r="N3236">
        <f>YEAR(Table1[[#This Row],[Date Created Conversion]])</f>
        <v>2016</v>
      </c>
      <c r="O3236" t="b">
        <v>0</v>
      </c>
      <c r="P3236">
        <v>115</v>
      </c>
      <c r="Q3236" t="b">
        <v>1</v>
      </c>
      <c r="R3236" t="s">
        <v>8271</v>
      </c>
      <c r="S3236" s="6">
        <f>Table1[[#This Row],[pledged]]/Table1[[#This Row],[goal]]</f>
        <v>1.0039275000000001</v>
      </c>
      <c r="T3236" s="8">
        <f>IF(Table1[[#This Row],[pledged]]=0,"no backers",Table1[[#This Row],[pledged]]/Table1[[#This Row],[backers_count]])</f>
        <v>34.91921739130435</v>
      </c>
      <c r="U3236" t="str">
        <f>LEFT(Table1[[#This Row],[Category and Sub-Category]],FIND("/",Table1[[#This Row],[Category and Sub-Category]])-1)</f>
        <v>theater</v>
      </c>
      <c r="V3236" t="str">
        <f>RIGHT(Table1[[#This Row],[Category and Sub-Category]],LEN(Table1[[#This Row],[Category and Sub-Category]])-FIND("/",Table1[[#This Row],[Category and Sub-Category]]))</f>
        <v>plays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 s="12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>((Table1[[#This Row],[deadline]]/60)/60/24)+DATE(1970,1,1)</f>
        <v>42552.347812499997</v>
      </c>
      <c r="K3237">
        <v>1464769251</v>
      </c>
      <c r="L3237" s="11">
        <f>((Table1[[#This Row],[launched_at]]/60)/60/24)+DATE(1970,1,1)</f>
        <v>42522.347812499997</v>
      </c>
      <c r="M3237">
        <f>MONTH(Table1[[#This Row],[Date Created Conversion]])</f>
        <v>6</v>
      </c>
      <c r="N3237">
        <f>YEAR(Table1[[#This Row],[Date Created Conversion]])</f>
        <v>2016</v>
      </c>
      <c r="O3237" t="b">
        <v>1</v>
      </c>
      <c r="P3237">
        <v>181</v>
      </c>
      <c r="Q3237" t="b">
        <v>1</v>
      </c>
      <c r="R3237" t="s">
        <v>8271</v>
      </c>
      <c r="S3237" s="6">
        <f>Table1[[#This Row],[pledged]]/Table1[[#This Row],[goal]]</f>
        <v>1.0320666666666667</v>
      </c>
      <c r="T3237" s="8">
        <f>IF(Table1[[#This Row],[pledged]]=0,"no backers",Table1[[#This Row],[pledged]]/Table1[[#This Row],[backers_count]])</f>
        <v>85.530386740331494</v>
      </c>
      <c r="U3237" t="str">
        <f>LEFT(Table1[[#This Row],[Category and Sub-Category]],FIND("/",Table1[[#This Row],[Category and Sub-Category]])-1)</f>
        <v>theater</v>
      </c>
      <c r="V3237" t="str">
        <f>RIGHT(Table1[[#This Row],[Category and Sub-Category]],LEN(Table1[[#This Row],[Category and Sub-Category]])-FIND("/",Table1[[#This Row],[Category and Sub-Category]]))</f>
        <v>plays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 s="12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>((Table1[[#This Row],[deadline]]/60)/60/24)+DATE(1970,1,1)</f>
        <v>42732.917048611111</v>
      </c>
      <c r="K3238">
        <v>1480370433</v>
      </c>
      <c r="L3238" s="11">
        <f>((Table1[[#This Row],[launched_at]]/60)/60/24)+DATE(1970,1,1)</f>
        <v>42702.917048611111</v>
      </c>
      <c r="M3238">
        <f>MONTH(Table1[[#This Row],[Date Created Conversion]])</f>
        <v>11</v>
      </c>
      <c r="N3238">
        <f>YEAR(Table1[[#This Row],[Date Created Conversion]])</f>
        <v>2016</v>
      </c>
      <c r="O3238" t="b">
        <v>0</v>
      </c>
      <c r="P3238">
        <v>110</v>
      </c>
      <c r="Q3238" t="b">
        <v>1</v>
      </c>
      <c r="R3238" t="s">
        <v>8271</v>
      </c>
      <c r="S3238" s="6">
        <f>Table1[[#This Row],[pledged]]/Table1[[#This Row],[goal]]</f>
        <v>1.006</v>
      </c>
      <c r="T3238" s="8">
        <f>IF(Table1[[#This Row],[pledged]]=0,"no backers",Table1[[#This Row],[pledged]]/Table1[[#This Row],[backers_count]])</f>
        <v>182.90909090909091</v>
      </c>
      <c r="U3238" t="str">
        <f>LEFT(Table1[[#This Row],[Category and Sub-Category]],FIND("/",Table1[[#This Row],[Category and Sub-Category]])-1)</f>
        <v>theater</v>
      </c>
      <c r="V3238" t="str">
        <f>RIGHT(Table1[[#This Row],[Category and Sub-Category]],LEN(Table1[[#This Row],[Category and Sub-Category]])-FIND("/",Table1[[#This Row],[Category and Sub-Category]]))</f>
        <v>plays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 s="12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>((Table1[[#This Row],[deadline]]/60)/60/24)+DATE(1970,1,1)</f>
        <v>42276.165972222225</v>
      </c>
      <c r="K3239">
        <v>1441452184</v>
      </c>
      <c r="L3239" s="11">
        <f>((Table1[[#This Row],[launched_at]]/60)/60/24)+DATE(1970,1,1)</f>
        <v>42252.474351851852</v>
      </c>
      <c r="M3239">
        <f>MONTH(Table1[[#This Row],[Date Created Conversion]])</f>
        <v>9</v>
      </c>
      <c r="N3239">
        <f>YEAR(Table1[[#This Row],[Date Created Conversion]])</f>
        <v>2015</v>
      </c>
      <c r="O3239" t="b">
        <v>1</v>
      </c>
      <c r="P3239">
        <v>269</v>
      </c>
      <c r="Q3239" t="b">
        <v>1</v>
      </c>
      <c r="R3239" t="s">
        <v>8271</v>
      </c>
      <c r="S3239" s="6">
        <f>Table1[[#This Row],[pledged]]/Table1[[#This Row],[goal]]</f>
        <v>1.0078754285714286</v>
      </c>
      <c r="T3239" s="8">
        <f>IF(Table1[[#This Row],[pledged]]=0,"no backers",Table1[[#This Row],[pledged]]/Table1[[#This Row],[backers_count]])</f>
        <v>131.13620817843866</v>
      </c>
      <c r="U3239" t="str">
        <f>LEFT(Table1[[#This Row],[Category and Sub-Category]],FIND("/",Table1[[#This Row],[Category and Sub-Category]])-1)</f>
        <v>theater</v>
      </c>
      <c r="V3239" t="str">
        <f>RIGHT(Table1[[#This Row],[Category and Sub-Category]],LEN(Table1[[#This Row],[Category and Sub-Category]])-FIND("/",Table1[[#This Row],[Category and Sub-Category]]))</f>
        <v>plays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 s="12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>((Table1[[#This Row],[deadline]]/60)/60/24)+DATE(1970,1,1)</f>
        <v>42186.510393518518</v>
      </c>
      <c r="K3240">
        <v>1433160898</v>
      </c>
      <c r="L3240" s="11">
        <f>((Table1[[#This Row],[launched_at]]/60)/60/24)+DATE(1970,1,1)</f>
        <v>42156.510393518518</v>
      </c>
      <c r="M3240">
        <f>MONTH(Table1[[#This Row],[Date Created Conversion]])</f>
        <v>6</v>
      </c>
      <c r="N3240">
        <f>YEAR(Table1[[#This Row],[Date Created Conversion]])</f>
        <v>2015</v>
      </c>
      <c r="O3240" t="b">
        <v>1</v>
      </c>
      <c r="P3240">
        <v>79</v>
      </c>
      <c r="Q3240" t="b">
        <v>1</v>
      </c>
      <c r="R3240" t="s">
        <v>8271</v>
      </c>
      <c r="S3240" s="6">
        <f>Table1[[#This Row],[pledged]]/Table1[[#This Row],[goal]]</f>
        <v>1.1232142857142857</v>
      </c>
      <c r="T3240" s="8">
        <f>IF(Table1[[#This Row],[pledged]]=0,"no backers",Table1[[#This Row],[pledged]]/Table1[[#This Row],[backers_count]])</f>
        <v>39.810126582278478</v>
      </c>
      <c r="U3240" t="str">
        <f>LEFT(Table1[[#This Row],[Category and Sub-Category]],FIND("/",Table1[[#This Row],[Category and Sub-Category]])-1)</f>
        <v>theater</v>
      </c>
      <c r="V3240" t="str">
        <f>RIGHT(Table1[[#This Row],[Category and Sub-Category]],LEN(Table1[[#This Row],[Category and Sub-Category]])-FIND("/",Table1[[#This Row],[Category and Sub-Category]]))</f>
        <v>plays</v>
      </c>
    </row>
    <row r="3241" spans="1:22" ht="57.6" x14ac:dyDescent="0.3">
      <c r="A3241">
        <v>3239</v>
      </c>
      <c r="B3241" s="3" t="s">
        <v>3239</v>
      </c>
      <c r="C3241" s="3" t="s">
        <v>7349</v>
      </c>
      <c r="D3241" s="12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>((Table1[[#This Row],[deadline]]/60)/60/24)+DATE(1970,1,1)</f>
        <v>42302.999305555553</v>
      </c>
      <c r="K3241">
        <v>1443665293</v>
      </c>
      <c r="L3241" s="11">
        <f>((Table1[[#This Row],[launched_at]]/60)/60/24)+DATE(1970,1,1)</f>
        <v>42278.089039351849</v>
      </c>
      <c r="M3241">
        <f>MONTH(Table1[[#This Row],[Date Created Conversion]])</f>
        <v>10</v>
      </c>
      <c r="N3241">
        <f>YEAR(Table1[[#This Row],[Date Created Conversion]])</f>
        <v>2015</v>
      </c>
      <c r="O3241" t="b">
        <v>1</v>
      </c>
      <c r="P3241">
        <v>104</v>
      </c>
      <c r="Q3241" t="b">
        <v>1</v>
      </c>
      <c r="R3241" t="s">
        <v>8271</v>
      </c>
      <c r="S3241" s="6">
        <f>Table1[[#This Row],[pledged]]/Table1[[#This Row],[goal]]</f>
        <v>1.0591914022517912</v>
      </c>
      <c r="T3241" s="8">
        <f>IF(Table1[[#This Row],[pledged]]=0,"no backers",Table1[[#This Row],[pledged]]/Table1[[#This Row],[backers_count]])</f>
        <v>59.701730769230764</v>
      </c>
      <c r="U3241" t="str">
        <f>LEFT(Table1[[#This Row],[Category and Sub-Category]],FIND("/",Table1[[#This Row],[Category and Sub-Category]])-1)</f>
        <v>theater</v>
      </c>
      <c r="V3241" t="str">
        <f>RIGHT(Table1[[#This Row],[Category and Sub-Category]],LEN(Table1[[#This Row],[Category and Sub-Category]])-FIND("/",Table1[[#This Row],[Category and Sub-Category]]))</f>
        <v>plays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 s="1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>((Table1[[#This Row],[deadline]]/60)/60/24)+DATE(1970,1,1)</f>
        <v>42782.958333333328</v>
      </c>
      <c r="K3242">
        <v>1484843948</v>
      </c>
      <c r="L3242" s="11">
        <f>((Table1[[#This Row],[launched_at]]/60)/60/24)+DATE(1970,1,1)</f>
        <v>42754.693842592591</v>
      </c>
      <c r="M3242">
        <f>MONTH(Table1[[#This Row],[Date Created Conversion]])</f>
        <v>1</v>
      </c>
      <c r="N3242">
        <f>YEAR(Table1[[#This Row],[Date Created Conversion]])</f>
        <v>2017</v>
      </c>
      <c r="O3242" t="b">
        <v>0</v>
      </c>
      <c r="P3242">
        <v>34</v>
      </c>
      <c r="Q3242" t="b">
        <v>1</v>
      </c>
      <c r="R3242" t="s">
        <v>8271</v>
      </c>
      <c r="S3242" s="6">
        <f>Table1[[#This Row],[pledged]]/Table1[[#This Row],[goal]]</f>
        <v>1.0056666666666667</v>
      </c>
      <c r="T3242" s="8">
        <f>IF(Table1[[#This Row],[pledged]]=0,"no backers",Table1[[#This Row],[pledged]]/Table1[[#This Row],[backers_count]])</f>
        <v>88.735294117647058</v>
      </c>
      <c r="U3242" t="str">
        <f>LEFT(Table1[[#This Row],[Category and Sub-Category]],FIND("/",Table1[[#This Row],[Category and Sub-Category]])-1)</f>
        <v>theater</v>
      </c>
      <c r="V3242" t="str">
        <f>RIGHT(Table1[[#This Row],[Category and Sub-Category]],LEN(Table1[[#This Row],[Category and Sub-Category]])-FIND("/",Table1[[#This Row],[Category and Sub-Category]]))</f>
        <v>plays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 s="12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>((Table1[[#This Row],[deadline]]/60)/60/24)+DATE(1970,1,1)</f>
        <v>41926.290972222225</v>
      </c>
      <c r="K3243">
        <v>1410421670</v>
      </c>
      <c r="L3243" s="11">
        <f>((Table1[[#This Row],[launched_at]]/60)/60/24)+DATE(1970,1,1)</f>
        <v>41893.324884259258</v>
      </c>
      <c r="M3243">
        <f>MONTH(Table1[[#This Row],[Date Created Conversion]])</f>
        <v>9</v>
      </c>
      <c r="N3243">
        <f>YEAR(Table1[[#This Row],[Date Created Conversion]])</f>
        <v>2014</v>
      </c>
      <c r="O3243" t="b">
        <v>1</v>
      </c>
      <c r="P3243">
        <v>167</v>
      </c>
      <c r="Q3243" t="b">
        <v>1</v>
      </c>
      <c r="R3243" t="s">
        <v>8271</v>
      </c>
      <c r="S3243" s="6">
        <f>Table1[[#This Row],[pledged]]/Table1[[#This Row],[goal]]</f>
        <v>1.1530588235294117</v>
      </c>
      <c r="T3243" s="8">
        <f>IF(Table1[[#This Row],[pledged]]=0,"no backers",Table1[[#This Row],[pledged]]/Table1[[#This Row],[backers_count]])</f>
        <v>58.688622754491021</v>
      </c>
      <c r="U3243" t="str">
        <f>LEFT(Table1[[#This Row],[Category and Sub-Category]],FIND("/",Table1[[#This Row],[Category and Sub-Category]])-1)</f>
        <v>theater</v>
      </c>
      <c r="V3243" t="str">
        <f>RIGHT(Table1[[#This Row],[Category and Sub-Category]],LEN(Table1[[#This Row],[Category and Sub-Category]])-FIND("/",Table1[[#This Row],[Category and Sub-Category]]))</f>
        <v>plays</v>
      </c>
    </row>
    <row r="3244" spans="1:22" ht="43.2" x14ac:dyDescent="0.3">
      <c r="A3244">
        <v>3242</v>
      </c>
      <c r="B3244" s="3" t="s">
        <v>3242</v>
      </c>
      <c r="C3244" s="3" t="s">
        <v>7352</v>
      </c>
      <c r="D3244" s="12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>((Table1[[#This Row],[deadline]]/60)/60/24)+DATE(1970,1,1)</f>
        <v>41901.755694444444</v>
      </c>
      <c r="K3244">
        <v>1408558092</v>
      </c>
      <c r="L3244" s="11">
        <f>((Table1[[#This Row],[launched_at]]/60)/60/24)+DATE(1970,1,1)</f>
        <v>41871.755694444444</v>
      </c>
      <c r="M3244">
        <f>MONTH(Table1[[#This Row],[Date Created Conversion]])</f>
        <v>8</v>
      </c>
      <c r="N3244">
        <f>YEAR(Table1[[#This Row],[Date Created Conversion]])</f>
        <v>2014</v>
      </c>
      <c r="O3244" t="b">
        <v>1</v>
      </c>
      <c r="P3244">
        <v>183</v>
      </c>
      <c r="Q3244" t="b">
        <v>1</v>
      </c>
      <c r="R3244" t="s">
        <v>8271</v>
      </c>
      <c r="S3244" s="6">
        <f>Table1[[#This Row],[pledged]]/Table1[[#This Row],[goal]]</f>
        <v>1.273042</v>
      </c>
      <c r="T3244" s="8">
        <f>IF(Table1[[#This Row],[pledged]]=0,"no backers",Table1[[#This Row],[pledged]]/Table1[[#This Row],[backers_count]])</f>
        <v>69.56513661202186</v>
      </c>
      <c r="U3244" t="str">
        <f>LEFT(Table1[[#This Row],[Category and Sub-Category]],FIND("/",Table1[[#This Row],[Category and Sub-Category]])-1)</f>
        <v>theater</v>
      </c>
      <c r="V3244" t="str">
        <f>RIGHT(Table1[[#This Row],[Category and Sub-Category]],LEN(Table1[[#This Row],[Category and Sub-Category]])-FIND("/",Table1[[#This Row],[Category and Sub-Category]]))</f>
        <v>plays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 s="12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>((Table1[[#This Row],[deadline]]/60)/60/24)+DATE(1970,1,1)</f>
        <v>42286</v>
      </c>
      <c r="K3245">
        <v>1442283562</v>
      </c>
      <c r="L3245" s="11">
        <f>((Table1[[#This Row],[launched_at]]/60)/60/24)+DATE(1970,1,1)</f>
        <v>42262.096782407403</v>
      </c>
      <c r="M3245">
        <f>MONTH(Table1[[#This Row],[Date Created Conversion]])</f>
        <v>9</v>
      </c>
      <c r="N3245">
        <f>YEAR(Table1[[#This Row],[Date Created Conversion]])</f>
        <v>2015</v>
      </c>
      <c r="O3245" t="b">
        <v>1</v>
      </c>
      <c r="P3245">
        <v>71</v>
      </c>
      <c r="Q3245" t="b">
        <v>1</v>
      </c>
      <c r="R3245" t="s">
        <v>8271</v>
      </c>
      <c r="S3245" s="6">
        <f>Table1[[#This Row],[pledged]]/Table1[[#This Row],[goal]]</f>
        <v>1.028375</v>
      </c>
      <c r="T3245" s="8">
        <f>IF(Table1[[#This Row],[pledged]]=0,"no backers",Table1[[#This Row],[pledged]]/Table1[[#This Row],[backers_count]])</f>
        <v>115.87323943661971</v>
      </c>
      <c r="U3245" t="str">
        <f>LEFT(Table1[[#This Row],[Category and Sub-Category]],FIND("/",Table1[[#This Row],[Category and Sub-Category]])-1)</f>
        <v>theater</v>
      </c>
      <c r="V3245" t="str">
        <f>RIGHT(Table1[[#This Row],[Category and Sub-Category]],LEN(Table1[[#This Row],[Category and Sub-Category]])-FIND("/",Table1[[#This Row],[Category and Sub-Category]]))</f>
        <v>plays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 s="12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>((Table1[[#This Row],[deadline]]/60)/60/24)+DATE(1970,1,1)</f>
        <v>42705.735902777778</v>
      </c>
      <c r="K3246">
        <v>1478018382</v>
      </c>
      <c r="L3246" s="11">
        <f>((Table1[[#This Row],[launched_at]]/60)/60/24)+DATE(1970,1,1)</f>
        <v>42675.694236111114</v>
      </c>
      <c r="M3246">
        <f>MONTH(Table1[[#This Row],[Date Created Conversion]])</f>
        <v>11</v>
      </c>
      <c r="N3246">
        <f>YEAR(Table1[[#This Row],[Date Created Conversion]])</f>
        <v>2016</v>
      </c>
      <c r="O3246" t="b">
        <v>0</v>
      </c>
      <c r="P3246">
        <v>69</v>
      </c>
      <c r="Q3246" t="b">
        <v>1</v>
      </c>
      <c r="R3246" t="s">
        <v>8271</v>
      </c>
      <c r="S3246" s="6">
        <f>Table1[[#This Row],[pledged]]/Table1[[#This Row],[goal]]</f>
        <v>1.0293749999999999</v>
      </c>
      <c r="T3246" s="8">
        <f>IF(Table1[[#This Row],[pledged]]=0,"no backers",Table1[[#This Row],[pledged]]/Table1[[#This Row],[backers_count]])</f>
        <v>23.869565217391305</v>
      </c>
      <c r="U3246" t="str">
        <f>LEFT(Table1[[#This Row],[Category and Sub-Category]],FIND("/",Table1[[#This Row],[Category and Sub-Category]])-1)</f>
        <v>theater</v>
      </c>
      <c r="V3246" t="str">
        <f>RIGHT(Table1[[#This Row],[Category and Sub-Category]],LEN(Table1[[#This Row],[Category and Sub-Category]])-FIND("/",Table1[[#This Row],[Category and Sub-Category]]))</f>
        <v>plays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 s="12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>((Table1[[#This Row],[deadline]]/60)/60/24)+DATE(1970,1,1)</f>
        <v>42167.083333333328</v>
      </c>
      <c r="K3247">
        <v>1431354258</v>
      </c>
      <c r="L3247" s="11">
        <f>((Table1[[#This Row],[launched_at]]/60)/60/24)+DATE(1970,1,1)</f>
        <v>42135.60020833333</v>
      </c>
      <c r="M3247">
        <f>MONTH(Table1[[#This Row],[Date Created Conversion]])</f>
        <v>5</v>
      </c>
      <c r="N3247">
        <f>YEAR(Table1[[#This Row],[Date Created Conversion]])</f>
        <v>2015</v>
      </c>
      <c r="O3247" t="b">
        <v>0</v>
      </c>
      <c r="P3247">
        <v>270</v>
      </c>
      <c r="Q3247" t="b">
        <v>1</v>
      </c>
      <c r="R3247" t="s">
        <v>8271</v>
      </c>
      <c r="S3247" s="6">
        <f>Table1[[#This Row],[pledged]]/Table1[[#This Row],[goal]]</f>
        <v>1.043047619047619</v>
      </c>
      <c r="T3247" s="8">
        <f>IF(Table1[[#This Row],[pledged]]=0,"no backers",Table1[[#This Row],[pledged]]/Table1[[#This Row],[backers_count]])</f>
        <v>81.125925925925927</v>
      </c>
      <c r="U3247" t="str">
        <f>LEFT(Table1[[#This Row],[Category and Sub-Category]],FIND("/",Table1[[#This Row],[Category and Sub-Category]])-1)</f>
        <v>theater</v>
      </c>
      <c r="V3247" t="str">
        <f>RIGHT(Table1[[#This Row],[Category and Sub-Category]],LEN(Table1[[#This Row],[Category and Sub-Category]])-FIND("/",Table1[[#This Row],[Category and Sub-Category]]))</f>
        <v>plays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 s="12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>((Table1[[#This Row],[deadline]]/60)/60/24)+DATE(1970,1,1)</f>
        <v>42259.165972222225</v>
      </c>
      <c r="K3248">
        <v>1439551200</v>
      </c>
      <c r="L3248" s="11">
        <f>((Table1[[#This Row],[launched_at]]/60)/60/24)+DATE(1970,1,1)</f>
        <v>42230.472222222219</v>
      </c>
      <c r="M3248">
        <f>MONTH(Table1[[#This Row],[Date Created Conversion]])</f>
        <v>8</v>
      </c>
      <c r="N3248">
        <f>YEAR(Table1[[#This Row],[Date Created Conversion]])</f>
        <v>2015</v>
      </c>
      <c r="O3248" t="b">
        <v>1</v>
      </c>
      <c r="P3248">
        <v>193</v>
      </c>
      <c r="Q3248" t="b">
        <v>1</v>
      </c>
      <c r="R3248" t="s">
        <v>8271</v>
      </c>
      <c r="S3248" s="6">
        <f>Table1[[#This Row],[pledged]]/Table1[[#This Row],[goal]]</f>
        <v>1.1122000000000001</v>
      </c>
      <c r="T3248" s="8">
        <f>IF(Table1[[#This Row],[pledged]]=0,"no backers",Table1[[#This Row],[pledged]]/Table1[[#This Row],[backers_count]])</f>
        <v>57.626943005181346</v>
      </c>
      <c r="U3248" t="str">
        <f>LEFT(Table1[[#This Row],[Category and Sub-Category]],FIND("/",Table1[[#This Row],[Category and Sub-Category]])-1)</f>
        <v>theater</v>
      </c>
      <c r="V3248" t="str">
        <f>RIGHT(Table1[[#This Row],[Category and Sub-Category]],LEN(Table1[[#This Row],[Category and Sub-Category]])-FIND("/",Table1[[#This Row],[Category and Sub-Category]]))</f>
        <v>plays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 s="12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>((Table1[[#This Row],[deadline]]/60)/60/24)+DATE(1970,1,1)</f>
        <v>42197.434166666666</v>
      </c>
      <c r="K3249">
        <v>1434104712</v>
      </c>
      <c r="L3249" s="11">
        <f>((Table1[[#This Row],[launched_at]]/60)/60/24)+DATE(1970,1,1)</f>
        <v>42167.434166666666</v>
      </c>
      <c r="M3249">
        <f>MONTH(Table1[[#This Row],[Date Created Conversion]])</f>
        <v>6</v>
      </c>
      <c r="N3249">
        <f>YEAR(Table1[[#This Row],[Date Created Conversion]])</f>
        <v>2015</v>
      </c>
      <c r="O3249" t="b">
        <v>1</v>
      </c>
      <c r="P3249">
        <v>57</v>
      </c>
      <c r="Q3249" t="b">
        <v>1</v>
      </c>
      <c r="R3249" t="s">
        <v>8271</v>
      </c>
      <c r="S3249" s="6">
        <f>Table1[[#This Row],[pledged]]/Table1[[#This Row],[goal]]</f>
        <v>1.0586</v>
      </c>
      <c r="T3249" s="8">
        <f>IF(Table1[[#This Row],[pledged]]=0,"no backers",Table1[[#This Row],[pledged]]/Table1[[#This Row],[backers_count]])</f>
        <v>46.429824561403507</v>
      </c>
      <c r="U3249" t="str">
        <f>LEFT(Table1[[#This Row],[Category and Sub-Category]],FIND("/",Table1[[#This Row],[Category and Sub-Category]])-1)</f>
        <v>theater</v>
      </c>
      <c r="V3249" t="str">
        <f>RIGHT(Table1[[#This Row],[Category and Sub-Category]],LEN(Table1[[#This Row],[Category and Sub-Category]])-FIND("/",Table1[[#This Row],[Category and Sub-Category]]))</f>
        <v>plays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 s="12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>((Table1[[#This Row],[deadline]]/60)/60/24)+DATE(1970,1,1)</f>
        <v>42098.846724537041</v>
      </c>
      <c r="K3250">
        <v>1425590357</v>
      </c>
      <c r="L3250" s="11">
        <f>((Table1[[#This Row],[launched_at]]/60)/60/24)+DATE(1970,1,1)</f>
        <v>42068.888391203705</v>
      </c>
      <c r="M3250">
        <f>MONTH(Table1[[#This Row],[Date Created Conversion]])</f>
        <v>3</v>
      </c>
      <c r="N3250">
        <f>YEAR(Table1[[#This Row],[Date Created Conversion]])</f>
        <v>2015</v>
      </c>
      <c r="O3250" t="b">
        <v>1</v>
      </c>
      <c r="P3250">
        <v>200</v>
      </c>
      <c r="Q3250" t="b">
        <v>1</v>
      </c>
      <c r="R3250" t="s">
        <v>8271</v>
      </c>
      <c r="S3250" s="6">
        <f>Table1[[#This Row],[pledged]]/Table1[[#This Row],[goal]]</f>
        <v>1.0079166666666666</v>
      </c>
      <c r="T3250" s="8">
        <f>IF(Table1[[#This Row],[pledged]]=0,"no backers",Table1[[#This Row],[pledged]]/Table1[[#This Row],[backers_count]])</f>
        <v>60.475000000000001</v>
      </c>
      <c r="U3250" t="str">
        <f>LEFT(Table1[[#This Row],[Category and Sub-Category]],FIND("/",Table1[[#This Row],[Category and Sub-Category]])-1)</f>
        <v>theater</v>
      </c>
      <c r="V3250" t="str">
        <f>RIGHT(Table1[[#This Row],[Category and Sub-Category]],LEN(Table1[[#This Row],[Category and Sub-Category]])-FIND("/",Table1[[#This Row],[Category and Sub-Category]]))</f>
        <v>plays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 s="12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>((Table1[[#This Row],[deadline]]/60)/60/24)+DATE(1970,1,1)</f>
        <v>42175.746689814812</v>
      </c>
      <c r="K3251">
        <v>1432230914</v>
      </c>
      <c r="L3251" s="11">
        <f>((Table1[[#This Row],[launched_at]]/60)/60/24)+DATE(1970,1,1)</f>
        <v>42145.746689814812</v>
      </c>
      <c r="M3251">
        <f>MONTH(Table1[[#This Row],[Date Created Conversion]])</f>
        <v>5</v>
      </c>
      <c r="N3251">
        <f>YEAR(Table1[[#This Row],[Date Created Conversion]])</f>
        <v>2015</v>
      </c>
      <c r="O3251" t="b">
        <v>1</v>
      </c>
      <c r="P3251">
        <v>88</v>
      </c>
      <c r="Q3251" t="b">
        <v>1</v>
      </c>
      <c r="R3251" t="s">
        <v>8271</v>
      </c>
      <c r="S3251" s="6">
        <f>Table1[[#This Row],[pledged]]/Table1[[#This Row],[goal]]</f>
        <v>1.0492727272727274</v>
      </c>
      <c r="T3251" s="8">
        <f>IF(Table1[[#This Row],[pledged]]=0,"no backers",Table1[[#This Row],[pledged]]/Table1[[#This Row],[backers_count]])</f>
        <v>65.579545454545453</v>
      </c>
      <c r="U3251" t="str">
        <f>LEFT(Table1[[#This Row],[Category and Sub-Category]],FIND("/",Table1[[#This Row],[Category and Sub-Category]])-1)</f>
        <v>theater</v>
      </c>
      <c r="V3251" t="str">
        <f>RIGHT(Table1[[#This Row],[Category and Sub-Category]],LEN(Table1[[#This Row],[Category and Sub-Category]])-FIND("/",Table1[[#This Row],[Category and Sub-Category]]))</f>
        <v>plays</v>
      </c>
    </row>
    <row r="3252" spans="1:22" ht="57.6" x14ac:dyDescent="0.3">
      <c r="A3252">
        <v>3250</v>
      </c>
      <c r="B3252" s="3" t="s">
        <v>3250</v>
      </c>
      <c r="C3252" s="3" t="s">
        <v>7360</v>
      </c>
      <c r="D3252" s="1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>((Table1[[#This Row],[deadline]]/60)/60/24)+DATE(1970,1,1)</f>
        <v>41948.783842592595</v>
      </c>
      <c r="K3252">
        <v>1412617724</v>
      </c>
      <c r="L3252" s="11">
        <f>((Table1[[#This Row],[launched_at]]/60)/60/24)+DATE(1970,1,1)</f>
        <v>41918.742175925923</v>
      </c>
      <c r="M3252">
        <f>MONTH(Table1[[#This Row],[Date Created Conversion]])</f>
        <v>10</v>
      </c>
      <c r="N3252">
        <f>YEAR(Table1[[#This Row],[Date Created Conversion]])</f>
        <v>2014</v>
      </c>
      <c r="O3252" t="b">
        <v>1</v>
      </c>
      <c r="P3252">
        <v>213</v>
      </c>
      <c r="Q3252" t="b">
        <v>1</v>
      </c>
      <c r="R3252" t="s">
        <v>8271</v>
      </c>
      <c r="S3252" s="6">
        <f>Table1[[#This Row],[pledged]]/Table1[[#This Row],[goal]]</f>
        <v>1.01552</v>
      </c>
      <c r="T3252" s="8">
        <f>IF(Table1[[#This Row],[pledged]]=0,"no backers",Table1[[#This Row],[pledged]]/Table1[[#This Row],[backers_count]])</f>
        <v>119.1924882629108</v>
      </c>
      <c r="U3252" t="str">
        <f>LEFT(Table1[[#This Row],[Category and Sub-Category]],FIND("/",Table1[[#This Row],[Category and Sub-Category]])-1)</f>
        <v>theater</v>
      </c>
      <c r="V3252" t="str">
        <f>RIGHT(Table1[[#This Row],[Category and Sub-Category]],LEN(Table1[[#This Row],[Category and Sub-Category]])-FIND("/",Table1[[#This Row],[Category and Sub-Category]]))</f>
        <v>plays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 s="12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>((Table1[[#This Row],[deadline]]/60)/60/24)+DATE(1970,1,1)</f>
        <v>42176.731087962966</v>
      </c>
      <c r="K3253">
        <v>1432315966</v>
      </c>
      <c r="L3253" s="11">
        <f>((Table1[[#This Row],[launched_at]]/60)/60/24)+DATE(1970,1,1)</f>
        <v>42146.731087962966</v>
      </c>
      <c r="M3253">
        <f>MONTH(Table1[[#This Row],[Date Created Conversion]])</f>
        <v>5</v>
      </c>
      <c r="N3253">
        <f>YEAR(Table1[[#This Row],[Date Created Conversion]])</f>
        <v>2015</v>
      </c>
      <c r="O3253" t="b">
        <v>1</v>
      </c>
      <c r="P3253">
        <v>20</v>
      </c>
      <c r="Q3253" t="b">
        <v>1</v>
      </c>
      <c r="R3253" t="s">
        <v>8271</v>
      </c>
      <c r="S3253" s="6">
        <f>Table1[[#This Row],[pledged]]/Table1[[#This Row],[goal]]</f>
        <v>1.1073333333333333</v>
      </c>
      <c r="T3253" s="8">
        <f>IF(Table1[[#This Row],[pledged]]=0,"no backers",Table1[[#This Row],[pledged]]/Table1[[#This Row],[backers_count]])</f>
        <v>83.05</v>
      </c>
      <c r="U3253" t="str">
        <f>LEFT(Table1[[#This Row],[Category and Sub-Category]],FIND("/",Table1[[#This Row],[Category and Sub-Category]])-1)</f>
        <v>theater</v>
      </c>
      <c r="V3253" t="str">
        <f>RIGHT(Table1[[#This Row],[Category and Sub-Category]],LEN(Table1[[#This Row],[Category and Sub-Category]])-FIND("/",Table1[[#This Row],[Category and Sub-Category]]))</f>
        <v>plays</v>
      </c>
    </row>
    <row r="3254" spans="1:22" ht="43.2" x14ac:dyDescent="0.3">
      <c r="A3254">
        <v>3252</v>
      </c>
      <c r="B3254" s="3" t="s">
        <v>3252</v>
      </c>
      <c r="C3254" s="3" t="s">
        <v>7362</v>
      </c>
      <c r="D3254" s="12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>((Table1[[#This Row],[deadline]]/60)/60/24)+DATE(1970,1,1)</f>
        <v>42620.472685185188</v>
      </c>
      <c r="K3254">
        <v>1470655240</v>
      </c>
      <c r="L3254" s="11">
        <f>((Table1[[#This Row],[launched_at]]/60)/60/24)+DATE(1970,1,1)</f>
        <v>42590.472685185188</v>
      </c>
      <c r="M3254">
        <f>MONTH(Table1[[#This Row],[Date Created Conversion]])</f>
        <v>8</v>
      </c>
      <c r="N3254">
        <f>YEAR(Table1[[#This Row],[Date Created Conversion]])</f>
        <v>2016</v>
      </c>
      <c r="O3254" t="b">
        <v>1</v>
      </c>
      <c r="P3254">
        <v>50</v>
      </c>
      <c r="Q3254" t="b">
        <v>1</v>
      </c>
      <c r="R3254" t="s">
        <v>8271</v>
      </c>
      <c r="S3254" s="6">
        <f>Table1[[#This Row],[pledged]]/Table1[[#This Row],[goal]]</f>
        <v>1.2782222222222221</v>
      </c>
      <c r="T3254" s="8">
        <f>IF(Table1[[#This Row],[pledged]]=0,"no backers",Table1[[#This Row],[pledged]]/Table1[[#This Row],[backers_count]])</f>
        <v>57.52</v>
      </c>
      <c r="U3254" t="str">
        <f>LEFT(Table1[[#This Row],[Category and Sub-Category]],FIND("/",Table1[[#This Row],[Category and Sub-Category]])-1)</f>
        <v>theater</v>
      </c>
      <c r="V3254" t="str">
        <f>RIGHT(Table1[[#This Row],[Category and Sub-Category]],LEN(Table1[[#This Row],[Category and Sub-Category]])-FIND("/",Table1[[#This Row],[Category and Sub-Category]]))</f>
        <v>plays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 s="12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>((Table1[[#This Row],[deadline]]/60)/60/24)+DATE(1970,1,1)</f>
        <v>42621.15625</v>
      </c>
      <c r="K3255">
        <v>1471701028</v>
      </c>
      <c r="L3255" s="11">
        <f>((Table1[[#This Row],[launched_at]]/60)/60/24)+DATE(1970,1,1)</f>
        <v>42602.576712962968</v>
      </c>
      <c r="M3255">
        <f>MONTH(Table1[[#This Row],[Date Created Conversion]])</f>
        <v>8</v>
      </c>
      <c r="N3255">
        <f>YEAR(Table1[[#This Row],[Date Created Conversion]])</f>
        <v>2016</v>
      </c>
      <c r="O3255" t="b">
        <v>1</v>
      </c>
      <c r="P3255">
        <v>115</v>
      </c>
      <c r="Q3255" t="b">
        <v>1</v>
      </c>
      <c r="R3255" t="s">
        <v>8271</v>
      </c>
      <c r="S3255" s="6">
        <f>Table1[[#This Row],[pledged]]/Table1[[#This Row],[goal]]</f>
        <v>1.0182500000000001</v>
      </c>
      <c r="T3255" s="8">
        <f>IF(Table1[[#This Row],[pledged]]=0,"no backers",Table1[[#This Row],[pledged]]/Table1[[#This Row],[backers_count]])</f>
        <v>177.08695652173913</v>
      </c>
      <c r="U3255" t="str">
        <f>LEFT(Table1[[#This Row],[Category and Sub-Category]],FIND("/",Table1[[#This Row],[Category and Sub-Category]])-1)</f>
        <v>theater</v>
      </c>
      <c r="V3255" t="str">
        <f>RIGHT(Table1[[#This Row],[Category and Sub-Category]],LEN(Table1[[#This Row],[Category and Sub-Category]])-FIND("/",Table1[[#This Row],[Category and Sub-Category]]))</f>
        <v>plays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 s="12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>((Table1[[#This Row],[deadline]]/60)/60/24)+DATE(1970,1,1)</f>
        <v>42089.044085648144</v>
      </c>
      <c r="K3256">
        <v>1424743409</v>
      </c>
      <c r="L3256" s="11">
        <f>((Table1[[#This Row],[launched_at]]/60)/60/24)+DATE(1970,1,1)</f>
        <v>42059.085752314815</v>
      </c>
      <c r="M3256">
        <f>MONTH(Table1[[#This Row],[Date Created Conversion]])</f>
        <v>2</v>
      </c>
      <c r="N3256">
        <f>YEAR(Table1[[#This Row],[Date Created Conversion]])</f>
        <v>2015</v>
      </c>
      <c r="O3256" t="b">
        <v>1</v>
      </c>
      <c r="P3256">
        <v>186</v>
      </c>
      <c r="Q3256" t="b">
        <v>1</v>
      </c>
      <c r="R3256" t="s">
        <v>8271</v>
      </c>
      <c r="S3256" s="6">
        <f>Table1[[#This Row],[pledged]]/Table1[[#This Row],[goal]]</f>
        <v>1.012576923076923</v>
      </c>
      <c r="T3256" s="8">
        <f>IF(Table1[[#This Row],[pledged]]=0,"no backers",Table1[[#This Row],[pledged]]/Table1[[#This Row],[backers_count]])</f>
        <v>70.771505376344081</v>
      </c>
      <c r="U3256" t="str">
        <f>LEFT(Table1[[#This Row],[Category and Sub-Category]],FIND("/",Table1[[#This Row],[Category and Sub-Category]])-1)</f>
        <v>theater</v>
      </c>
      <c r="V3256" t="str">
        <f>RIGHT(Table1[[#This Row],[Category and Sub-Category]],LEN(Table1[[#This Row],[Category and Sub-Category]])-FIND("/",Table1[[#This Row],[Category and Sub-Category]]))</f>
        <v>plays</v>
      </c>
    </row>
    <row r="3257" spans="1:22" ht="57.6" x14ac:dyDescent="0.3">
      <c r="A3257">
        <v>3255</v>
      </c>
      <c r="B3257" s="3" t="s">
        <v>3255</v>
      </c>
      <c r="C3257" s="3" t="s">
        <v>7365</v>
      </c>
      <c r="D3257" s="12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>((Table1[[#This Row],[deadline]]/60)/60/24)+DATE(1970,1,1)</f>
        <v>41919.768229166664</v>
      </c>
      <c r="K3257">
        <v>1410114375</v>
      </c>
      <c r="L3257" s="11">
        <f>((Table1[[#This Row],[launched_at]]/60)/60/24)+DATE(1970,1,1)</f>
        <v>41889.768229166664</v>
      </c>
      <c r="M3257">
        <f>MONTH(Table1[[#This Row],[Date Created Conversion]])</f>
        <v>9</v>
      </c>
      <c r="N3257">
        <f>YEAR(Table1[[#This Row],[Date Created Conversion]])</f>
        <v>2014</v>
      </c>
      <c r="O3257" t="b">
        <v>1</v>
      </c>
      <c r="P3257">
        <v>18</v>
      </c>
      <c r="Q3257" t="b">
        <v>1</v>
      </c>
      <c r="R3257" t="s">
        <v>8271</v>
      </c>
      <c r="S3257" s="6">
        <f>Table1[[#This Row],[pledged]]/Table1[[#This Row],[goal]]</f>
        <v>1.75</v>
      </c>
      <c r="T3257" s="8">
        <f>IF(Table1[[#This Row],[pledged]]=0,"no backers",Table1[[#This Row],[pledged]]/Table1[[#This Row],[backers_count]])</f>
        <v>29.166666666666668</v>
      </c>
      <c r="U3257" t="str">
        <f>LEFT(Table1[[#This Row],[Category and Sub-Category]],FIND("/",Table1[[#This Row],[Category and Sub-Category]])-1)</f>
        <v>theater</v>
      </c>
      <c r="V3257" t="str">
        <f>RIGHT(Table1[[#This Row],[Category and Sub-Category]],LEN(Table1[[#This Row],[Category and Sub-Category]])-FIND("/",Table1[[#This Row],[Category and Sub-Category]]))</f>
        <v>plays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 s="12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>((Table1[[#This Row],[deadline]]/60)/60/24)+DATE(1970,1,1)</f>
        <v>42166.165972222225</v>
      </c>
      <c r="K3258">
        <v>1432129577</v>
      </c>
      <c r="L3258" s="11">
        <f>((Table1[[#This Row],[launched_at]]/60)/60/24)+DATE(1970,1,1)</f>
        <v>42144.573807870373</v>
      </c>
      <c r="M3258">
        <f>MONTH(Table1[[#This Row],[Date Created Conversion]])</f>
        <v>5</v>
      </c>
      <c r="N3258">
        <f>YEAR(Table1[[#This Row],[Date Created Conversion]])</f>
        <v>2015</v>
      </c>
      <c r="O3258" t="b">
        <v>1</v>
      </c>
      <c r="P3258">
        <v>176</v>
      </c>
      <c r="Q3258" t="b">
        <v>1</v>
      </c>
      <c r="R3258" t="s">
        <v>8271</v>
      </c>
      <c r="S3258" s="6">
        <f>Table1[[#This Row],[pledged]]/Table1[[#This Row],[goal]]</f>
        <v>1.2806</v>
      </c>
      <c r="T3258" s="8">
        <f>IF(Table1[[#This Row],[pledged]]=0,"no backers",Table1[[#This Row],[pledged]]/Table1[[#This Row],[backers_count]])</f>
        <v>72.76136363636364</v>
      </c>
      <c r="U3258" t="str">
        <f>LEFT(Table1[[#This Row],[Category and Sub-Category]],FIND("/",Table1[[#This Row],[Category and Sub-Category]])-1)</f>
        <v>theater</v>
      </c>
      <c r="V3258" t="str">
        <f>RIGHT(Table1[[#This Row],[Category and Sub-Category]],LEN(Table1[[#This Row],[Category and Sub-Category]])-FIND("/",Table1[[#This Row],[Category and Sub-Category]]))</f>
        <v>plays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 s="12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>((Table1[[#This Row],[deadline]]/60)/60/24)+DATE(1970,1,1)</f>
        <v>42788.559629629628</v>
      </c>
      <c r="K3259">
        <v>1485177952</v>
      </c>
      <c r="L3259" s="11">
        <f>((Table1[[#This Row],[launched_at]]/60)/60/24)+DATE(1970,1,1)</f>
        <v>42758.559629629628</v>
      </c>
      <c r="M3259">
        <f>MONTH(Table1[[#This Row],[Date Created Conversion]])</f>
        <v>1</v>
      </c>
      <c r="N3259">
        <f>YEAR(Table1[[#This Row],[Date Created Conversion]])</f>
        <v>2017</v>
      </c>
      <c r="O3259" t="b">
        <v>0</v>
      </c>
      <c r="P3259">
        <v>41</v>
      </c>
      <c r="Q3259" t="b">
        <v>1</v>
      </c>
      <c r="R3259" t="s">
        <v>8271</v>
      </c>
      <c r="S3259" s="6">
        <f>Table1[[#This Row],[pledged]]/Table1[[#This Row],[goal]]</f>
        <v>1.0629949999999999</v>
      </c>
      <c r="T3259" s="8">
        <f>IF(Table1[[#This Row],[pledged]]=0,"no backers",Table1[[#This Row],[pledged]]/Table1[[#This Row],[backers_count]])</f>
        <v>51.853414634146333</v>
      </c>
      <c r="U3259" t="str">
        <f>LEFT(Table1[[#This Row],[Category and Sub-Category]],FIND("/",Table1[[#This Row],[Category and Sub-Category]])-1)</f>
        <v>theater</v>
      </c>
      <c r="V3259" t="str">
        <f>RIGHT(Table1[[#This Row],[Category and Sub-Category]],LEN(Table1[[#This Row],[Category and Sub-Category]])-FIND("/",Table1[[#This Row],[Category and Sub-Category]]))</f>
        <v>plays</v>
      </c>
    </row>
    <row r="3260" spans="1:22" ht="43.2" x14ac:dyDescent="0.3">
      <c r="A3260">
        <v>3258</v>
      </c>
      <c r="B3260" s="3" t="s">
        <v>3258</v>
      </c>
      <c r="C3260" s="3" t="s">
        <v>7368</v>
      </c>
      <c r="D3260" s="12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>((Table1[[#This Row],[deadline]]/60)/60/24)+DATE(1970,1,1)</f>
        <v>42012.887280092589</v>
      </c>
      <c r="K3260">
        <v>1418159861</v>
      </c>
      <c r="L3260" s="11">
        <f>((Table1[[#This Row],[launched_at]]/60)/60/24)+DATE(1970,1,1)</f>
        <v>41982.887280092589</v>
      </c>
      <c r="M3260">
        <f>MONTH(Table1[[#This Row],[Date Created Conversion]])</f>
        <v>12</v>
      </c>
      <c r="N3260">
        <f>YEAR(Table1[[#This Row],[Date Created Conversion]])</f>
        <v>2014</v>
      </c>
      <c r="O3260" t="b">
        <v>1</v>
      </c>
      <c r="P3260">
        <v>75</v>
      </c>
      <c r="Q3260" t="b">
        <v>1</v>
      </c>
      <c r="R3260" t="s">
        <v>8271</v>
      </c>
      <c r="S3260" s="6">
        <f>Table1[[#This Row],[pledged]]/Table1[[#This Row],[goal]]</f>
        <v>1.052142857142857</v>
      </c>
      <c r="T3260" s="8">
        <f>IF(Table1[[#This Row],[pledged]]=0,"no backers",Table1[[#This Row],[pledged]]/Table1[[#This Row],[backers_count]])</f>
        <v>98.2</v>
      </c>
      <c r="U3260" t="str">
        <f>LEFT(Table1[[#This Row],[Category and Sub-Category]],FIND("/",Table1[[#This Row],[Category and Sub-Category]])-1)</f>
        <v>theater</v>
      </c>
      <c r="V3260" t="str">
        <f>RIGHT(Table1[[#This Row],[Category and Sub-Category]],LEN(Table1[[#This Row],[Category and Sub-Category]])-FIND("/",Table1[[#This Row],[Category and Sub-Category]]))</f>
        <v>plays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 s="12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>((Table1[[#This Row],[deadline]]/60)/60/24)+DATE(1970,1,1)</f>
        <v>42644.165972222225</v>
      </c>
      <c r="K3261">
        <v>1472753745</v>
      </c>
      <c r="L3261" s="11">
        <f>((Table1[[#This Row],[launched_at]]/60)/60/24)+DATE(1970,1,1)</f>
        <v>42614.760937500003</v>
      </c>
      <c r="M3261">
        <f>MONTH(Table1[[#This Row],[Date Created Conversion]])</f>
        <v>9</v>
      </c>
      <c r="N3261">
        <f>YEAR(Table1[[#This Row],[Date Created Conversion]])</f>
        <v>2016</v>
      </c>
      <c r="O3261" t="b">
        <v>1</v>
      </c>
      <c r="P3261">
        <v>97</v>
      </c>
      <c r="Q3261" t="b">
        <v>1</v>
      </c>
      <c r="R3261" t="s">
        <v>8271</v>
      </c>
      <c r="S3261" s="6">
        <f>Table1[[#This Row],[pledged]]/Table1[[#This Row],[goal]]</f>
        <v>1.0616782608695652</v>
      </c>
      <c r="T3261" s="8">
        <f>IF(Table1[[#This Row],[pledged]]=0,"no backers",Table1[[#This Row],[pledged]]/Table1[[#This Row],[backers_count]])</f>
        <v>251.7381443298969</v>
      </c>
      <c r="U3261" t="str">
        <f>LEFT(Table1[[#This Row],[Category and Sub-Category]],FIND("/",Table1[[#This Row],[Category and Sub-Category]])-1)</f>
        <v>theater</v>
      </c>
      <c r="V3261" t="str">
        <f>RIGHT(Table1[[#This Row],[Category and Sub-Category]],LEN(Table1[[#This Row],[Category and Sub-Category]])-FIND("/",Table1[[#This Row],[Category and Sub-Category]]))</f>
        <v>plays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 s="1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>((Table1[[#This Row],[deadline]]/60)/60/24)+DATE(1970,1,1)</f>
        <v>42338.714328703703</v>
      </c>
      <c r="K3262">
        <v>1445875718</v>
      </c>
      <c r="L3262" s="11">
        <f>((Table1[[#This Row],[launched_at]]/60)/60/24)+DATE(1970,1,1)</f>
        <v>42303.672662037032</v>
      </c>
      <c r="M3262">
        <f>MONTH(Table1[[#This Row],[Date Created Conversion]])</f>
        <v>10</v>
      </c>
      <c r="N3262">
        <f>YEAR(Table1[[#This Row],[Date Created Conversion]])</f>
        <v>2015</v>
      </c>
      <c r="O3262" t="b">
        <v>1</v>
      </c>
      <c r="P3262">
        <v>73</v>
      </c>
      <c r="Q3262" t="b">
        <v>1</v>
      </c>
      <c r="R3262" t="s">
        <v>8271</v>
      </c>
      <c r="S3262" s="6">
        <f>Table1[[#This Row],[pledged]]/Table1[[#This Row],[goal]]</f>
        <v>1.0924</v>
      </c>
      <c r="T3262" s="8">
        <f>IF(Table1[[#This Row],[pledged]]=0,"no backers",Table1[[#This Row],[pledged]]/Table1[[#This Row],[backers_count]])</f>
        <v>74.821917808219183</v>
      </c>
      <c r="U3262" t="str">
        <f>LEFT(Table1[[#This Row],[Category and Sub-Category]],FIND("/",Table1[[#This Row],[Category and Sub-Category]])-1)</f>
        <v>theater</v>
      </c>
      <c r="V3262" t="str">
        <f>RIGHT(Table1[[#This Row],[Category and Sub-Category]],LEN(Table1[[#This Row],[Category and Sub-Category]])-FIND("/",Table1[[#This Row],[Category and Sub-Category]]))</f>
        <v>plays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 s="12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>((Table1[[#This Row],[deadline]]/60)/60/24)+DATE(1970,1,1)</f>
        <v>42201.725416666668</v>
      </c>
      <c r="K3263">
        <v>1434475476</v>
      </c>
      <c r="L3263" s="11">
        <f>((Table1[[#This Row],[launched_at]]/60)/60/24)+DATE(1970,1,1)</f>
        <v>42171.725416666668</v>
      </c>
      <c r="M3263">
        <f>MONTH(Table1[[#This Row],[Date Created Conversion]])</f>
        <v>6</v>
      </c>
      <c r="N3263">
        <f>YEAR(Table1[[#This Row],[Date Created Conversion]])</f>
        <v>2015</v>
      </c>
      <c r="O3263" t="b">
        <v>1</v>
      </c>
      <c r="P3263">
        <v>49</v>
      </c>
      <c r="Q3263" t="b">
        <v>1</v>
      </c>
      <c r="R3263" t="s">
        <v>8271</v>
      </c>
      <c r="S3263" s="6">
        <f>Table1[[#This Row],[pledged]]/Table1[[#This Row],[goal]]</f>
        <v>1.0045454545454546</v>
      </c>
      <c r="T3263" s="8">
        <f>IF(Table1[[#This Row],[pledged]]=0,"no backers",Table1[[#This Row],[pledged]]/Table1[[#This Row],[backers_count]])</f>
        <v>67.65306122448979</v>
      </c>
      <c r="U3263" t="str">
        <f>LEFT(Table1[[#This Row],[Category and Sub-Category]],FIND("/",Table1[[#This Row],[Category and Sub-Category]])-1)</f>
        <v>theater</v>
      </c>
      <c r="V3263" t="str">
        <f>RIGHT(Table1[[#This Row],[Category and Sub-Category]],LEN(Table1[[#This Row],[Category and Sub-Category]])-FIND("/",Table1[[#This Row],[Category and Sub-Category]]))</f>
        <v>plays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 s="12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>((Table1[[#This Row],[deadline]]/60)/60/24)+DATE(1970,1,1)</f>
        <v>41995.166666666672</v>
      </c>
      <c r="K3264">
        <v>1416555262</v>
      </c>
      <c r="L3264" s="11">
        <f>((Table1[[#This Row],[launched_at]]/60)/60/24)+DATE(1970,1,1)</f>
        <v>41964.315532407403</v>
      </c>
      <c r="M3264">
        <f>MONTH(Table1[[#This Row],[Date Created Conversion]])</f>
        <v>11</v>
      </c>
      <c r="N3264">
        <f>YEAR(Table1[[#This Row],[Date Created Conversion]])</f>
        <v>2014</v>
      </c>
      <c r="O3264" t="b">
        <v>1</v>
      </c>
      <c r="P3264">
        <v>134</v>
      </c>
      <c r="Q3264" t="b">
        <v>1</v>
      </c>
      <c r="R3264" t="s">
        <v>8271</v>
      </c>
      <c r="S3264" s="6">
        <f>Table1[[#This Row],[pledged]]/Table1[[#This Row],[goal]]</f>
        <v>1.0304098360655738</v>
      </c>
      <c r="T3264" s="8">
        <f>IF(Table1[[#This Row],[pledged]]=0,"no backers",Table1[[#This Row],[pledged]]/Table1[[#This Row],[backers_count]])</f>
        <v>93.81343283582089</v>
      </c>
      <c r="U3264" t="str">
        <f>LEFT(Table1[[#This Row],[Category and Sub-Category]],FIND("/",Table1[[#This Row],[Category and Sub-Category]])-1)</f>
        <v>theater</v>
      </c>
      <c r="V3264" t="str">
        <f>RIGHT(Table1[[#This Row],[Category and Sub-Category]],LEN(Table1[[#This Row],[Category and Sub-Category]])-FIND("/",Table1[[#This Row],[Category and Sub-Category]]))</f>
        <v>plays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 s="12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>((Table1[[#This Row],[deadline]]/60)/60/24)+DATE(1970,1,1)</f>
        <v>42307.875</v>
      </c>
      <c r="K3265">
        <v>1444220588</v>
      </c>
      <c r="L3265" s="11">
        <f>((Table1[[#This Row],[launched_at]]/60)/60/24)+DATE(1970,1,1)</f>
        <v>42284.516064814816</v>
      </c>
      <c r="M3265">
        <f>MONTH(Table1[[#This Row],[Date Created Conversion]])</f>
        <v>10</v>
      </c>
      <c r="N3265">
        <f>YEAR(Table1[[#This Row],[Date Created Conversion]])</f>
        <v>2015</v>
      </c>
      <c r="O3265" t="b">
        <v>1</v>
      </c>
      <c r="P3265">
        <v>68</v>
      </c>
      <c r="Q3265" t="b">
        <v>1</v>
      </c>
      <c r="R3265" t="s">
        <v>8271</v>
      </c>
      <c r="S3265" s="6">
        <f>Table1[[#This Row],[pledged]]/Table1[[#This Row],[goal]]</f>
        <v>1.121664</v>
      </c>
      <c r="T3265" s="8">
        <f>IF(Table1[[#This Row],[pledged]]=0,"no backers",Table1[[#This Row],[pledged]]/Table1[[#This Row],[backers_count]])</f>
        <v>41.237647058823526</v>
      </c>
      <c r="U3265" t="str">
        <f>LEFT(Table1[[#This Row],[Category and Sub-Category]],FIND("/",Table1[[#This Row],[Category and Sub-Category]])-1)</f>
        <v>theater</v>
      </c>
      <c r="V3265" t="str">
        <f>RIGHT(Table1[[#This Row],[Category and Sub-Category]],LEN(Table1[[#This Row],[Category and Sub-Category]])-FIND("/",Table1[[#This Row],[Category and Sub-Category]]))</f>
        <v>plays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 s="12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>((Table1[[#This Row],[deadline]]/60)/60/24)+DATE(1970,1,1)</f>
        <v>42032.916666666672</v>
      </c>
      <c r="K3266">
        <v>1421089938</v>
      </c>
      <c r="L3266" s="11">
        <f>((Table1[[#This Row],[launched_at]]/60)/60/24)+DATE(1970,1,1)</f>
        <v>42016.800208333334</v>
      </c>
      <c r="M3266">
        <f>MONTH(Table1[[#This Row],[Date Created Conversion]])</f>
        <v>1</v>
      </c>
      <c r="N3266">
        <f>YEAR(Table1[[#This Row],[Date Created Conversion]])</f>
        <v>2015</v>
      </c>
      <c r="O3266" t="b">
        <v>1</v>
      </c>
      <c r="P3266">
        <v>49</v>
      </c>
      <c r="Q3266" t="b">
        <v>1</v>
      </c>
      <c r="R3266" t="s">
        <v>8271</v>
      </c>
      <c r="S3266" s="6">
        <f>Table1[[#This Row],[pledged]]/Table1[[#This Row],[goal]]</f>
        <v>1.03</v>
      </c>
      <c r="T3266" s="8">
        <f>IF(Table1[[#This Row],[pledged]]=0,"no backers",Table1[[#This Row],[pledged]]/Table1[[#This Row],[backers_count]])</f>
        <v>52.551020408163268</v>
      </c>
      <c r="U3266" t="str">
        <f>LEFT(Table1[[#This Row],[Category and Sub-Category]],FIND("/",Table1[[#This Row],[Category and Sub-Category]])-1)</f>
        <v>theater</v>
      </c>
      <c r="V3266" t="str">
        <f>RIGHT(Table1[[#This Row],[Category and Sub-Category]],LEN(Table1[[#This Row],[Category and Sub-Category]])-FIND("/",Table1[[#This Row],[Category and Sub-Category]]))</f>
        <v>plays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 s="12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>((Table1[[#This Row],[deadline]]/60)/60/24)+DATE(1970,1,1)</f>
        <v>42341.708333333328</v>
      </c>
      <c r="K3267">
        <v>1446570315</v>
      </c>
      <c r="L3267" s="11">
        <f>((Table1[[#This Row],[launched_at]]/60)/60/24)+DATE(1970,1,1)</f>
        <v>42311.711979166663</v>
      </c>
      <c r="M3267">
        <f>MONTH(Table1[[#This Row],[Date Created Conversion]])</f>
        <v>11</v>
      </c>
      <c r="N3267">
        <f>YEAR(Table1[[#This Row],[Date Created Conversion]])</f>
        <v>2015</v>
      </c>
      <c r="O3267" t="b">
        <v>1</v>
      </c>
      <c r="P3267">
        <v>63</v>
      </c>
      <c r="Q3267" t="b">
        <v>1</v>
      </c>
      <c r="R3267" t="s">
        <v>8271</v>
      </c>
      <c r="S3267" s="6">
        <f>Table1[[#This Row],[pledged]]/Table1[[#This Row],[goal]]</f>
        <v>1.64</v>
      </c>
      <c r="T3267" s="8">
        <f>IF(Table1[[#This Row],[pledged]]=0,"no backers",Table1[[#This Row],[pledged]]/Table1[[#This Row],[backers_count]])</f>
        <v>70.285714285714292</v>
      </c>
      <c r="U3267" t="str">
        <f>LEFT(Table1[[#This Row],[Category and Sub-Category]],FIND("/",Table1[[#This Row],[Category and Sub-Category]])-1)</f>
        <v>theater</v>
      </c>
      <c r="V3267" t="str">
        <f>RIGHT(Table1[[#This Row],[Category and Sub-Category]],LEN(Table1[[#This Row],[Category and Sub-Category]])-FIND("/",Table1[[#This Row],[Category and Sub-Category]]))</f>
        <v>plays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 s="12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>((Table1[[#This Row],[deadline]]/60)/60/24)+DATE(1970,1,1)</f>
        <v>42167.875</v>
      </c>
      <c r="K3268">
        <v>1431435122</v>
      </c>
      <c r="L3268" s="11">
        <f>((Table1[[#This Row],[launched_at]]/60)/60/24)+DATE(1970,1,1)</f>
        <v>42136.536134259266</v>
      </c>
      <c r="M3268">
        <f>MONTH(Table1[[#This Row],[Date Created Conversion]])</f>
        <v>5</v>
      </c>
      <c r="N3268">
        <f>YEAR(Table1[[#This Row],[Date Created Conversion]])</f>
        <v>2015</v>
      </c>
      <c r="O3268" t="b">
        <v>1</v>
      </c>
      <c r="P3268">
        <v>163</v>
      </c>
      <c r="Q3268" t="b">
        <v>1</v>
      </c>
      <c r="R3268" t="s">
        <v>8271</v>
      </c>
      <c r="S3268" s="6">
        <f>Table1[[#This Row],[pledged]]/Table1[[#This Row],[goal]]</f>
        <v>1.3128333333333333</v>
      </c>
      <c r="T3268" s="8">
        <f>IF(Table1[[#This Row],[pledged]]=0,"no backers",Table1[[#This Row],[pledged]]/Table1[[#This Row],[backers_count]])</f>
        <v>48.325153374233132</v>
      </c>
      <c r="U3268" t="str">
        <f>LEFT(Table1[[#This Row],[Category and Sub-Category]],FIND("/",Table1[[#This Row],[Category and Sub-Category]])-1)</f>
        <v>theater</v>
      </c>
      <c r="V3268" t="str">
        <f>RIGHT(Table1[[#This Row],[Category and Sub-Category]],LEN(Table1[[#This Row],[Category and Sub-Category]])-FIND("/",Table1[[#This Row],[Category and Sub-Category]]))</f>
        <v>plays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 s="12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>((Table1[[#This Row],[deadline]]/60)/60/24)+DATE(1970,1,1)</f>
        <v>42202.757638888885</v>
      </c>
      <c r="K3269">
        <v>1434564660</v>
      </c>
      <c r="L3269" s="11">
        <f>((Table1[[#This Row],[launched_at]]/60)/60/24)+DATE(1970,1,1)</f>
        <v>42172.757638888885</v>
      </c>
      <c r="M3269">
        <f>MONTH(Table1[[#This Row],[Date Created Conversion]])</f>
        <v>6</v>
      </c>
      <c r="N3269">
        <f>YEAR(Table1[[#This Row],[Date Created Conversion]])</f>
        <v>2015</v>
      </c>
      <c r="O3269" t="b">
        <v>1</v>
      </c>
      <c r="P3269">
        <v>288</v>
      </c>
      <c r="Q3269" t="b">
        <v>1</v>
      </c>
      <c r="R3269" t="s">
        <v>8271</v>
      </c>
      <c r="S3269" s="6">
        <f>Table1[[#This Row],[pledged]]/Table1[[#This Row],[goal]]</f>
        <v>1.0209999999999999</v>
      </c>
      <c r="T3269" s="8">
        <f>IF(Table1[[#This Row],[pledged]]=0,"no backers",Table1[[#This Row],[pledged]]/Table1[[#This Row],[backers_count]])</f>
        <v>53.177083333333336</v>
      </c>
      <c r="U3269" t="str">
        <f>LEFT(Table1[[#This Row],[Category and Sub-Category]],FIND("/",Table1[[#This Row],[Category and Sub-Category]])-1)</f>
        <v>theater</v>
      </c>
      <c r="V3269" t="str">
        <f>RIGHT(Table1[[#This Row],[Category and Sub-Category]],LEN(Table1[[#This Row],[Category and Sub-Category]])-FIND("/",Table1[[#This Row],[Category and Sub-Category]]))</f>
        <v>plays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 s="12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>((Table1[[#This Row],[deadline]]/60)/60/24)+DATE(1970,1,1)</f>
        <v>42606.90425925926</v>
      </c>
      <c r="K3270">
        <v>1470692528</v>
      </c>
      <c r="L3270" s="11">
        <f>((Table1[[#This Row],[launched_at]]/60)/60/24)+DATE(1970,1,1)</f>
        <v>42590.90425925926</v>
      </c>
      <c r="M3270">
        <f>MONTH(Table1[[#This Row],[Date Created Conversion]])</f>
        <v>8</v>
      </c>
      <c r="N3270">
        <f>YEAR(Table1[[#This Row],[Date Created Conversion]])</f>
        <v>2016</v>
      </c>
      <c r="O3270" t="b">
        <v>1</v>
      </c>
      <c r="P3270">
        <v>42</v>
      </c>
      <c r="Q3270" t="b">
        <v>1</v>
      </c>
      <c r="R3270" t="s">
        <v>8271</v>
      </c>
      <c r="S3270" s="6">
        <f>Table1[[#This Row],[pledged]]/Table1[[#This Row],[goal]]</f>
        <v>1.28</v>
      </c>
      <c r="T3270" s="8">
        <f>IF(Table1[[#This Row],[pledged]]=0,"no backers",Table1[[#This Row],[pledged]]/Table1[[#This Row],[backers_count]])</f>
        <v>60.952380952380949</v>
      </c>
      <c r="U3270" t="str">
        <f>LEFT(Table1[[#This Row],[Category and Sub-Category]],FIND("/",Table1[[#This Row],[Category and Sub-Category]])-1)</f>
        <v>theater</v>
      </c>
      <c r="V3270" t="str">
        <f>RIGHT(Table1[[#This Row],[Category and Sub-Category]],LEN(Table1[[#This Row],[Category and Sub-Category]])-FIND("/",Table1[[#This Row],[Category and Sub-Category]]))</f>
        <v>plays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 s="12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>((Table1[[#This Row],[deadline]]/60)/60/24)+DATE(1970,1,1)</f>
        <v>42171.458333333328</v>
      </c>
      <c r="K3271">
        <v>1431509397</v>
      </c>
      <c r="L3271" s="11">
        <f>((Table1[[#This Row],[launched_at]]/60)/60/24)+DATE(1970,1,1)</f>
        <v>42137.395798611105</v>
      </c>
      <c r="M3271">
        <f>MONTH(Table1[[#This Row],[Date Created Conversion]])</f>
        <v>5</v>
      </c>
      <c r="N3271">
        <f>YEAR(Table1[[#This Row],[Date Created Conversion]])</f>
        <v>2015</v>
      </c>
      <c r="O3271" t="b">
        <v>1</v>
      </c>
      <c r="P3271">
        <v>70</v>
      </c>
      <c r="Q3271" t="b">
        <v>1</v>
      </c>
      <c r="R3271" t="s">
        <v>8271</v>
      </c>
      <c r="S3271" s="6">
        <f>Table1[[#This Row],[pledged]]/Table1[[#This Row],[goal]]</f>
        <v>1.0149999999999999</v>
      </c>
      <c r="T3271" s="8">
        <f>IF(Table1[[#This Row],[pledged]]=0,"no backers",Table1[[#This Row],[pledged]]/Table1[[#This Row],[backers_count]])</f>
        <v>116</v>
      </c>
      <c r="U3271" t="str">
        <f>LEFT(Table1[[#This Row],[Category and Sub-Category]],FIND("/",Table1[[#This Row],[Category and Sub-Category]])-1)</f>
        <v>theater</v>
      </c>
      <c r="V3271" t="str">
        <f>RIGHT(Table1[[#This Row],[Category and Sub-Category]],LEN(Table1[[#This Row],[Category and Sub-Category]])-FIND("/",Table1[[#This Row],[Category and Sub-Category]]))</f>
        <v>plays</v>
      </c>
    </row>
    <row r="3272" spans="1:22" ht="57.6" x14ac:dyDescent="0.3">
      <c r="A3272">
        <v>3270</v>
      </c>
      <c r="B3272" s="3" t="s">
        <v>3270</v>
      </c>
      <c r="C3272" s="3" t="s">
        <v>7380</v>
      </c>
      <c r="D3272" s="1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>((Table1[[#This Row],[deadline]]/60)/60/24)+DATE(1970,1,1)</f>
        <v>42197.533159722225</v>
      </c>
      <c r="K3272">
        <v>1434113265</v>
      </c>
      <c r="L3272" s="11">
        <f>((Table1[[#This Row],[launched_at]]/60)/60/24)+DATE(1970,1,1)</f>
        <v>42167.533159722225</v>
      </c>
      <c r="M3272">
        <f>MONTH(Table1[[#This Row],[Date Created Conversion]])</f>
        <v>6</v>
      </c>
      <c r="N3272">
        <f>YEAR(Table1[[#This Row],[Date Created Conversion]])</f>
        <v>2015</v>
      </c>
      <c r="O3272" t="b">
        <v>1</v>
      </c>
      <c r="P3272">
        <v>30</v>
      </c>
      <c r="Q3272" t="b">
        <v>1</v>
      </c>
      <c r="R3272" t="s">
        <v>8271</v>
      </c>
      <c r="S3272" s="6">
        <f>Table1[[#This Row],[pledged]]/Table1[[#This Row],[goal]]</f>
        <v>1.0166666666666666</v>
      </c>
      <c r="T3272" s="8">
        <f>IF(Table1[[#This Row],[pledged]]=0,"no backers",Table1[[#This Row],[pledged]]/Table1[[#This Row],[backers_count]])</f>
        <v>61</v>
      </c>
      <c r="U3272" t="str">
        <f>LEFT(Table1[[#This Row],[Category and Sub-Category]],FIND("/",Table1[[#This Row],[Category and Sub-Category]])-1)</f>
        <v>theater</v>
      </c>
      <c r="V3272" t="str">
        <f>RIGHT(Table1[[#This Row],[Category and Sub-Category]],LEN(Table1[[#This Row],[Category and Sub-Category]])-FIND("/",Table1[[#This Row],[Category and Sub-Category]]))</f>
        <v>plays</v>
      </c>
    </row>
    <row r="3273" spans="1:22" x14ac:dyDescent="0.3">
      <c r="A3273">
        <v>3271</v>
      </c>
      <c r="B3273" s="3" t="s">
        <v>3271</v>
      </c>
      <c r="C3273" s="3" t="s">
        <v>7381</v>
      </c>
      <c r="D3273" s="12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>((Table1[[#This Row],[deadline]]/60)/60/24)+DATE(1970,1,1)</f>
        <v>41945.478877314818</v>
      </c>
      <c r="K3273">
        <v>1412332175</v>
      </c>
      <c r="L3273" s="11">
        <f>((Table1[[#This Row],[launched_at]]/60)/60/24)+DATE(1970,1,1)</f>
        <v>41915.437210648146</v>
      </c>
      <c r="M3273">
        <f>MONTH(Table1[[#This Row],[Date Created Conversion]])</f>
        <v>10</v>
      </c>
      <c r="N3273">
        <f>YEAR(Table1[[#This Row],[Date Created Conversion]])</f>
        <v>2014</v>
      </c>
      <c r="O3273" t="b">
        <v>1</v>
      </c>
      <c r="P3273">
        <v>51</v>
      </c>
      <c r="Q3273" t="b">
        <v>1</v>
      </c>
      <c r="R3273" t="s">
        <v>8271</v>
      </c>
      <c r="S3273" s="6">
        <f>Table1[[#This Row],[pledged]]/Table1[[#This Row],[goal]]</f>
        <v>1.3</v>
      </c>
      <c r="T3273" s="8">
        <f>IF(Table1[[#This Row],[pledged]]=0,"no backers",Table1[[#This Row],[pledged]]/Table1[[#This Row],[backers_count]])</f>
        <v>38.235294117647058</v>
      </c>
      <c r="U3273" t="str">
        <f>LEFT(Table1[[#This Row],[Category and Sub-Category]],FIND("/",Table1[[#This Row],[Category and Sub-Category]])-1)</f>
        <v>theater</v>
      </c>
      <c r="V3273" t="str">
        <f>RIGHT(Table1[[#This Row],[Category and Sub-Category]],LEN(Table1[[#This Row],[Category and Sub-Category]])-FIND("/",Table1[[#This Row],[Category and Sub-Category]]))</f>
        <v>plays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 s="12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>((Table1[[#This Row],[deadline]]/60)/60/24)+DATE(1970,1,1)</f>
        <v>42314.541770833333</v>
      </c>
      <c r="K3274">
        <v>1444219209</v>
      </c>
      <c r="L3274" s="11">
        <f>((Table1[[#This Row],[launched_at]]/60)/60/24)+DATE(1970,1,1)</f>
        <v>42284.500104166669</v>
      </c>
      <c r="M3274">
        <f>MONTH(Table1[[#This Row],[Date Created Conversion]])</f>
        <v>10</v>
      </c>
      <c r="N3274">
        <f>YEAR(Table1[[#This Row],[Date Created Conversion]])</f>
        <v>2015</v>
      </c>
      <c r="O3274" t="b">
        <v>1</v>
      </c>
      <c r="P3274">
        <v>145</v>
      </c>
      <c r="Q3274" t="b">
        <v>1</v>
      </c>
      <c r="R3274" t="s">
        <v>8271</v>
      </c>
      <c r="S3274" s="6">
        <f>Table1[[#This Row],[pledged]]/Table1[[#This Row],[goal]]</f>
        <v>1.5443</v>
      </c>
      <c r="T3274" s="8">
        <f>IF(Table1[[#This Row],[pledged]]=0,"no backers",Table1[[#This Row],[pledged]]/Table1[[#This Row],[backers_count]])</f>
        <v>106.50344827586207</v>
      </c>
      <c r="U3274" t="str">
        <f>LEFT(Table1[[#This Row],[Category and Sub-Category]],FIND("/",Table1[[#This Row],[Category and Sub-Category]])-1)</f>
        <v>theater</v>
      </c>
      <c r="V3274" t="str">
        <f>RIGHT(Table1[[#This Row],[Category and Sub-Category]],LEN(Table1[[#This Row],[Category and Sub-Category]])-FIND("/",Table1[[#This Row],[Category and Sub-Category]]))</f>
        <v>plays</v>
      </c>
    </row>
    <row r="3275" spans="1:22" ht="57.6" x14ac:dyDescent="0.3">
      <c r="A3275">
        <v>3273</v>
      </c>
      <c r="B3275" s="3" t="s">
        <v>3273</v>
      </c>
      <c r="C3275" s="3" t="s">
        <v>7383</v>
      </c>
      <c r="D3275" s="12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>((Table1[[#This Row],[deadline]]/60)/60/24)+DATE(1970,1,1)</f>
        <v>42627.791666666672</v>
      </c>
      <c r="K3275">
        <v>1472498042</v>
      </c>
      <c r="L3275" s="11">
        <f>((Table1[[#This Row],[launched_at]]/60)/60/24)+DATE(1970,1,1)</f>
        <v>42611.801412037035</v>
      </c>
      <c r="M3275">
        <f>MONTH(Table1[[#This Row],[Date Created Conversion]])</f>
        <v>8</v>
      </c>
      <c r="N3275">
        <f>YEAR(Table1[[#This Row],[Date Created Conversion]])</f>
        <v>2016</v>
      </c>
      <c r="O3275" t="b">
        <v>1</v>
      </c>
      <c r="P3275">
        <v>21</v>
      </c>
      <c r="Q3275" t="b">
        <v>1</v>
      </c>
      <c r="R3275" t="s">
        <v>8271</v>
      </c>
      <c r="S3275" s="6">
        <f>Table1[[#This Row],[pledged]]/Table1[[#This Row],[goal]]</f>
        <v>1.0740000000000001</v>
      </c>
      <c r="T3275" s="8">
        <f>IF(Table1[[#This Row],[pledged]]=0,"no backers",Table1[[#This Row],[pledged]]/Table1[[#This Row],[backers_count]])</f>
        <v>204.57142857142858</v>
      </c>
      <c r="U3275" t="str">
        <f>LEFT(Table1[[#This Row],[Category and Sub-Category]],FIND("/",Table1[[#This Row],[Category and Sub-Category]])-1)</f>
        <v>theater</v>
      </c>
      <c r="V3275" t="str">
        <f>RIGHT(Table1[[#This Row],[Category and Sub-Category]],LEN(Table1[[#This Row],[Category and Sub-Category]])-FIND("/",Table1[[#This Row],[Category and Sub-Category]]))</f>
        <v>plays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 s="12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>((Table1[[#This Row],[deadline]]/60)/60/24)+DATE(1970,1,1)</f>
        <v>42444.875</v>
      </c>
      <c r="K3276">
        <v>1454259272</v>
      </c>
      <c r="L3276" s="11">
        <f>((Table1[[#This Row],[launched_at]]/60)/60/24)+DATE(1970,1,1)</f>
        <v>42400.704537037032</v>
      </c>
      <c r="M3276">
        <f>MONTH(Table1[[#This Row],[Date Created Conversion]])</f>
        <v>1</v>
      </c>
      <c r="N3276">
        <f>YEAR(Table1[[#This Row],[Date Created Conversion]])</f>
        <v>2016</v>
      </c>
      <c r="O3276" t="b">
        <v>1</v>
      </c>
      <c r="P3276">
        <v>286</v>
      </c>
      <c r="Q3276" t="b">
        <v>1</v>
      </c>
      <c r="R3276" t="s">
        <v>8271</v>
      </c>
      <c r="S3276" s="6">
        <f>Table1[[#This Row],[pledged]]/Table1[[#This Row],[goal]]</f>
        <v>1.0132258064516129</v>
      </c>
      <c r="T3276" s="8">
        <f>IF(Table1[[#This Row],[pledged]]=0,"no backers",Table1[[#This Row],[pledged]]/Table1[[#This Row],[backers_count]])</f>
        <v>54.912587412587413</v>
      </c>
      <c r="U3276" t="str">
        <f>LEFT(Table1[[#This Row],[Category and Sub-Category]],FIND("/",Table1[[#This Row],[Category and Sub-Category]])-1)</f>
        <v>theater</v>
      </c>
      <c r="V3276" t="str">
        <f>RIGHT(Table1[[#This Row],[Category and Sub-Category]],LEN(Table1[[#This Row],[Category and Sub-Category]])-FIND("/",Table1[[#This Row],[Category and Sub-Category]]))</f>
        <v>plays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 s="12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>((Table1[[#This Row],[deadline]]/60)/60/24)+DATE(1970,1,1)</f>
        <v>42044.1875</v>
      </c>
      <c r="K3277">
        <v>1421183271</v>
      </c>
      <c r="L3277" s="11">
        <f>((Table1[[#This Row],[launched_at]]/60)/60/24)+DATE(1970,1,1)</f>
        <v>42017.88045138889</v>
      </c>
      <c r="M3277">
        <f>MONTH(Table1[[#This Row],[Date Created Conversion]])</f>
        <v>1</v>
      </c>
      <c r="N3277">
        <f>YEAR(Table1[[#This Row],[Date Created Conversion]])</f>
        <v>2015</v>
      </c>
      <c r="O3277" t="b">
        <v>1</v>
      </c>
      <c r="P3277">
        <v>12</v>
      </c>
      <c r="Q3277" t="b">
        <v>1</v>
      </c>
      <c r="R3277" t="s">
        <v>8271</v>
      </c>
      <c r="S3277" s="6">
        <f>Table1[[#This Row],[pledged]]/Table1[[#This Row],[goal]]</f>
        <v>1.0027777777777778</v>
      </c>
      <c r="T3277" s="8">
        <f>IF(Table1[[#This Row],[pledged]]=0,"no backers",Table1[[#This Row],[pledged]]/Table1[[#This Row],[backers_count]])</f>
        <v>150.41666666666666</v>
      </c>
      <c r="U3277" t="str">
        <f>LEFT(Table1[[#This Row],[Category and Sub-Category]],FIND("/",Table1[[#This Row],[Category and Sub-Category]])-1)</f>
        <v>theater</v>
      </c>
      <c r="V3277" t="str">
        <f>RIGHT(Table1[[#This Row],[Category and Sub-Category]],LEN(Table1[[#This Row],[Category and Sub-Category]])-FIND("/",Table1[[#This Row],[Category and Sub-Category]]))</f>
        <v>plays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 s="12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>((Table1[[#This Row],[deadline]]/60)/60/24)+DATE(1970,1,1)</f>
        <v>42461.165972222225</v>
      </c>
      <c r="K3278">
        <v>1456526879</v>
      </c>
      <c r="L3278" s="11">
        <f>((Table1[[#This Row],[launched_at]]/60)/60/24)+DATE(1970,1,1)</f>
        <v>42426.949988425928</v>
      </c>
      <c r="M3278">
        <f>MONTH(Table1[[#This Row],[Date Created Conversion]])</f>
        <v>2</v>
      </c>
      <c r="N3278">
        <f>YEAR(Table1[[#This Row],[Date Created Conversion]])</f>
        <v>2016</v>
      </c>
      <c r="O3278" t="b">
        <v>1</v>
      </c>
      <c r="P3278">
        <v>100</v>
      </c>
      <c r="Q3278" t="b">
        <v>1</v>
      </c>
      <c r="R3278" t="s">
        <v>8271</v>
      </c>
      <c r="S3278" s="6">
        <f>Table1[[#This Row],[pledged]]/Table1[[#This Row],[goal]]</f>
        <v>1.1684444444444444</v>
      </c>
      <c r="T3278" s="8">
        <f>IF(Table1[[#This Row],[pledged]]=0,"no backers",Table1[[#This Row],[pledged]]/Table1[[#This Row],[backers_count]])</f>
        <v>52.58</v>
      </c>
      <c r="U3278" t="str">
        <f>LEFT(Table1[[#This Row],[Category and Sub-Category]],FIND("/",Table1[[#This Row],[Category and Sub-Category]])-1)</f>
        <v>theater</v>
      </c>
      <c r="V3278" t="str">
        <f>RIGHT(Table1[[#This Row],[Category and Sub-Category]],LEN(Table1[[#This Row],[Category and Sub-Category]])-FIND("/",Table1[[#This Row],[Category and Sub-Category]]))</f>
        <v>plays</v>
      </c>
    </row>
    <row r="3279" spans="1:22" ht="57.6" x14ac:dyDescent="0.3">
      <c r="A3279">
        <v>3277</v>
      </c>
      <c r="B3279" s="3" t="s">
        <v>3277</v>
      </c>
      <c r="C3279" s="3" t="s">
        <v>7387</v>
      </c>
      <c r="D3279" s="12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>((Table1[[#This Row],[deadline]]/60)/60/24)+DATE(1970,1,1)</f>
        <v>41961.724606481483</v>
      </c>
      <c r="K3279">
        <v>1413735806</v>
      </c>
      <c r="L3279" s="11">
        <f>((Table1[[#This Row],[launched_at]]/60)/60/24)+DATE(1970,1,1)</f>
        <v>41931.682939814818</v>
      </c>
      <c r="M3279">
        <f>MONTH(Table1[[#This Row],[Date Created Conversion]])</f>
        <v>10</v>
      </c>
      <c r="N3279">
        <f>YEAR(Table1[[#This Row],[Date Created Conversion]])</f>
        <v>2014</v>
      </c>
      <c r="O3279" t="b">
        <v>1</v>
      </c>
      <c r="P3279">
        <v>100</v>
      </c>
      <c r="Q3279" t="b">
        <v>1</v>
      </c>
      <c r="R3279" t="s">
        <v>8271</v>
      </c>
      <c r="S3279" s="6">
        <f>Table1[[#This Row],[pledged]]/Table1[[#This Row],[goal]]</f>
        <v>1.0860000000000001</v>
      </c>
      <c r="T3279" s="8">
        <f>IF(Table1[[#This Row],[pledged]]=0,"no backers",Table1[[#This Row],[pledged]]/Table1[[#This Row],[backers_count]])</f>
        <v>54.3</v>
      </c>
      <c r="U3279" t="str">
        <f>LEFT(Table1[[#This Row],[Category and Sub-Category]],FIND("/",Table1[[#This Row],[Category and Sub-Category]])-1)</f>
        <v>theater</v>
      </c>
      <c r="V3279" t="str">
        <f>RIGHT(Table1[[#This Row],[Category and Sub-Category]],LEN(Table1[[#This Row],[Category and Sub-Category]])-FIND("/",Table1[[#This Row],[Category and Sub-Category]]))</f>
        <v>plays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 s="12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>((Table1[[#This Row],[deadline]]/60)/60/24)+DATE(1970,1,1)</f>
        <v>42154.848414351851</v>
      </c>
      <c r="K3280">
        <v>1430425303</v>
      </c>
      <c r="L3280" s="11">
        <f>((Table1[[#This Row],[launched_at]]/60)/60/24)+DATE(1970,1,1)</f>
        <v>42124.848414351851</v>
      </c>
      <c r="M3280">
        <f>MONTH(Table1[[#This Row],[Date Created Conversion]])</f>
        <v>4</v>
      </c>
      <c r="N3280">
        <f>YEAR(Table1[[#This Row],[Date Created Conversion]])</f>
        <v>2015</v>
      </c>
      <c r="O3280" t="b">
        <v>1</v>
      </c>
      <c r="P3280">
        <v>34</v>
      </c>
      <c r="Q3280" t="b">
        <v>1</v>
      </c>
      <c r="R3280" t="s">
        <v>8271</v>
      </c>
      <c r="S3280" s="6">
        <f>Table1[[#This Row],[pledged]]/Table1[[#This Row],[goal]]</f>
        <v>1.034</v>
      </c>
      <c r="T3280" s="8">
        <f>IF(Table1[[#This Row],[pledged]]=0,"no backers",Table1[[#This Row],[pledged]]/Table1[[#This Row],[backers_count]])</f>
        <v>76.029411764705884</v>
      </c>
      <c r="U3280" t="str">
        <f>LEFT(Table1[[#This Row],[Category and Sub-Category]],FIND("/",Table1[[#This Row],[Category and Sub-Category]])-1)</f>
        <v>theater</v>
      </c>
      <c r="V3280" t="str">
        <f>RIGHT(Table1[[#This Row],[Category and Sub-Category]],LEN(Table1[[#This Row],[Category and Sub-Category]])-FIND("/",Table1[[#This Row],[Category and Sub-Category]]))</f>
        <v>plays</v>
      </c>
    </row>
    <row r="3281" spans="1:22" ht="57.6" x14ac:dyDescent="0.3">
      <c r="A3281">
        <v>3279</v>
      </c>
      <c r="B3281" s="3" t="s">
        <v>3279</v>
      </c>
      <c r="C3281" s="3" t="s">
        <v>7389</v>
      </c>
      <c r="D3281" s="12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>((Table1[[#This Row],[deadline]]/60)/60/24)+DATE(1970,1,1)</f>
        <v>42461.06086805556</v>
      </c>
      <c r="K3281">
        <v>1456885659</v>
      </c>
      <c r="L3281" s="11">
        <f>((Table1[[#This Row],[launched_at]]/60)/60/24)+DATE(1970,1,1)</f>
        <v>42431.102534722217</v>
      </c>
      <c r="M3281">
        <f>MONTH(Table1[[#This Row],[Date Created Conversion]])</f>
        <v>3</v>
      </c>
      <c r="N3281">
        <f>YEAR(Table1[[#This Row],[Date Created Conversion]])</f>
        <v>2016</v>
      </c>
      <c r="O3281" t="b">
        <v>0</v>
      </c>
      <c r="P3281">
        <v>63</v>
      </c>
      <c r="Q3281" t="b">
        <v>1</v>
      </c>
      <c r="R3281" t="s">
        <v>8271</v>
      </c>
      <c r="S3281" s="6">
        <f>Table1[[#This Row],[pledged]]/Table1[[#This Row],[goal]]</f>
        <v>1.1427586206896552</v>
      </c>
      <c r="T3281" s="8">
        <f>IF(Table1[[#This Row],[pledged]]=0,"no backers",Table1[[#This Row],[pledged]]/Table1[[#This Row],[backers_count]])</f>
        <v>105.2063492063492</v>
      </c>
      <c r="U3281" t="str">
        <f>LEFT(Table1[[#This Row],[Category and Sub-Category]],FIND("/",Table1[[#This Row],[Category and Sub-Category]])-1)</f>
        <v>theater</v>
      </c>
      <c r="V3281" t="str">
        <f>RIGHT(Table1[[#This Row],[Category and Sub-Category]],LEN(Table1[[#This Row],[Category and Sub-Category]])-FIND("/",Table1[[#This Row],[Category and Sub-Category]]))</f>
        <v>plays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 s="1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>((Table1[[#This Row],[deadline]]/60)/60/24)+DATE(1970,1,1)</f>
        <v>42156.208333333328</v>
      </c>
      <c r="K3282">
        <v>1430158198</v>
      </c>
      <c r="L3282" s="11">
        <f>((Table1[[#This Row],[launched_at]]/60)/60/24)+DATE(1970,1,1)</f>
        <v>42121.756921296299</v>
      </c>
      <c r="M3282">
        <f>MONTH(Table1[[#This Row],[Date Created Conversion]])</f>
        <v>4</v>
      </c>
      <c r="N3282">
        <f>YEAR(Table1[[#This Row],[Date Created Conversion]])</f>
        <v>2015</v>
      </c>
      <c r="O3282" t="b">
        <v>0</v>
      </c>
      <c r="P3282">
        <v>30</v>
      </c>
      <c r="Q3282" t="b">
        <v>1</v>
      </c>
      <c r="R3282" t="s">
        <v>8271</v>
      </c>
      <c r="S3282" s="6">
        <f>Table1[[#This Row],[pledged]]/Table1[[#This Row],[goal]]</f>
        <v>1.03</v>
      </c>
      <c r="T3282" s="8">
        <f>IF(Table1[[#This Row],[pledged]]=0,"no backers",Table1[[#This Row],[pledged]]/Table1[[#This Row],[backers_count]])</f>
        <v>68.666666666666671</v>
      </c>
      <c r="U3282" t="str">
        <f>LEFT(Table1[[#This Row],[Category and Sub-Category]],FIND("/",Table1[[#This Row],[Category and Sub-Category]])-1)</f>
        <v>theater</v>
      </c>
      <c r="V3282" t="str">
        <f>RIGHT(Table1[[#This Row],[Category and Sub-Category]],LEN(Table1[[#This Row],[Category and Sub-Category]])-FIND("/",Table1[[#This Row],[Category and Sub-Category]]))</f>
        <v>plays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 s="12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>((Table1[[#This Row],[deadline]]/60)/60/24)+DATE(1970,1,1)</f>
        <v>42249.019733796296</v>
      </c>
      <c r="K3283">
        <v>1438561705</v>
      </c>
      <c r="L3283" s="11">
        <f>((Table1[[#This Row],[launched_at]]/60)/60/24)+DATE(1970,1,1)</f>
        <v>42219.019733796296</v>
      </c>
      <c r="M3283">
        <f>MONTH(Table1[[#This Row],[Date Created Conversion]])</f>
        <v>8</v>
      </c>
      <c r="N3283">
        <f>YEAR(Table1[[#This Row],[Date Created Conversion]])</f>
        <v>2015</v>
      </c>
      <c r="O3283" t="b">
        <v>0</v>
      </c>
      <c r="P3283">
        <v>47</v>
      </c>
      <c r="Q3283" t="b">
        <v>1</v>
      </c>
      <c r="R3283" t="s">
        <v>8271</v>
      </c>
      <c r="S3283" s="6">
        <f>Table1[[#This Row],[pledged]]/Table1[[#This Row],[goal]]</f>
        <v>1.216</v>
      </c>
      <c r="T3283" s="8">
        <f>IF(Table1[[#This Row],[pledged]]=0,"no backers",Table1[[#This Row],[pledged]]/Table1[[#This Row],[backers_count]])</f>
        <v>129.36170212765958</v>
      </c>
      <c r="U3283" t="str">
        <f>LEFT(Table1[[#This Row],[Category and Sub-Category]],FIND("/",Table1[[#This Row],[Category and Sub-Category]])-1)</f>
        <v>theater</v>
      </c>
      <c r="V3283" t="str">
        <f>RIGHT(Table1[[#This Row],[Category and Sub-Category]],LEN(Table1[[#This Row],[Category and Sub-Category]])-FIND("/",Table1[[#This Row],[Category and Sub-Category]]))</f>
        <v>plays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 s="12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>((Table1[[#This Row],[deadline]]/60)/60/24)+DATE(1970,1,1)</f>
        <v>42489.19430555556</v>
      </c>
      <c r="K3284">
        <v>1458103188</v>
      </c>
      <c r="L3284" s="11">
        <f>((Table1[[#This Row],[launched_at]]/60)/60/24)+DATE(1970,1,1)</f>
        <v>42445.19430555556</v>
      </c>
      <c r="M3284">
        <f>MONTH(Table1[[#This Row],[Date Created Conversion]])</f>
        <v>3</v>
      </c>
      <c r="N3284">
        <f>YEAR(Table1[[#This Row],[Date Created Conversion]])</f>
        <v>2016</v>
      </c>
      <c r="O3284" t="b">
        <v>0</v>
      </c>
      <c r="P3284">
        <v>237</v>
      </c>
      <c r="Q3284" t="b">
        <v>1</v>
      </c>
      <c r="R3284" t="s">
        <v>8271</v>
      </c>
      <c r="S3284" s="6">
        <f>Table1[[#This Row],[pledged]]/Table1[[#This Row],[goal]]</f>
        <v>1.026467741935484</v>
      </c>
      <c r="T3284" s="8">
        <f>IF(Table1[[#This Row],[pledged]]=0,"no backers",Table1[[#This Row],[pledged]]/Table1[[#This Row],[backers_count]])</f>
        <v>134.26371308016877</v>
      </c>
      <c r="U3284" t="str">
        <f>LEFT(Table1[[#This Row],[Category and Sub-Category]],FIND("/",Table1[[#This Row],[Category and Sub-Category]])-1)</f>
        <v>theater</v>
      </c>
      <c r="V3284" t="str">
        <f>RIGHT(Table1[[#This Row],[Category and Sub-Category]],LEN(Table1[[#This Row],[Category and Sub-Category]])-FIND("/",Table1[[#This Row],[Category and Sub-Category]]))</f>
        <v>plays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 s="12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>((Table1[[#This Row],[deadline]]/60)/60/24)+DATE(1970,1,1)</f>
        <v>42410.875</v>
      </c>
      <c r="K3285">
        <v>1452448298</v>
      </c>
      <c r="L3285" s="11">
        <f>((Table1[[#This Row],[launched_at]]/60)/60/24)+DATE(1970,1,1)</f>
        <v>42379.74418981481</v>
      </c>
      <c r="M3285">
        <f>MONTH(Table1[[#This Row],[Date Created Conversion]])</f>
        <v>1</v>
      </c>
      <c r="N3285">
        <f>YEAR(Table1[[#This Row],[Date Created Conversion]])</f>
        <v>2016</v>
      </c>
      <c r="O3285" t="b">
        <v>0</v>
      </c>
      <c r="P3285">
        <v>47</v>
      </c>
      <c r="Q3285" t="b">
        <v>1</v>
      </c>
      <c r="R3285" t="s">
        <v>8271</v>
      </c>
      <c r="S3285" s="6">
        <f>Table1[[#This Row],[pledged]]/Table1[[#This Row],[goal]]</f>
        <v>1.0475000000000001</v>
      </c>
      <c r="T3285" s="8">
        <f>IF(Table1[[#This Row],[pledged]]=0,"no backers",Table1[[#This Row],[pledged]]/Table1[[#This Row],[backers_count]])</f>
        <v>17.829787234042552</v>
      </c>
      <c r="U3285" t="str">
        <f>LEFT(Table1[[#This Row],[Category and Sub-Category]],FIND("/",Table1[[#This Row],[Category and Sub-Category]])-1)</f>
        <v>theater</v>
      </c>
      <c r="V3285" t="str">
        <f>RIGHT(Table1[[#This Row],[Category and Sub-Category]],LEN(Table1[[#This Row],[Category and Sub-Category]])-FIND("/",Table1[[#This Row],[Category and Sub-Category]]))</f>
        <v>plays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 s="12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>((Table1[[#This Row],[deadline]]/60)/60/24)+DATE(1970,1,1)</f>
        <v>42398.249305555553</v>
      </c>
      <c r="K3286">
        <v>1452546853</v>
      </c>
      <c r="L3286" s="11">
        <f>((Table1[[#This Row],[launched_at]]/60)/60/24)+DATE(1970,1,1)</f>
        <v>42380.884872685187</v>
      </c>
      <c r="M3286">
        <f>MONTH(Table1[[#This Row],[Date Created Conversion]])</f>
        <v>1</v>
      </c>
      <c r="N3286">
        <f>YEAR(Table1[[#This Row],[Date Created Conversion]])</f>
        <v>2016</v>
      </c>
      <c r="O3286" t="b">
        <v>0</v>
      </c>
      <c r="P3286">
        <v>15</v>
      </c>
      <c r="Q3286" t="b">
        <v>1</v>
      </c>
      <c r="R3286" t="s">
        <v>8271</v>
      </c>
      <c r="S3286" s="6">
        <f>Table1[[#This Row],[pledged]]/Table1[[#This Row],[goal]]</f>
        <v>1.016</v>
      </c>
      <c r="T3286" s="8">
        <f>IF(Table1[[#This Row],[pledged]]=0,"no backers",Table1[[#This Row],[pledged]]/Table1[[#This Row],[backers_count]])</f>
        <v>203.2</v>
      </c>
      <c r="U3286" t="str">
        <f>LEFT(Table1[[#This Row],[Category and Sub-Category]],FIND("/",Table1[[#This Row],[Category and Sub-Category]])-1)</f>
        <v>theater</v>
      </c>
      <c r="V3286" t="str">
        <f>RIGHT(Table1[[#This Row],[Category and Sub-Category]],LEN(Table1[[#This Row],[Category and Sub-Category]])-FIND("/",Table1[[#This Row],[Category and Sub-Category]]))</f>
        <v>plays</v>
      </c>
    </row>
    <row r="3287" spans="1:22" x14ac:dyDescent="0.3">
      <c r="A3287">
        <v>3285</v>
      </c>
      <c r="B3287" s="3" t="s">
        <v>3285</v>
      </c>
      <c r="C3287" s="3" t="s">
        <v>7395</v>
      </c>
      <c r="D3287" s="12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>((Table1[[#This Row],[deadline]]/60)/60/24)+DATE(1970,1,1)</f>
        <v>42794.208333333328</v>
      </c>
      <c r="K3287">
        <v>1485556626</v>
      </c>
      <c r="L3287" s="11">
        <f>((Table1[[#This Row],[launched_at]]/60)/60/24)+DATE(1970,1,1)</f>
        <v>42762.942430555559</v>
      </c>
      <c r="M3287">
        <f>MONTH(Table1[[#This Row],[Date Created Conversion]])</f>
        <v>1</v>
      </c>
      <c r="N3287">
        <f>YEAR(Table1[[#This Row],[Date Created Conversion]])</f>
        <v>2017</v>
      </c>
      <c r="O3287" t="b">
        <v>0</v>
      </c>
      <c r="P3287">
        <v>81</v>
      </c>
      <c r="Q3287" t="b">
        <v>1</v>
      </c>
      <c r="R3287" t="s">
        <v>8271</v>
      </c>
      <c r="S3287" s="6">
        <f>Table1[[#This Row],[pledged]]/Table1[[#This Row],[goal]]</f>
        <v>1.1210242048409682</v>
      </c>
      <c r="T3287" s="8">
        <f>IF(Table1[[#This Row],[pledged]]=0,"no backers",Table1[[#This Row],[pledged]]/Table1[[#This Row],[backers_count]])</f>
        <v>69.18518518518519</v>
      </c>
      <c r="U3287" t="str">
        <f>LEFT(Table1[[#This Row],[Category and Sub-Category]],FIND("/",Table1[[#This Row],[Category and Sub-Category]])-1)</f>
        <v>theater</v>
      </c>
      <c r="V3287" t="str">
        <f>RIGHT(Table1[[#This Row],[Category and Sub-Category]],LEN(Table1[[#This Row],[Category and Sub-Category]])-FIND("/",Table1[[#This Row],[Category and Sub-Category]]))</f>
        <v>plays</v>
      </c>
    </row>
    <row r="3288" spans="1:22" ht="57.6" x14ac:dyDescent="0.3">
      <c r="A3288">
        <v>3286</v>
      </c>
      <c r="B3288" s="3" t="s">
        <v>3286</v>
      </c>
      <c r="C3288" s="3" t="s">
        <v>7396</v>
      </c>
      <c r="D3288" s="12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>((Table1[[#This Row],[deadline]]/60)/60/24)+DATE(1970,1,1)</f>
        <v>42597.840069444443</v>
      </c>
      <c r="K3288">
        <v>1468699782</v>
      </c>
      <c r="L3288" s="11">
        <f>((Table1[[#This Row],[launched_at]]/60)/60/24)+DATE(1970,1,1)</f>
        <v>42567.840069444443</v>
      </c>
      <c r="M3288">
        <f>MONTH(Table1[[#This Row],[Date Created Conversion]])</f>
        <v>7</v>
      </c>
      <c r="N3288">
        <f>YEAR(Table1[[#This Row],[Date Created Conversion]])</f>
        <v>2016</v>
      </c>
      <c r="O3288" t="b">
        <v>0</v>
      </c>
      <c r="P3288">
        <v>122</v>
      </c>
      <c r="Q3288" t="b">
        <v>1</v>
      </c>
      <c r="R3288" t="s">
        <v>8271</v>
      </c>
      <c r="S3288" s="6">
        <f>Table1[[#This Row],[pledged]]/Table1[[#This Row],[goal]]</f>
        <v>1.0176666666666667</v>
      </c>
      <c r="T3288" s="8">
        <f>IF(Table1[[#This Row],[pledged]]=0,"no backers",Table1[[#This Row],[pledged]]/Table1[[#This Row],[backers_count]])</f>
        <v>125.12295081967213</v>
      </c>
      <c r="U3288" t="str">
        <f>LEFT(Table1[[#This Row],[Category and Sub-Category]],FIND("/",Table1[[#This Row],[Category and Sub-Category]])-1)</f>
        <v>theater</v>
      </c>
      <c r="V3288" t="str">
        <f>RIGHT(Table1[[#This Row],[Category and Sub-Category]],LEN(Table1[[#This Row],[Category and Sub-Category]])-FIND("/",Table1[[#This Row],[Category and Sub-Category]]))</f>
        <v>plays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 s="12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>((Table1[[#This Row],[deadline]]/60)/60/24)+DATE(1970,1,1)</f>
        <v>42336.750324074077</v>
      </c>
      <c r="K3289">
        <v>1446573628</v>
      </c>
      <c r="L3289" s="11">
        <f>((Table1[[#This Row],[launched_at]]/60)/60/24)+DATE(1970,1,1)</f>
        <v>42311.750324074077</v>
      </c>
      <c r="M3289">
        <f>MONTH(Table1[[#This Row],[Date Created Conversion]])</f>
        <v>11</v>
      </c>
      <c r="N3289">
        <f>YEAR(Table1[[#This Row],[Date Created Conversion]])</f>
        <v>2015</v>
      </c>
      <c r="O3289" t="b">
        <v>0</v>
      </c>
      <c r="P3289">
        <v>34</v>
      </c>
      <c r="Q3289" t="b">
        <v>1</v>
      </c>
      <c r="R3289" t="s">
        <v>8271</v>
      </c>
      <c r="S3289" s="6">
        <f>Table1[[#This Row],[pledged]]/Table1[[#This Row],[goal]]</f>
        <v>1</v>
      </c>
      <c r="T3289" s="8">
        <f>IF(Table1[[#This Row],[pledged]]=0,"no backers",Table1[[#This Row],[pledged]]/Table1[[#This Row],[backers_count]])</f>
        <v>73.529411764705884</v>
      </c>
      <c r="U3289" t="str">
        <f>LEFT(Table1[[#This Row],[Category and Sub-Category]],FIND("/",Table1[[#This Row],[Category and Sub-Category]])-1)</f>
        <v>theater</v>
      </c>
      <c r="V3289" t="str">
        <f>RIGHT(Table1[[#This Row],[Category and Sub-Category]],LEN(Table1[[#This Row],[Category and Sub-Category]])-FIND("/",Table1[[#This Row],[Category and Sub-Category]]))</f>
        <v>plays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 s="12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>((Table1[[#This Row],[deadline]]/60)/60/24)+DATE(1970,1,1)</f>
        <v>42541.958333333328</v>
      </c>
      <c r="K3290">
        <v>1463337315</v>
      </c>
      <c r="L3290" s="11">
        <f>((Table1[[#This Row],[launched_at]]/60)/60/24)+DATE(1970,1,1)</f>
        <v>42505.774479166663</v>
      </c>
      <c r="M3290">
        <f>MONTH(Table1[[#This Row],[Date Created Conversion]])</f>
        <v>5</v>
      </c>
      <c r="N3290">
        <f>YEAR(Table1[[#This Row],[Date Created Conversion]])</f>
        <v>2016</v>
      </c>
      <c r="O3290" t="b">
        <v>0</v>
      </c>
      <c r="P3290">
        <v>207</v>
      </c>
      <c r="Q3290" t="b">
        <v>1</v>
      </c>
      <c r="R3290" t="s">
        <v>8271</v>
      </c>
      <c r="S3290" s="6">
        <f>Table1[[#This Row],[pledged]]/Table1[[#This Row],[goal]]</f>
        <v>1.0026489999999999</v>
      </c>
      <c r="T3290" s="8">
        <f>IF(Table1[[#This Row],[pledged]]=0,"no backers",Table1[[#This Row],[pledged]]/Table1[[#This Row],[backers_count]])</f>
        <v>48.437149758454105</v>
      </c>
      <c r="U3290" t="str">
        <f>LEFT(Table1[[#This Row],[Category and Sub-Category]],FIND("/",Table1[[#This Row],[Category and Sub-Category]])-1)</f>
        <v>theater</v>
      </c>
      <c r="V3290" t="str">
        <f>RIGHT(Table1[[#This Row],[Category and Sub-Category]],LEN(Table1[[#This Row],[Category and Sub-Category]])-FIND("/",Table1[[#This Row],[Category and Sub-Category]]))</f>
        <v>plays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 s="12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>((Table1[[#This Row],[deadline]]/60)/60/24)+DATE(1970,1,1)</f>
        <v>42786.368078703701</v>
      </c>
      <c r="K3291">
        <v>1485161402</v>
      </c>
      <c r="L3291" s="11">
        <f>((Table1[[#This Row],[launched_at]]/60)/60/24)+DATE(1970,1,1)</f>
        <v>42758.368078703701</v>
      </c>
      <c r="M3291">
        <f>MONTH(Table1[[#This Row],[Date Created Conversion]])</f>
        <v>1</v>
      </c>
      <c r="N3291">
        <f>YEAR(Table1[[#This Row],[Date Created Conversion]])</f>
        <v>2017</v>
      </c>
      <c r="O3291" t="b">
        <v>0</v>
      </c>
      <c r="P3291">
        <v>25</v>
      </c>
      <c r="Q3291" t="b">
        <v>1</v>
      </c>
      <c r="R3291" t="s">
        <v>8271</v>
      </c>
      <c r="S3291" s="6">
        <f>Table1[[#This Row],[pledged]]/Table1[[#This Row],[goal]]</f>
        <v>1.3304200000000002</v>
      </c>
      <c r="T3291" s="8">
        <f>IF(Table1[[#This Row],[pledged]]=0,"no backers",Table1[[#This Row],[pledged]]/Table1[[#This Row],[backers_count]])</f>
        <v>26.608400000000003</v>
      </c>
      <c r="U3291" t="str">
        <f>LEFT(Table1[[#This Row],[Category and Sub-Category]],FIND("/",Table1[[#This Row],[Category and Sub-Category]])-1)</f>
        <v>theater</v>
      </c>
      <c r="V3291" t="str">
        <f>RIGHT(Table1[[#This Row],[Category and Sub-Category]],LEN(Table1[[#This Row],[Category and Sub-Category]])-FIND("/",Table1[[#This Row],[Category and Sub-Category]]))</f>
        <v>plays</v>
      </c>
    </row>
    <row r="3292" spans="1:22" ht="72" x14ac:dyDescent="0.3">
      <c r="A3292">
        <v>3290</v>
      </c>
      <c r="B3292" s="3" t="s">
        <v>3290</v>
      </c>
      <c r="C3292" s="3" t="s">
        <v>7400</v>
      </c>
      <c r="D3292" s="1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>((Table1[[#This Row],[deadline]]/60)/60/24)+DATE(1970,1,1)</f>
        <v>42805.51494212963</v>
      </c>
      <c r="K3292">
        <v>1486642891</v>
      </c>
      <c r="L3292" s="11">
        <f>((Table1[[#This Row],[launched_at]]/60)/60/24)+DATE(1970,1,1)</f>
        <v>42775.51494212963</v>
      </c>
      <c r="M3292">
        <f>MONTH(Table1[[#This Row],[Date Created Conversion]])</f>
        <v>2</v>
      </c>
      <c r="N3292">
        <f>YEAR(Table1[[#This Row],[Date Created Conversion]])</f>
        <v>2017</v>
      </c>
      <c r="O3292" t="b">
        <v>0</v>
      </c>
      <c r="P3292">
        <v>72</v>
      </c>
      <c r="Q3292" t="b">
        <v>1</v>
      </c>
      <c r="R3292" t="s">
        <v>8271</v>
      </c>
      <c r="S3292" s="6">
        <f>Table1[[#This Row],[pledged]]/Table1[[#This Row],[goal]]</f>
        <v>1.212</v>
      </c>
      <c r="T3292" s="8">
        <f>IF(Table1[[#This Row],[pledged]]=0,"no backers",Table1[[#This Row],[pledged]]/Table1[[#This Row],[backers_count]])</f>
        <v>33.666666666666664</v>
      </c>
      <c r="U3292" t="str">
        <f>LEFT(Table1[[#This Row],[Category and Sub-Category]],FIND("/",Table1[[#This Row],[Category and Sub-Category]])-1)</f>
        <v>theater</v>
      </c>
      <c r="V3292" t="str">
        <f>RIGHT(Table1[[#This Row],[Category and Sub-Category]],LEN(Table1[[#This Row],[Category and Sub-Category]])-FIND("/",Table1[[#This Row],[Category and Sub-Category]]))</f>
        <v>plays</v>
      </c>
    </row>
    <row r="3293" spans="1:22" ht="57.6" x14ac:dyDescent="0.3">
      <c r="A3293">
        <v>3291</v>
      </c>
      <c r="B3293" s="3" t="s">
        <v>3291</v>
      </c>
      <c r="C3293" s="3" t="s">
        <v>7401</v>
      </c>
      <c r="D3293" s="12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>((Table1[[#This Row],[deadline]]/60)/60/24)+DATE(1970,1,1)</f>
        <v>42264.165972222225</v>
      </c>
      <c r="K3293">
        <v>1439743900</v>
      </c>
      <c r="L3293" s="11">
        <f>((Table1[[#This Row],[launched_at]]/60)/60/24)+DATE(1970,1,1)</f>
        <v>42232.702546296292</v>
      </c>
      <c r="M3293">
        <f>MONTH(Table1[[#This Row],[Date Created Conversion]])</f>
        <v>8</v>
      </c>
      <c r="N3293">
        <f>YEAR(Table1[[#This Row],[Date Created Conversion]])</f>
        <v>2015</v>
      </c>
      <c r="O3293" t="b">
        <v>0</v>
      </c>
      <c r="P3293">
        <v>14</v>
      </c>
      <c r="Q3293" t="b">
        <v>1</v>
      </c>
      <c r="R3293" t="s">
        <v>8271</v>
      </c>
      <c r="S3293" s="6">
        <f>Table1[[#This Row],[pledged]]/Table1[[#This Row],[goal]]</f>
        <v>1.1399999999999999</v>
      </c>
      <c r="T3293" s="8">
        <f>IF(Table1[[#This Row],[pledged]]=0,"no backers",Table1[[#This Row],[pledged]]/Table1[[#This Row],[backers_count]])</f>
        <v>40.714285714285715</v>
      </c>
      <c r="U3293" t="str">
        <f>LEFT(Table1[[#This Row],[Category and Sub-Category]],FIND("/",Table1[[#This Row],[Category and Sub-Category]])-1)</f>
        <v>theater</v>
      </c>
      <c r="V3293" t="str">
        <f>RIGHT(Table1[[#This Row],[Category and Sub-Category]],LEN(Table1[[#This Row],[Category and Sub-Category]])-FIND("/",Table1[[#This Row],[Category and Sub-Category]]))</f>
        <v>plays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 s="12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>((Table1[[#This Row],[deadline]]/60)/60/24)+DATE(1970,1,1)</f>
        <v>42342.811898148153</v>
      </c>
      <c r="K3294">
        <v>1444069748</v>
      </c>
      <c r="L3294" s="11">
        <f>((Table1[[#This Row],[launched_at]]/60)/60/24)+DATE(1970,1,1)</f>
        <v>42282.770231481481</v>
      </c>
      <c r="M3294">
        <f>MONTH(Table1[[#This Row],[Date Created Conversion]])</f>
        <v>10</v>
      </c>
      <c r="N3294">
        <f>YEAR(Table1[[#This Row],[Date Created Conversion]])</f>
        <v>2015</v>
      </c>
      <c r="O3294" t="b">
        <v>0</v>
      </c>
      <c r="P3294">
        <v>15</v>
      </c>
      <c r="Q3294" t="b">
        <v>1</v>
      </c>
      <c r="R3294" t="s">
        <v>8271</v>
      </c>
      <c r="S3294" s="6">
        <f>Table1[[#This Row],[pledged]]/Table1[[#This Row],[goal]]</f>
        <v>2.8613861386138613</v>
      </c>
      <c r="T3294" s="8">
        <f>IF(Table1[[#This Row],[pledged]]=0,"no backers",Table1[[#This Row],[pledged]]/Table1[[#This Row],[backers_count]])</f>
        <v>19.266666666666666</v>
      </c>
      <c r="U3294" t="str">
        <f>LEFT(Table1[[#This Row],[Category and Sub-Category]],FIND("/",Table1[[#This Row],[Category and Sub-Category]])-1)</f>
        <v>theater</v>
      </c>
      <c r="V3294" t="str">
        <f>RIGHT(Table1[[#This Row],[Category and Sub-Category]],LEN(Table1[[#This Row],[Category and Sub-Category]])-FIND("/",Table1[[#This Row],[Category and Sub-Category]]))</f>
        <v>plays</v>
      </c>
    </row>
    <row r="3295" spans="1:22" ht="57.6" x14ac:dyDescent="0.3">
      <c r="A3295">
        <v>3293</v>
      </c>
      <c r="B3295" s="3" t="s">
        <v>3293</v>
      </c>
      <c r="C3295" s="3" t="s">
        <v>7403</v>
      </c>
      <c r="D3295" s="12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>((Table1[[#This Row],[deadline]]/60)/60/24)+DATE(1970,1,1)</f>
        <v>42798.425370370373</v>
      </c>
      <c r="K3295">
        <v>1486030352</v>
      </c>
      <c r="L3295" s="11">
        <f>((Table1[[#This Row],[launched_at]]/60)/60/24)+DATE(1970,1,1)</f>
        <v>42768.425370370373</v>
      </c>
      <c r="M3295">
        <f>MONTH(Table1[[#This Row],[Date Created Conversion]])</f>
        <v>2</v>
      </c>
      <c r="N3295">
        <f>YEAR(Table1[[#This Row],[Date Created Conversion]])</f>
        <v>2017</v>
      </c>
      <c r="O3295" t="b">
        <v>0</v>
      </c>
      <c r="P3295">
        <v>91</v>
      </c>
      <c r="Q3295" t="b">
        <v>1</v>
      </c>
      <c r="R3295" t="s">
        <v>8271</v>
      </c>
      <c r="S3295" s="6">
        <f>Table1[[#This Row],[pledged]]/Table1[[#This Row],[goal]]</f>
        <v>1.7044444444444444</v>
      </c>
      <c r="T3295" s="8">
        <f>IF(Table1[[#This Row],[pledged]]=0,"no backers",Table1[[#This Row],[pledged]]/Table1[[#This Row],[backers_count]])</f>
        <v>84.285714285714292</v>
      </c>
      <c r="U3295" t="str">
        <f>LEFT(Table1[[#This Row],[Category and Sub-Category]],FIND("/",Table1[[#This Row],[Category and Sub-Category]])-1)</f>
        <v>theater</v>
      </c>
      <c r="V3295" t="str">
        <f>RIGHT(Table1[[#This Row],[Category and Sub-Category]],LEN(Table1[[#This Row],[Category and Sub-Category]])-FIND("/",Table1[[#This Row],[Category and Sub-Category]]))</f>
        <v>plays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 s="12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>((Table1[[#This Row],[deadline]]/60)/60/24)+DATE(1970,1,1)</f>
        <v>42171.541134259256</v>
      </c>
      <c r="K3296">
        <v>1431867554</v>
      </c>
      <c r="L3296" s="11">
        <f>((Table1[[#This Row],[launched_at]]/60)/60/24)+DATE(1970,1,1)</f>
        <v>42141.541134259256</v>
      </c>
      <c r="M3296">
        <f>MONTH(Table1[[#This Row],[Date Created Conversion]])</f>
        <v>5</v>
      </c>
      <c r="N3296">
        <f>YEAR(Table1[[#This Row],[Date Created Conversion]])</f>
        <v>2015</v>
      </c>
      <c r="O3296" t="b">
        <v>0</v>
      </c>
      <c r="P3296">
        <v>24</v>
      </c>
      <c r="Q3296" t="b">
        <v>1</v>
      </c>
      <c r="R3296" t="s">
        <v>8271</v>
      </c>
      <c r="S3296" s="6">
        <f>Table1[[#This Row],[pledged]]/Table1[[#This Row],[goal]]</f>
        <v>1.1833333333333333</v>
      </c>
      <c r="T3296" s="8">
        <f>IF(Table1[[#This Row],[pledged]]=0,"no backers",Table1[[#This Row],[pledged]]/Table1[[#This Row],[backers_count]])</f>
        <v>29.583333333333332</v>
      </c>
      <c r="U3296" t="str">
        <f>LEFT(Table1[[#This Row],[Category and Sub-Category]],FIND("/",Table1[[#This Row],[Category and Sub-Category]])-1)</f>
        <v>theater</v>
      </c>
      <c r="V3296" t="str">
        <f>RIGHT(Table1[[#This Row],[Category and Sub-Category]],LEN(Table1[[#This Row],[Category and Sub-Category]])-FIND("/",Table1[[#This Row],[Category and Sub-Category]]))</f>
        <v>plays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 s="12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>((Table1[[#This Row],[deadline]]/60)/60/24)+DATE(1970,1,1)</f>
        <v>42639.442465277782</v>
      </c>
      <c r="K3297">
        <v>1472294229</v>
      </c>
      <c r="L3297" s="11">
        <f>((Table1[[#This Row],[launched_at]]/60)/60/24)+DATE(1970,1,1)</f>
        <v>42609.442465277782</v>
      </c>
      <c r="M3297">
        <f>MONTH(Table1[[#This Row],[Date Created Conversion]])</f>
        <v>8</v>
      </c>
      <c r="N3297">
        <f>YEAR(Table1[[#This Row],[Date Created Conversion]])</f>
        <v>2016</v>
      </c>
      <c r="O3297" t="b">
        <v>0</v>
      </c>
      <c r="P3297">
        <v>27</v>
      </c>
      <c r="Q3297" t="b">
        <v>1</v>
      </c>
      <c r="R3297" t="s">
        <v>8271</v>
      </c>
      <c r="S3297" s="6">
        <f>Table1[[#This Row],[pledged]]/Table1[[#This Row],[goal]]</f>
        <v>1.0285857142857142</v>
      </c>
      <c r="T3297" s="8">
        <f>IF(Table1[[#This Row],[pledged]]=0,"no backers",Table1[[#This Row],[pledged]]/Table1[[#This Row],[backers_count]])</f>
        <v>26.667037037037037</v>
      </c>
      <c r="U3297" t="str">
        <f>LEFT(Table1[[#This Row],[Category and Sub-Category]],FIND("/",Table1[[#This Row],[Category and Sub-Category]])-1)</f>
        <v>theater</v>
      </c>
      <c r="V3297" t="str">
        <f>RIGHT(Table1[[#This Row],[Category and Sub-Category]],LEN(Table1[[#This Row],[Category and Sub-Category]])-FIND("/",Table1[[#This Row],[Category and Sub-Category]]))</f>
        <v>plays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 s="12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>((Table1[[#This Row],[deadline]]/60)/60/24)+DATE(1970,1,1)</f>
        <v>42330.916666666672</v>
      </c>
      <c r="K3298">
        <v>1446401372</v>
      </c>
      <c r="L3298" s="11">
        <f>((Table1[[#This Row],[launched_at]]/60)/60/24)+DATE(1970,1,1)</f>
        <v>42309.756620370375</v>
      </c>
      <c r="M3298">
        <f>MONTH(Table1[[#This Row],[Date Created Conversion]])</f>
        <v>11</v>
      </c>
      <c r="N3298">
        <f>YEAR(Table1[[#This Row],[Date Created Conversion]])</f>
        <v>2015</v>
      </c>
      <c r="O3298" t="b">
        <v>0</v>
      </c>
      <c r="P3298">
        <v>47</v>
      </c>
      <c r="Q3298" t="b">
        <v>1</v>
      </c>
      <c r="R3298" t="s">
        <v>8271</v>
      </c>
      <c r="S3298" s="6">
        <f>Table1[[#This Row],[pledged]]/Table1[[#This Row],[goal]]</f>
        <v>1.4406666666666668</v>
      </c>
      <c r="T3298" s="8">
        <f>IF(Table1[[#This Row],[pledged]]=0,"no backers",Table1[[#This Row],[pledged]]/Table1[[#This Row],[backers_count]])</f>
        <v>45.978723404255319</v>
      </c>
      <c r="U3298" t="str">
        <f>LEFT(Table1[[#This Row],[Category and Sub-Category]],FIND("/",Table1[[#This Row],[Category and Sub-Category]])-1)</f>
        <v>theater</v>
      </c>
      <c r="V3298" t="str">
        <f>RIGHT(Table1[[#This Row],[Category and Sub-Category]],LEN(Table1[[#This Row],[Category and Sub-Category]])-FIND("/",Table1[[#This Row],[Category and Sub-Category]]))</f>
        <v>plays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 s="12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>((Table1[[#This Row],[deadline]]/60)/60/24)+DATE(1970,1,1)</f>
        <v>42212.957638888889</v>
      </c>
      <c r="K3299">
        <v>1436380256</v>
      </c>
      <c r="L3299" s="11">
        <f>((Table1[[#This Row],[launched_at]]/60)/60/24)+DATE(1970,1,1)</f>
        <v>42193.771481481483</v>
      </c>
      <c r="M3299">
        <f>MONTH(Table1[[#This Row],[Date Created Conversion]])</f>
        <v>7</v>
      </c>
      <c r="N3299">
        <f>YEAR(Table1[[#This Row],[Date Created Conversion]])</f>
        <v>2015</v>
      </c>
      <c r="O3299" t="b">
        <v>0</v>
      </c>
      <c r="P3299">
        <v>44</v>
      </c>
      <c r="Q3299" t="b">
        <v>1</v>
      </c>
      <c r="R3299" t="s">
        <v>8271</v>
      </c>
      <c r="S3299" s="6">
        <f>Table1[[#This Row],[pledged]]/Table1[[#This Row],[goal]]</f>
        <v>1.0007272727272727</v>
      </c>
      <c r="T3299" s="8">
        <f>IF(Table1[[#This Row],[pledged]]=0,"no backers",Table1[[#This Row],[pledged]]/Table1[[#This Row],[backers_count]])</f>
        <v>125.09090909090909</v>
      </c>
      <c r="U3299" t="str">
        <f>LEFT(Table1[[#This Row],[Category and Sub-Category]],FIND("/",Table1[[#This Row],[Category and Sub-Category]])-1)</f>
        <v>theater</v>
      </c>
      <c r="V3299" t="str">
        <f>RIGHT(Table1[[#This Row],[Category and Sub-Category]],LEN(Table1[[#This Row],[Category and Sub-Category]])-FIND("/",Table1[[#This Row],[Category and Sub-Category]]))</f>
        <v>plays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 s="12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>((Table1[[#This Row],[deadline]]/60)/60/24)+DATE(1970,1,1)</f>
        <v>42260</v>
      </c>
      <c r="K3300">
        <v>1440370768</v>
      </c>
      <c r="L3300" s="11">
        <f>((Table1[[#This Row],[launched_at]]/60)/60/24)+DATE(1970,1,1)</f>
        <v>42239.957962962959</v>
      </c>
      <c r="M3300">
        <f>MONTH(Table1[[#This Row],[Date Created Conversion]])</f>
        <v>8</v>
      </c>
      <c r="N3300">
        <f>YEAR(Table1[[#This Row],[Date Created Conversion]])</f>
        <v>2015</v>
      </c>
      <c r="O3300" t="b">
        <v>0</v>
      </c>
      <c r="P3300">
        <v>72</v>
      </c>
      <c r="Q3300" t="b">
        <v>1</v>
      </c>
      <c r="R3300" t="s">
        <v>8271</v>
      </c>
      <c r="S3300" s="6">
        <f>Table1[[#This Row],[pledged]]/Table1[[#This Row],[goal]]</f>
        <v>1.0173000000000001</v>
      </c>
      <c r="T3300" s="8">
        <f>IF(Table1[[#This Row],[pledged]]=0,"no backers",Table1[[#This Row],[pledged]]/Table1[[#This Row],[backers_count]])</f>
        <v>141.29166666666666</v>
      </c>
      <c r="U3300" t="str">
        <f>LEFT(Table1[[#This Row],[Category and Sub-Category]],FIND("/",Table1[[#This Row],[Category and Sub-Category]])-1)</f>
        <v>theater</v>
      </c>
      <c r="V3300" t="str">
        <f>RIGHT(Table1[[#This Row],[Category and Sub-Category]],LEN(Table1[[#This Row],[Category and Sub-Category]])-FIND("/",Table1[[#This Row],[Category and Sub-Category]]))</f>
        <v>plays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 s="12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>((Table1[[#This Row],[deadline]]/60)/60/24)+DATE(1970,1,1)</f>
        <v>42291.917395833334</v>
      </c>
      <c r="K3301">
        <v>1442268063</v>
      </c>
      <c r="L3301" s="11">
        <f>((Table1[[#This Row],[launched_at]]/60)/60/24)+DATE(1970,1,1)</f>
        <v>42261.917395833334</v>
      </c>
      <c r="M3301">
        <f>MONTH(Table1[[#This Row],[Date Created Conversion]])</f>
        <v>9</v>
      </c>
      <c r="N3301">
        <f>YEAR(Table1[[#This Row],[Date Created Conversion]])</f>
        <v>2015</v>
      </c>
      <c r="O3301" t="b">
        <v>0</v>
      </c>
      <c r="P3301">
        <v>63</v>
      </c>
      <c r="Q3301" t="b">
        <v>1</v>
      </c>
      <c r="R3301" t="s">
        <v>8271</v>
      </c>
      <c r="S3301" s="6">
        <f>Table1[[#This Row],[pledged]]/Table1[[#This Row],[goal]]</f>
        <v>1.1619999999999999</v>
      </c>
      <c r="T3301" s="8">
        <f>IF(Table1[[#This Row],[pledged]]=0,"no backers",Table1[[#This Row],[pledged]]/Table1[[#This Row],[backers_count]])</f>
        <v>55.333333333333336</v>
      </c>
      <c r="U3301" t="str">
        <f>LEFT(Table1[[#This Row],[Category and Sub-Category]],FIND("/",Table1[[#This Row],[Category and Sub-Category]])-1)</f>
        <v>theater</v>
      </c>
      <c r="V3301" t="str">
        <f>RIGHT(Table1[[#This Row],[Category and Sub-Category]],LEN(Table1[[#This Row],[Category and Sub-Category]])-FIND("/",Table1[[#This Row],[Category and Sub-Category]]))</f>
        <v>plays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 s="1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>((Table1[[#This Row],[deadline]]/60)/60/24)+DATE(1970,1,1)</f>
        <v>42123.743773148148</v>
      </c>
      <c r="K3302">
        <v>1428515462</v>
      </c>
      <c r="L3302" s="11">
        <f>((Table1[[#This Row],[launched_at]]/60)/60/24)+DATE(1970,1,1)</f>
        <v>42102.743773148148</v>
      </c>
      <c r="M3302">
        <f>MONTH(Table1[[#This Row],[Date Created Conversion]])</f>
        <v>4</v>
      </c>
      <c r="N3302">
        <f>YEAR(Table1[[#This Row],[Date Created Conversion]])</f>
        <v>2015</v>
      </c>
      <c r="O3302" t="b">
        <v>0</v>
      </c>
      <c r="P3302">
        <v>88</v>
      </c>
      <c r="Q3302" t="b">
        <v>1</v>
      </c>
      <c r="R3302" t="s">
        <v>8271</v>
      </c>
      <c r="S3302" s="6">
        <f>Table1[[#This Row],[pledged]]/Table1[[#This Row],[goal]]</f>
        <v>1.3616666666666666</v>
      </c>
      <c r="T3302" s="8">
        <f>IF(Table1[[#This Row],[pledged]]=0,"no backers",Table1[[#This Row],[pledged]]/Table1[[#This Row],[backers_count]])</f>
        <v>46.420454545454547</v>
      </c>
      <c r="U3302" t="str">
        <f>LEFT(Table1[[#This Row],[Category and Sub-Category]],FIND("/",Table1[[#This Row],[Category and Sub-Category]])-1)</f>
        <v>theater</v>
      </c>
      <c r="V3302" t="str">
        <f>RIGHT(Table1[[#This Row],[Category and Sub-Category]],LEN(Table1[[#This Row],[Category and Sub-Category]])-FIND("/",Table1[[#This Row],[Category and Sub-Category]]))</f>
        <v>plays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 s="12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>((Table1[[#This Row],[deadline]]/60)/60/24)+DATE(1970,1,1)</f>
        <v>42583.290972222225</v>
      </c>
      <c r="K3303">
        <v>1466185176</v>
      </c>
      <c r="L3303" s="11">
        <f>((Table1[[#This Row],[launched_at]]/60)/60/24)+DATE(1970,1,1)</f>
        <v>42538.73583333334</v>
      </c>
      <c r="M3303">
        <f>MONTH(Table1[[#This Row],[Date Created Conversion]])</f>
        <v>6</v>
      </c>
      <c r="N3303">
        <f>YEAR(Table1[[#This Row],[Date Created Conversion]])</f>
        <v>2016</v>
      </c>
      <c r="O3303" t="b">
        <v>0</v>
      </c>
      <c r="P3303">
        <v>70</v>
      </c>
      <c r="Q3303" t="b">
        <v>1</v>
      </c>
      <c r="R3303" t="s">
        <v>8271</v>
      </c>
      <c r="S3303" s="6">
        <f>Table1[[#This Row],[pledged]]/Table1[[#This Row],[goal]]</f>
        <v>1.3346666666666667</v>
      </c>
      <c r="T3303" s="8">
        <f>IF(Table1[[#This Row],[pledged]]=0,"no backers",Table1[[#This Row],[pledged]]/Table1[[#This Row],[backers_count]])</f>
        <v>57.2</v>
      </c>
      <c r="U3303" t="str">
        <f>LEFT(Table1[[#This Row],[Category and Sub-Category]],FIND("/",Table1[[#This Row],[Category and Sub-Category]])-1)</f>
        <v>theater</v>
      </c>
      <c r="V3303" t="str">
        <f>RIGHT(Table1[[#This Row],[Category and Sub-Category]],LEN(Table1[[#This Row],[Category and Sub-Category]])-FIND("/",Table1[[#This Row],[Category and Sub-Category]]))</f>
        <v>plays</v>
      </c>
    </row>
    <row r="3304" spans="1:22" x14ac:dyDescent="0.3">
      <c r="A3304">
        <v>3302</v>
      </c>
      <c r="B3304" s="3" t="s">
        <v>3302</v>
      </c>
      <c r="C3304" s="3" t="s">
        <v>7412</v>
      </c>
      <c r="D3304" s="12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>((Table1[[#This Row],[deadline]]/60)/60/24)+DATE(1970,1,1)</f>
        <v>42711.35157407407</v>
      </c>
      <c r="K3304">
        <v>1478507176</v>
      </c>
      <c r="L3304" s="11">
        <f>((Table1[[#This Row],[launched_at]]/60)/60/24)+DATE(1970,1,1)</f>
        <v>42681.35157407407</v>
      </c>
      <c r="M3304">
        <f>MONTH(Table1[[#This Row],[Date Created Conversion]])</f>
        <v>11</v>
      </c>
      <c r="N3304">
        <f>YEAR(Table1[[#This Row],[Date Created Conversion]])</f>
        <v>2016</v>
      </c>
      <c r="O3304" t="b">
        <v>0</v>
      </c>
      <c r="P3304">
        <v>50</v>
      </c>
      <c r="Q3304" t="b">
        <v>1</v>
      </c>
      <c r="R3304" t="s">
        <v>8271</v>
      </c>
      <c r="S3304" s="6">
        <f>Table1[[#This Row],[pledged]]/Table1[[#This Row],[goal]]</f>
        <v>1.0339285714285715</v>
      </c>
      <c r="T3304" s="8">
        <f>IF(Table1[[#This Row],[pledged]]=0,"no backers",Table1[[#This Row],[pledged]]/Table1[[#This Row],[backers_count]])</f>
        <v>173.7</v>
      </c>
      <c r="U3304" t="str">
        <f>LEFT(Table1[[#This Row],[Category and Sub-Category]],FIND("/",Table1[[#This Row],[Category and Sub-Category]])-1)</f>
        <v>theater</v>
      </c>
      <c r="V3304" t="str">
        <f>RIGHT(Table1[[#This Row],[Category and Sub-Category]],LEN(Table1[[#This Row],[Category and Sub-Category]])-FIND("/",Table1[[#This Row],[Category and Sub-Category]]))</f>
        <v>plays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 s="12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>((Table1[[#This Row],[deadline]]/60)/60/24)+DATE(1970,1,1)</f>
        <v>42091.609768518523</v>
      </c>
      <c r="K3305">
        <v>1424533084</v>
      </c>
      <c r="L3305" s="11">
        <f>((Table1[[#This Row],[launched_at]]/60)/60/24)+DATE(1970,1,1)</f>
        <v>42056.65143518518</v>
      </c>
      <c r="M3305">
        <f>MONTH(Table1[[#This Row],[Date Created Conversion]])</f>
        <v>2</v>
      </c>
      <c r="N3305">
        <f>YEAR(Table1[[#This Row],[Date Created Conversion]])</f>
        <v>2015</v>
      </c>
      <c r="O3305" t="b">
        <v>0</v>
      </c>
      <c r="P3305">
        <v>35</v>
      </c>
      <c r="Q3305" t="b">
        <v>1</v>
      </c>
      <c r="R3305" t="s">
        <v>8271</v>
      </c>
      <c r="S3305" s="6">
        <f>Table1[[#This Row],[pledged]]/Table1[[#This Row],[goal]]</f>
        <v>1.1588888888888889</v>
      </c>
      <c r="T3305" s="8">
        <f>IF(Table1[[#This Row],[pledged]]=0,"no backers",Table1[[#This Row],[pledged]]/Table1[[#This Row],[backers_count]])</f>
        <v>59.6</v>
      </c>
      <c r="U3305" t="str">
        <f>LEFT(Table1[[#This Row],[Category and Sub-Category]],FIND("/",Table1[[#This Row],[Category and Sub-Category]])-1)</f>
        <v>theater</v>
      </c>
      <c r="V3305" t="str">
        <f>RIGHT(Table1[[#This Row],[Category and Sub-Category]],LEN(Table1[[#This Row],[Category and Sub-Category]])-FIND("/",Table1[[#This Row],[Category and Sub-Category]]))</f>
        <v>plays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 s="12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>((Table1[[#This Row],[deadline]]/60)/60/24)+DATE(1970,1,1)</f>
        <v>42726.624444444446</v>
      </c>
      <c r="K3306">
        <v>1479826752</v>
      </c>
      <c r="L3306" s="11">
        <f>((Table1[[#This Row],[launched_at]]/60)/60/24)+DATE(1970,1,1)</f>
        <v>42696.624444444446</v>
      </c>
      <c r="M3306">
        <f>MONTH(Table1[[#This Row],[Date Created Conversion]])</f>
        <v>11</v>
      </c>
      <c r="N3306">
        <f>YEAR(Table1[[#This Row],[Date Created Conversion]])</f>
        <v>2016</v>
      </c>
      <c r="O3306" t="b">
        <v>0</v>
      </c>
      <c r="P3306">
        <v>175</v>
      </c>
      <c r="Q3306" t="b">
        <v>1</v>
      </c>
      <c r="R3306" t="s">
        <v>8271</v>
      </c>
      <c r="S3306" s="6">
        <f>Table1[[#This Row],[pledged]]/Table1[[#This Row],[goal]]</f>
        <v>1.0451666666666666</v>
      </c>
      <c r="T3306" s="8">
        <f>IF(Table1[[#This Row],[pledged]]=0,"no backers",Table1[[#This Row],[pledged]]/Table1[[#This Row],[backers_count]])</f>
        <v>89.585714285714289</v>
      </c>
      <c r="U3306" t="str">
        <f>LEFT(Table1[[#This Row],[Category and Sub-Category]],FIND("/",Table1[[#This Row],[Category and Sub-Category]])-1)</f>
        <v>theater</v>
      </c>
      <c r="V3306" t="str">
        <f>RIGHT(Table1[[#This Row],[Category and Sub-Category]],LEN(Table1[[#This Row],[Category and Sub-Category]])-FIND("/",Table1[[#This Row],[Category and Sub-Category]]))</f>
        <v>plays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 s="12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>((Table1[[#This Row],[deadline]]/60)/60/24)+DATE(1970,1,1)</f>
        <v>42216.855879629627</v>
      </c>
      <c r="K3307">
        <v>1435782748</v>
      </c>
      <c r="L3307" s="11">
        <f>((Table1[[#This Row],[launched_at]]/60)/60/24)+DATE(1970,1,1)</f>
        <v>42186.855879629627</v>
      </c>
      <c r="M3307">
        <f>MONTH(Table1[[#This Row],[Date Created Conversion]])</f>
        <v>7</v>
      </c>
      <c r="N3307">
        <f>YEAR(Table1[[#This Row],[Date Created Conversion]])</f>
        <v>2015</v>
      </c>
      <c r="O3307" t="b">
        <v>0</v>
      </c>
      <c r="P3307">
        <v>20</v>
      </c>
      <c r="Q3307" t="b">
        <v>1</v>
      </c>
      <c r="R3307" t="s">
        <v>8271</v>
      </c>
      <c r="S3307" s="6">
        <f>Table1[[#This Row],[pledged]]/Table1[[#This Row],[goal]]</f>
        <v>1.0202500000000001</v>
      </c>
      <c r="T3307" s="8">
        <f>IF(Table1[[#This Row],[pledged]]=0,"no backers",Table1[[#This Row],[pledged]]/Table1[[#This Row],[backers_count]])</f>
        <v>204.05</v>
      </c>
      <c r="U3307" t="str">
        <f>LEFT(Table1[[#This Row],[Category and Sub-Category]],FIND("/",Table1[[#This Row],[Category and Sub-Category]])-1)</f>
        <v>theater</v>
      </c>
      <c r="V3307" t="str">
        <f>RIGHT(Table1[[#This Row],[Category and Sub-Category]],LEN(Table1[[#This Row],[Category and Sub-Category]])-FIND("/",Table1[[#This Row],[Category and Sub-Category]]))</f>
        <v>plays</v>
      </c>
    </row>
    <row r="3308" spans="1:22" ht="57.6" x14ac:dyDescent="0.3">
      <c r="A3308">
        <v>3306</v>
      </c>
      <c r="B3308" s="3" t="s">
        <v>3306</v>
      </c>
      <c r="C3308" s="3" t="s">
        <v>7416</v>
      </c>
      <c r="D3308" s="12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>((Table1[[#This Row],[deadline]]/60)/60/24)+DATE(1970,1,1)</f>
        <v>42531.125</v>
      </c>
      <c r="K3308">
        <v>1462252542</v>
      </c>
      <c r="L3308" s="11">
        <f>((Table1[[#This Row],[launched_at]]/60)/60/24)+DATE(1970,1,1)</f>
        <v>42493.219236111108</v>
      </c>
      <c r="M3308">
        <f>MONTH(Table1[[#This Row],[Date Created Conversion]])</f>
        <v>5</v>
      </c>
      <c r="N3308">
        <f>YEAR(Table1[[#This Row],[Date Created Conversion]])</f>
        <v>2016</v>
      </c>
      <c r="O3308" t="b">
        <v>0</v>
      </c>
      <c r="P3308">
        <v>54</v>
      </c>
      <c r="Q3308" t="b">
        <v>1</v>
      </c>
      <c r="R3308" t="s">
        <v>8271</v>
      </c>
      <c r="S3308" s="6">
        <f>Table1[[#This Row],[pledged]]/Table1[[#This Row],[goal]]</f>
        <v>1.7533333333333334</v>
      </c>
      <c r="T3308" s="8">
        <f>IF(Table1[[#This Row],[pledged]]=0,"no backers",Table1[[#This Row],[pledged]]/Table1[[#This Row],[backers_count]])</f>
        <v>48.703703703703702</v>
      </c>
      <c r="U3308" t="str">
        <f>LEFT(Table1[[#This Row],[Category and Sub-Category]],FIND("/",Table1[[#This Row],[Category and Sub-Category]])-1)</f>
        <v>theater</v>
      </c>
      <c r="V3308" t="str">
        <f>RIGHT(Table1[[#This Row],[Category and Sub-Category]],LEN(Table1[[#This Row],[Category and Sub-Category]])-FIND("/",Table1[[#This Row],[Category and Sub-Category]]))</f>
        <v>plays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 s="12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>((Table1[[#This Row],[deadline]]/60)/60/24)+DATE(1970,1,1)</f>
        <v>42505.057164351849</v>
      </c>
      <c r="K3309">
        <v>1460683339</v>
      </c>
      <c r="L3309" s="11">
        <f>((Table1[[#This Row],[launched_at]]/60)/60/24)+DATE(1970,1,1)</f>
        <v>42475.057164351849</v>
      </c>
      <c r="M3309">
        <f>MONTH(Table1[[#This Row],[Date Created Conversion]])</f>
        <v>4</v>
      </c>
      <c r="N3309">
        <f>YEAR(Table1[[#This Row],[Date Created Conversion]])</f>
        <v>2016</v>
      </c>
      <c r="O3309" t="b">
        <v>0</v>
      </c>
      <c r="P3309">
        <v>20</v>
      </c>
      <c r="Q3309" t="b">
        <v>1</v>
      </c>
      <c r="R3309" t="s">
        <v>8271</v>
      </c>
      <c r="S3309" s="6">
        <f>Table1[[#This Row],[pledged]]/Table1[[#This Row],[goal]]</f>
        <v>1.0668</v>
      </c>
      <c r="T3309" s="8">
        <f>IF(Table1[[#This Row],[pledged]]=0,"no backers",Table1[[#This Row],[pledged]]/Table1[[#This Row],[backers_count]])</f>
        <v>53.339999999999996</v>
      </c>
      <c r="U3309" t="str">
        <f>LEFT(Table1[[#This Row],[Category and Sub-Category]],FIND("/",Table1[[#This Row],[Category and Sub-Category]])-1)</f>
        <v>theater</v>
      </c>
      <c r="V3309" t="str">
        <f>RIGHT(Table1[[#This Row],[Category and Sub-Category]],LEN(Table1[[#This Row],[Category and Sub-Category]])-FIND("/",Table1[[#This Row],[Category and Sub-Category]]))</f>
        <v>plays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 s="12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>((Table1[[#This Row],[deadline]]/60)/60/24)+DATE(1970,1,1)</f>
        <v>42473.876909722225</v>
      </c>
      <c r="K3310">
        <v>1458766965</v>
      </c>
      <c r="L3310" s="11">
        <f>((Table1[[#This Row],[launched_at]]/60)/60/24)+DATE(1970,1,1)</f>
        <v>42452.876909722225</v>
      </c>
      <c r="M3310">
        <f>MONTH(Table1[[#This Row],[Date Created Conversion]])</f>
        <v>3</v>
      </c>
      <c r="N3310">
        <f>YEAR(Table1[[#This Row],[Date Created Conversion]])</f>
        <v>2016</v>
      </c>
      <c r="O3310" t="b">
        <v>0</v>
      </c>
      <c r="P3310">
        <v>57</v>
      </c>
      <c r="Q3310" t="b">
        <v>1</v>
      </c>
      <c r="R3310" t="s">
        <v>8271</v>
      </c>
      <c r="S3310" s="6">
        <f>Table1[[#This Row],[pledged]]/Table1[[#This Row],[goal]]</f>
        <v>1.2228571428571429</v>
      </c>
      <c r="T3310" s="8">
        <f>IF(Table1[[#This Row],[pledged]]=0,"no backers",Table1[[#This Row],[pledged]]/Table1[[#This Row],[backers_count]])</f>
        <v>75.087719298245617</v>
      </c>
      <c r="U3310" t="str">
        <f>LEFT(Table1[[#This Row],[Category and Sub-Category]],FIND("/",Table1[[#This Row],[Category and Sub-Category]])-1)</f>
        <v>theater</v>
      </c>
      <c r="V3310" t="str">
        <f>RIGHT(Table1[[#This Row],[Category and Sub-Category]],LEN(Table1[[#This Row],[Category and Sub-Category]])-FIND("/",Table1[[#This Row],[Category and Sub-Category]]))</f>
        <v>plays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 s="12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>((Table1[[#This Row],[deadline]]/60)/60/24)+DATE(1970,1,1)</f>
        <v>42659.650208333333</v>
      </c>
      <c r="K3311">
        <v>1473953778</v>
      </c>
      <c r="L3311" s="11">
        <f>((Table1[[#This Row],[launched_at]]/60)/60/24)+DATE(1970,1,1)</f>
        <v>42628.650208333333</v>
      </c>
      <c r="M3311">
        <f>MONTH(Table1[[#This Row],[Date Created Conversion]])</f>
        <v>9</v>
      </c>
      <c r="N3311">
        <f>YEAR(Table1[[#This Row],[Date Created Conversion]])</f>
        <v>2016</v>
      </c>
      <c r="O3311" t="b">
        <v>0</v>
      </c>
      <c r="P3311">
        <v>31</v>
      </c>
      <c r="Q3311" t="b">
        <v>1</v>
      </c>
      <c r="R3311" t="s">
        <v>8271</v>
      </c>
      <c r="S3311" s="6">
        <f>Table1[[#This Row],[pledged]]/Table1[[#This Row],[goal]]</f>
        <v>1.5942857142857143</v>
      </c>
      <c r="T3311" s="8">
        <f>IF(Table1[[#This Row],[pledged]]=0,"no backers",Table1[[#This Row],[pledged]]/Table1[[#This Row],[backers_count]])</f>
        <v>18</v>
      </c>
      <c r="U3311" t="str">
        <f>LEFT(Table1[[#This Row],[Category and Sub-Category]],FIND("/",Table1[[#This Row],[Category and Sub-Category]])-1)</f>
        <v>theater</v>
      </c>
      <c r="V3311" t="str">
        <f>RIGHT(Table1[[#This Row],[Category and Sub-Category]],LEN(Table1[[#This Row],[Category and Sub-Category]])-FIND("/",Table1[[#This Row],[Category and Sub-Category]]))</f>
        <v>plays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 s="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>((Table1[[#This Row],[deadline]]/60)/60/24)+DATE(1970,1,1)</f>
        <v>42283.928530092591</v>
      </c>
      <c r="K3312">
        <v>1441577825</v>
      </c>
      <c r="L3312" s="11">
        <f>((Table1[[#This Row],[launched_at]]/60)/60/24)+DATE(1970,1,1)</f>
        <v>42253.928530092591</v>
      </c>
      <c r="M3312">
        <f>MONTH(Table1[[#This Row],[Date Created Conversion]])</f>
        <v>9</v>
      </c>
      <c r="N3312">
        <f>YEAR(Table1[[#This Row],[Date Created Conversion]])</f>
        <v>2015</v>
      </c>
      <c r="O3312" t="b">
        <v>0</v>
      </c>
      <c r="P3312">
        <v>31</v>
      </c>
      <c r="Q3312" t="b">
        <v>1</v>
      </c>
      <c r="R3312" t="s">
        <v>8271</v>
      </c>
      <c r="S3312" s="6">
        <f>Table1[[#This Row],[pledged]]/Table1[[#This Row],[goal]]</f>
        <v>1.0007692307692309</v>
      </c>
      <c r="T3312" s="8">
        <f>IF(Table1[[#This Row],[pledged]]=0,"no backers",Table1[[#This Row],[pledged]]/Table1[[#This Row],[backers_count]])</f>
        <v>209.83870967741936</v>
      </c>
      <c r="U3312" t="str">
        <f>LEFT(Table1[[#This Row],[Category and Sub-Category]],FIND("/",Table1[[#This Row],[Category and Sub-Category]])-1)</f>
        <v>theater</v>
      </c>
      <c r="V3312" t="str">
        <f>RIGHT(Table1[[#This Row],[Category and Sub-Category]],LEN(Table1[[#This Row],[Category and Sub-Category]])-FIND("/",Table1[[#This Row],[Category and Sub-Category]]))</f>
        <v>plays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 s="12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>((Table1[[#This Row],[deadline]]/60)/60/24)+DATE(1970,1,1)</f>
        <v>42294.29178240741</v>
      </c>
      <c r="K3313">
        <v>1442473210</v>
      </c>
      <c r="L3313" s="11">
        <f>((Table1[[#This Row],[launched_at]]/60)/60/24)+DATE(1970,1,1)</f>
        <v>42264.29178240741</v>
      </c>
      <c r="M3313">
        <f>MONTH(Table1[[#This Row],[Date Created Conversion]])</f>
        <v>9</v>
      </c>
      <c r="N3313">
        <f>YEAR(Table1[[#This Row],[Date Created Conversion]])</f>
        <v>2015</v>
      </c>
      <c r="O3313" t="b">
        <v>0</v>
      </c>
      <c r="P3313">
        <v>45</v>
      </c>
      <c r="Q3313" t="b">
        <v>1</v>
      </c>
      <c r="R3313" t="s">
        <v>8271</v>
      </c>
      <c r="S3313" s="6">
        <f>Table1[[#This Row],[pledged]]/Table1[[#This Row],[goal]]</f>
        <v>1.0984</v>
      </c>
      <c r="T3313" s="8">
        <f>IF(Table1[[#This Row],[pledged]]=0,"no backers",Table1[[#This Row],[pledged]]/Table1[[#This Row],[backers_count]])</f>
        <v>61.022222222222226</v>
      </c>
      <c r="U3313" t="str">
        <f>LEFT(Table1[[#This Row],[Category and Sub-Category]],FIND("/",Table1[[#This Row],[Category and Sub-Category]])-1)</f>
        <v>theater</v>
      </c>
      <c r="V3313" t="str">
        <f>RIGHT(Table1[[#This Row],[Category and Sub-Category]],LEN(Table1[[#This Row],[Category and Sub-Category]])-FIND("/",Table1[[#This Row],[Category and Sub-Category]]))</f>
        <v>plays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 s="12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>((Table1[[#This Row],[deadline]]/60)/60/24)+DATE(1970,1,1)</f>
        <v>42685.916666666672</v>
      </c>
      <c r="K3314">
        <v>1477077946</v>
      </c>
      <c r="L3314" s="11">
        <f>((Table1[[#This Row],[launched_at]]/60)/60/24)+DATE(1970,1,1)</f>
        <v>42664.809560185182</v>
      </c>
      <c r="M3314">
        <f>MONTH(Table1[[#This Row],[Date Created Conversion]])</f>
        <v>10</v>
      </c>
      <c r="N3314">
        <f>YEAR(Table1[[#This Row],[Date Created Conversion]])</f>
        <v>2016</v>
      </c>
      <c r="O3314" t="b">
        <v>0</v>
      </c>
      <c r="P3314">
        <v>41</v>
      </c>
      <c r="Q3314" t="b">
        <v>1</v>
      </c>
      <c r="R3314" t="s">
        <v>8271</v>
      </c>
      <c r="S3314" s="6">
        <f>Table1[[#This Row],[pledged]]/Table1[[#This Row],[goal]]</f>
        <v>1.0004</v>
      </c>
      <c r="T3314" s="8">
        <f>IF(Table1[[#This Row],[pledged]]=0,"no backers",Table1[[#This Row],[pledged]]/Table1[[#This Row],[backers_count]])</f>
        <v>61</v>
      </c>
      <c r="U3314" t="str">
        <f>LEFT(Table1[[#This Row],[Category and Sub-Category]],FIND("/",Table1[[#This Row],[Category and Sub-Category]])-1)</f>
        <v>theater</v>
      </c>
      <c r="V3314" t="str">
        <f>RIGHT(Table1[[#This Row],[Category and Sub-Category]],LEN(Table1[[#This Row],[Category and Sub-Category]])-FIND("/",Table1[[#This Row],[Category and Sub-Category]]))</f>
        <v>plays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 s="12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>((Table1[[#This Row],[deadline]]/60)/60/24)+DATE(1970,1,1)</f>
        <v>42396.041666666672</v>
      </c>
      <c r="K3315">
        <v>1452664317</v>
      </c>
      <c r="L3315" s="11">
        <f>((Table1[[#This Row],[launched_at]]/60)/60/24)+DATE(1970,1,1)</f>
        <v>42382.244409722218</v>
      </c>
      <c r="M3315">
        <f>MONTH(Table1[[#This Row],[Date Created Conversion]])</f>
        <v>1</v>
      </c>
      <c r="N3315">
        <f>YEAR(Table1[[#This Row],[Date Created Conversion]])</f>
        <v>2016</v>
      </c>
      <c r="O3315" t="b">
        <v>0</v>
      </c>
      <c r="P3315">
        <v>29</v>
      </c>
      <c r="Q3315" t="b">
        <v>1</v>
      </c>
      <c r="R3315" t="s">
        <v>8271</v>
      </c>
      <c r="S3315" s="6">
        <f>Table1[[#This Row],[pledged]]/Table1[[#This Row],[goal]]</f>
        <v>1.1605000000000001</v>
      </c>
      <c r="T3315" s="8">
        <f>IF(Table1[[#This Row],[pledged]]=0,"no backers",Table1[[#This Row],[pledged]]/Table1[[#This Row],[backers_count]])</f>
        <v>80.034482758620683</v>
      </c>
      <c r="U3315" t="str">
        <f>LEFT(Table1[[#This Row],[Category and Sub-Category]],FIND("/",Table1[[#This Row],[Category and Sub-Category]])-1)</f>
        <v>theater</v>
      </c>
      <c r="V3315" t="str">
        <f>RIGHT(Table1[[#This Row],[Category and Sub-Category]],LEN(Table1[[#This Row],[Category and Sub-Category]])-FIND("/",Table1[[#This Row],[Category and Sub-Category]]))</f>
        <v>plays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 s="12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>((Table1[[#This Row],[deadline]]/60)/60/24)+DATE(1970,1,1)</f>
        <v>42132.836805555555</v>
      </c>
      <c r="K3316">
        <v>1428733511</v>
      </c>
      <c r="L3316" s="11">
        <f>((Table1[[#This Row],[launched_at]]/60)/60/24)+DATE(1970,1,1)</f>
        <v>42105.267488425925</v>
      </c>
      <c r="M3316">
        <f>MONTH(Table1[[#This Row],[Date Created Conversion]])</f>
        <v>4</v>
      </c>
      <c r="N3316">
        <f>YEAR(Table1[[#This Row],[Date Created Conversion]])</f>
        <v>2015</v>
      </c>
      <c r="O3316" t="b">
        <v>0</v>
      </c>
      <c r="P3316">
        <v>58</v>
      </c>
      <c r="Q3316" t="b">
        <v>1</v>
      </c>
      <c r="R3316" t="s">
        <v>8271</v>
      </c>
      <c r="S3316" s="6">
        <f>Table1[[#This Row],[pledged]]/Table1[[#This Row],[goal]]</f>
        <v>2.1074999999999999</v>
      </c>
      <c r="T3316" s="8">
        <f>IF(Table1[[#This Row],[pledged]]=0,"no backers",Table1[[#This Row],[pledged]]/Table1[[#This Row],[backers_count]])</f>
        <v>29.068965517241381</v>
      </c>
      <c r="U3316" t="str">
        <f>LEFT(Table1[[#This Row],[Category and Sub-Category]],FIND("/",Table1[[#This Row],[Category and Sub-Category]])-1)</f>
        <v>theater</v>
      </c>
      <c r="V3316" t="str">
        <f>RIGHT(Table1[[#This Row],[Category and Sub-Category]],LEN(Table1[[#This Row],[Category and Sub-Category]])-FIND("/",Table1[[#This Row],[Category and Sub-Category]]))</f>
        <v>plays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 s="12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>((Table1[[#This Row],[deadline]]/60)/60/24)+DATE(1970,1,1)</f>
        <v>42496.303715277783</v>
      </c>
      <c r="K3317">
        <v>1459927041</v>
      </c>
      <c r="L3317" s="11">
        <f>((Table1[[#This Row],[launched_at]]/60)/60/24)+DATE(1970,1,1)</f>
        <v>42466.303715277783</v>
      </c>
      <c r="M3317">
        <f>MONTH(Table1[[#This Row],[Date Created Conversion]])</f>
        <v>4</v>
      </c>
      <c r="N3317">
        <f>YEAR(Table1[[#This Row],[Date Created Conversion]])</f>
        <v>2016</v>
      </c>
      <c r="O3317" t="b">
        <v>0</v>
      </c>
      <c r="P3317">
        <v>89</v>
      </c>
      <c r="Q3317" t="b">
        <v>1</v>
      </c>
      <c r="R3317" t="s">
        <v>8271</v>
      </c>
      <c r="S3317" s="6">
        <f>Table1[[#This Row],[pledged]]/Table1[[#This Row],[goal]]</f>
        <v>1.1000000000000001</v>
      </c>
      <c r="T3317" s="8">
        <f>IF(Table1[[#This Row],[pledged]]=0,"no backers",Table1[[#This Row],[pledged]]/Table1[[#This Row],[backers_count]])</f>
        <v>49.438202247191015</v>
      </c>
      <c r="U3317" t="str">
        <f>LEFT(Table1[[#This Row],[Category and Sub-Category]],FIND("/",Table1[[#This Row],[Category and Sub-Category]])-1)</f>
        <v>theater</v>
      </c>
      <c r="V3317" t="str">
        <f>RIGHT(Table1[[#This Row],[Category and Sub-Category]],LEN(Table1[[#This Row],[Category and Sub-Category]])-FIND("/",Table1[[#This Row],[Category and Sub-Category]]))</f>
        <v>plays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 s="12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>((Table1[[#This Row],[deadline]]/60)/60/24)+DATE(1970,1,1)</f>
        <v>41859.57916666667</v>
      </c>
      <c r="K3318">
        <v>1404680075</v>
      </c>
      <c r="L3318" s="11">
        <f>((Table1[[#This Row],[launched_at]]/60)/60/24)+DATE(1970,1,1)</f>
        <v>41826.871238425927</v>
      </c>
      <c r="M3318">
        <f>MONTH(Table1[[#This Row],[Date Created Conversion]])</f>
        <v>7</v>
      </c>
      <c r="N3318">
        <f>YEAR(Table1[[#This Row],[Date Created Conversion]])</f>
        <v>2014</v>
      </c>
      <c r="O3318" t="b">
        <v>0</v>
      </c>
      <c r="P3318">
        <v>125</v>
      </c>
      <c r="Q3318" t="b">
        <v>1</v>
      </c>
      <c r="R3318" t="s">
        <v>8271</v>
      </c>
      <c r="S3318" s="6">
        <f>Table1[[#This Row],[pledged]]/Table1[[#This Row],[goal]]</f>
        <v>1.0008673425918038</v>
      </c>
      <c r="T3318" s="8">
        <f>IF(Table1[[#This Row],[pledged]]=0,"no backers",Table1[[#This Row],[pledged]]/Table1[[#This Row],[backers_count]])</f>
        <v>93.977440000000001</v>
      </c>
      <c r="U3318" t="str">
        <f>LEFT(Table1[[#This Row],[Category and Sub-Category]],FIND("/",Table1[[#This Row],[Category and Sub-Category]])-1)</f>
        <v>theater</v>
      </c>
      <c r="V3318" t="str">
        <f>RIGHT(Table1[[#This Row],[Category and Sub-Category]],LEN(Table1[[#This Row],[Category and Sub-Category]])-FIND("/",Table1[[#This Row],[Category and Sub-Category]]))</f>
        <v>plays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 s="12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>((Table1[[#This Row],[deadline]]/60)/60/24)+DATE(1970,1,1)</f>
        <v>42529.039629629624</v>
      </c>
      <c r="K3319">
        <v>1462755424</v>
      </c>
      <c r="L3319" s="11">
        <f>((Table1[[#This Row],[launched_at]]/60)/60/24)+DATE(1970,1,1)</f>
        <v>42499.039629629624</v>
      </c>
      <c r="M3319">
        <f>MONTH(Table1[[#This Row],[Date Created Conversion]])</f>
        <v>5</v>
      </c>
      <c r="N3319">
        <f>YEAR(Table1[[#This Row],[Date Created Conversion]])</f>
        <v>2016</v>
      </c>
      <c r="O3319" t="b">
        <v>0</v>
      </c>
      <c r="P3319">
        <v>18</v>
      </c>
      <c r="Q3319" t="b">
        <v>1</v>
      </c>
      <c r="R3319" t="s">
        <v>8271</v>
      </c>
      <c r="S3319" s="6">
        <f>Table1[[#This Row],[pledged]]/Table1[[#This Row],[goal]]</f>
        <v>1.0619047619047619</v>
      </c>
      <c r="T3319" s="8">
        <f>IF(Table1[[#This Row],[pledged]]=0,"no backers",Table1[[#This Row],[pledged]]/Table1[[#This Row],[backers_count]])</f>
        <v>61.944444444444443</v>
      </c>
      <c r="U3319" t="str">
        <f>LEFT(Table1[[#This Row],[Category and Sub-Category]],FIND("/",Table1[[#This Row],[Category and Sub-Category]])-1)</f>
        <v>theater</v>
      </c>
      <c r="V3319" t="str">
        <f>RIGHT(Table1[[#This Row],[Category and Sub-Category]],LEN(Table1[[#This Row],[Category and Sub-Category]])-FIND("/",Table1[[#This Row],[Category and Sub-Category]]))</f>
        <v>plays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 s="12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>((Table1[[#This Row],[deadline]]/60)/60/24)+DATE(1970,1,1)</f>
        <v>42471.104166666672</v>
      </c>
      <c r="K3320">
        <v>1456902893</v>
      </c>
      <c r="L3320" s="11">
        <f>((Table1[[#This Row],[launched_at]]/60)/60/24)+DATE(1970,1,1)</f>
        <v>42431.302002314813</v>
      </c>
      <c r="M3320">
        <f>MONTH(Table1[[#This Row],[Date Created Conversion]])</f>
        <v>3</v>
      </c>
      <c r="N3320">
        <f>YEAR(Table1[[#This Row],[Date Created Conversion]])</f>
        <v>2016</v>
      </c>
      <c r="O3320" t="b">
        <v>0</v>
      </c>
      <c r="P3320">
        <v>32</v>
      </c>
      <c r="Q3320" t="b">
        <v>1</v>
      </c>
      <c r="R3320" t="s">
        <v>8271</v>
      </c>
      <c r="S3320" s="6">
        <f>Table1[[#This Row],[pledged]]/Table1[[#This Row],[goal]]</f>
        <v>1.256</v>
      </c>
      <c r="T3320" s="8">
        <f>IF(Table1[[#This Row],[pledged]]=0,"no backers",Table1[[#This Row],[pledged]]/Table1[[#This Row],[backers_count]])</f>
        <v>78.5</v>
      </c>
      <c r="U3320" t="str">
        <f>LEFT(Table1[[#This Row],[Category and Sub-Category]],FIND("/",Table1[[#This Row],[Category and Sub-Category]])-1)</f>
        <v>theater</v>
      </c>
      <c r="V3320" t="str">
        <f>RIGHT(Table1[[#This Row],[Category and Sub-Category]],LEN(Table1[[#This Row],[Category and Sub-Category]])-FIND("/",Table1[[#This Row],[Category and Sub-Category]]))</f>
        <v>plays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 s="12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>((Table1[[#This Row],[deadline]]/60)/60/24)+DATE(1970,1,1)</f>
        <v>42035.585486111115</v>
      </c>
      <c r="K3321">
        <v>1418824986</v>
      </c>
      <c r="L3321" s="11">
        <f>((Table1[[#This Row],[launched_at]]/60)/60/24)+DATE(1970,1,1)</f>
        <v>41990.585486111115</v>
      </c>
      <c r="M3321">
        <f>MONTH(Table1[[#This Row],[Date Created Conversion]])</f>
        <v>12</v>
      </c>
      <c r="N3321">
        <f>YEAR(Table1[[#This Row],[Date Created Conversion]])</f>
        <v>2014</v>
      </c>
      <c r="O3321" t="b">
        <v>0</v>
      </c>
      <c r="P3321">
        <v>16</v>
      </c>
      <c r="Q3321" t="b">
        <v>1</v>
      </c>
      <c r="R3321" t="s">
        <v>8271</v>
      </c>
      <c r="S3321" s="6">
        <f>Table1[[#This Row],[pledged]]/Table1[[#This Row],[goal]]</f>
        <v>1.08</v>
      </c>
      <c r="T3321" s="8">
        <f>IF(Table1[[#This Row],[pledged]]=0,"no backers",Table1[[#This Row],[pledged]]/Table1[[#This Row],[backers_count]])</f>
        <v>33.75</v>
      </c>
      <c r="U3321" t="str">
        <f>LEFT(Table1[[#This Row],[Category and Sub-Category]],FIND("/",Table1[[#This Row],[Category and Sub-Category]])-1)</f>
        <v>theater</v>
      </c>
      <c r="V3321" t="str">
        <f>RIGHT(Table1[[#This Row],[Category and Sub-Category]],LEN(Table1[[#This Row],[Category and Sub-Category]])-FIND("/",Table1[[#This Row],[Category and Sub-Category]]))</f>
        <v>plays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 s="1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>((Table1[[#This Row],[deadline]]/60)/60/24)+DATE(1970,1,1)</f>
        <v>42543.045798611114</v>
      </c>
      <c r="K3322">
        <v>1463965557</v>
      </c>
      <c r="L3322" s="11">
        <f>((Table1[[#This Row],[launched_at]]/60)/60/24)+DATE(1970,1,1)</f>
        <v>42513.045798611114</v>
      </c>
      <c r="M3322">
        <f>MONTH(Table1[[#This Row],[Date Created Conversion]])</f>
        <v>5</v>
      </c>
      <c r="N3322">
        <f>YEAR(Table1[[#This Row],[Date Created Conversion]])</f>
        <v>2016</v>
      </c>
      <c r="O3322" t="b">
        <v>0</v>
      </c>
      <c r="P3322">
        <v>38</v>
      </c>
      <c r="Q3322" t="b">
        <v>1</v>
      </c>
      <c r="R3322" t="s">
        <v>8271</v>
      </c>
      <c r="S3322" s="6">
        <f>Table1[[#This Row],[pledged]]/Table1[[#This Row],[goal]]</f>
        <v>1.01</v>
      </c>
      <c r="T3322" s="8">
        <f>IF(Table1[[#This Row],[pledged]]=0,"no backers",Table1[[#This Row],[pledged]]/Table1[[#This Row],[backers_count]])</f>
        <v>66.44736842105263</v>
      </c>
      <c r="U3322" t="str">
        <f>LEFT(Table1[[#This Row],[Category and Sub-Category]],FIND("/",Table1[[#This Row],[Category and Sub-Category]])-1)</f>
        <v>theater</v>
      </c>
      <c r="V3322" t="str">
        <f>RIGHT(Table1[[#This Row],[Category and Sub-Category]],LEN(Table1[[#This Row],[Category and Sub-Category]])-FIND("/",Table1[[#This Row],[Category and Sub-Category]]))</f>
        <v>plays</v>
      </c>
    </row>
    <row r="3323" spans="1:22" ht="57.6" x14ac:dyDescent="0.3">
      <c r="A3323">
        <v>3321</v>
      </c>
      <c r="B3323" s="3" t="s">
        <v>3321</v>
      </c>
      <c r="C3323" s="3" t="s">
        <v>7431</v>
      </c>
      <c r="D3323" s="12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>((Table1[[#This Row],[deadline]]/60)/60/24)+DATE(1970,1,1)</f>
        <v>41928.165972222225</v>
      </c>
      <c r="K3323">
        <v>1412216665</v>
      </c>
      <c r="L3323" s="11">
        <f>((Table1[[#This Row],[launched_at]]/60)/60/24)+DATE(1970,1,1)</f>
        <v>41914.100289351853</v>
      </c>
      <c r="M3323">
        <f>MONTH(Table1[[#This Row],[Date Created Conversion]])</f>
        <v>10</v>
      </c>
      <c r="N3323">
        <f>YEAR(Table1[[#This Row],[Date Created Conversion]])</f>
        <v>2014</v>
      </c>
      <c r="O3323" t="b">
        <v>0</v>
      </c>
      <c r="P3323">
        <v>15</v>
      </c>
      <c r="Q3323" t="b">
        <v>1</v>
      </c>
      <c r="R3323" t="s">
        <v>8271</v>
      </c>
      <c r="S3323" s="6">
        <f>Table1[[#This Row],[pledged]]/Table1[[#This Row],[goal]]</f>
        <v>1.0740000000000001</v>
      </c>
      <c r="T3323" s="8">
        <f>IF(Table1[[#This Row],[pledged]]=0,"no backers",Table1[[#This Row],[pledged]]/Table1[[#This Row],[backers_count]])</f>
        <v>35.799999999999997</v>
      </c>
      <c r="U3323" t="str">
        <f>LEFT(Table1[[#This Row],[Category and Sub-Category]],FIND("/",Table1[[#This Row],[Category and Sub-Category]])-1)</f>
        <v>theater</v>
      </c>
      <c r="V3323" t="str">
        <f>RIGHT(Table1[[#This Row],[Category and Sub-Category]],LEN(Table1[[#This Row],[Category and Sub-Category]])-FIND("/",Table1[[#This Row],[Category and Sub-Category]]))</f>
        <v>plays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 s="12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>((Table1[[#This Row],[deadline]]/60)/60/24)+DATE(1970,1,1)</f>
        <v>42543.163194444445</v>
      </c>
      <c r="K3324">
        <v>1464653696</v>
      </c>
      <c r="L3324" s="11">
        <f>((Table1[[#This Row],[launched_at]]/60)/60/24)+DATE(1970,1,1)</f>
        <v>42521.010370370372</v>
      </c>
      <c r="M3324">
        <f>MONTH(Table1[[#This Row],[Date Created Conversion]])</f>
        <v>5</v>
      </c>
      <c r="N3324">
        <f>YEAR(Table1[[#This Row],[Date Created Conversion]])</f>
        <v>2016</v>
      </c>
      <c r="O3324" t="b">
        <v>0</v>
      </c>
      <c r="P3324">
        <v>23</v>
      </c>
      <c r="Q3324" t="b">
        <v>1</v>
      </c>
      <c r="R3324" t="s">
        <v>8271</v>
      </c>
      <c r="S3324" s="6">
        <f>Table1[[#This Row],[pledged]]/Table1[[#This Row],[goal]]</f>
        <v>1.0151515151515151</v>
      </c>
      <c r="T3324" s="8">
        <f>IF(Table1[[#This Row],[pledged]]=0,"no backers",Table1[[#This Row],[pledged]]/Table1[[#This Row],[backers_count]])</f>
        <v>145.65217391304347</v>
      </c>
      <c r="U3324" t="str">
        <f>LEFT(Table1[[#This Row],[Category and Sub-Category]],FIND("/",Table1[[#This Row],[Category and Sub-Category]])-1)</f>
        <v>theater</v>
      </c>
      <c r="V3324" t="str">
        <f>RIGHT(Table1[[#This Row],[Category and Sub-Category]],LEN(Table1[[#This Row],[Category and Sub-Category]])-FIND("/",Table1[[#This Row],[Category and Sub-Category]]))</f>
        <v>plays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 s="12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>((Table1[[#This Row],[deadline]]/60)/60/24)+DATE(1970,1,1)</f>
        <v>42638.36583333333</v>
      </c>
      <c r="K3325">
        <v>1472201208</v>
      </c>
      <c r="L3325" s="11">
        <f>((Table1[[#This Row],[launched_at]]/60)/60/24)+DATE(1970,1,1)</f>
        <v>42608.36583333333</v>
      </c>
      <c r="M3325">
        <f>MONTH(Table1[[#This Row],[Date Created Conversion]])</f>
        <v>8</v>
      </c>
      <c r="N3325">
        <f>YEAR(Table1[[#This Row],[Date Created Conversion]])</f>
        <v>2016</v>
      </c>
      <c r="O3325" t="b">
        <v>0</v>
      </c>
      <c r="P3325">
        <v>49</v>
      </c>
      <c r="Q3325" t="b">
        <v>1</v>
      </c>
      <c r="R3325" t="s">
        <v>8271</v>
      </c>
      <c r="S3325" s="6">
        <f>Table1[[#This Row],[pledged]]/Table1[[#This Row],[goal]]</f>
        <v>1.2589999999999999</v>
      </c>
      <c r="T3325" s="8">
        <f>IF(Table1[[#This Row],[pledged]]=0,"no backers",Table1[[#This Row],[pledged]]/Table1[[#This Row],[backers_count]])</f>
        <v>25.693877551020407</v>
      </c>
      <c r="U3325" t="str">
        <f>LEFT(Table1[[#This Row],[Category and Sub-Category]],FIND("/",Table1[[#This Row],[Category and Sub-Category]])-1)</f>
        <v>theater</v>
      </c>
      <c r="V3325" t="str">
        <f>RIGHT(Table1[[#This Row],[Category and Sub-Category]],LEN(Table1[[#This Row],[Category and Sub-Category]])-FIND("/",Table1[[#This Row],[Category and Sub-Category]]))</f>
        <v>plays</v>
      </c>
    </row>
    <row r="3326" spans="1:22" ht="43.2" x14ac:dyDescent="0.3">
      <c r="A3326">
        <v>3324</v>
      </c>
      <c r="B3326" s="3" t="s">
        <v>3324</v>
      </c>
      <c r="C3326" s="3" t="s">
        <v>7434</v>
      </c>
      <c r="D3326" s="12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>((Table1[[#This Row],[deadline]]/60)/60/24)+DATE(1970,1,1)</f>
        <v>42526.58321759259</v>
      </c>
      <c r="K3326">
        <v>1463925590</v>
      </c>
      <c r="L3326" s="11">
        <f>((Table1[[#This Row],[launched_at]]/60)/60/24)+DATE(1970,1,1)</f>
        <v>42512.58321759259</v>
      </c>
      <c r="M3326">
        <f>MONTH(Table1[[#This Row],[Date Created Conversion]])</f>
        <v>5</v>
      </c>
      <c r="N3326">
        <f>YEAR(Table1[[#This Row],[Date Created Conversion]])</f>
        <v>2016</v>
      </c>
      <c r="O3326" t="b">
        <v>0</v>
      </c>
      <c r="P3326">
        <v>10</v>
      </c>
      <c r="Q3326" t="b">
        <v>1</v>
      </c>
      <c r="R3326" t="s">
        <v>8271</v>
      </c>
      <c r="S3326" s="6">
        <f>Table1[[#This Row],[pledged]]/Table1[[#This Row],[goal]]</f>
        <v>1.0166666666666666</v>
      </c>
      <c r="T3326" s="8">
        <f>IF(Table1[[#This Row],[pledged]]=0,"no backers",Table1[[#This Row],[pledged]]/Table1[[#This Row],[backers_count]])</f>
        <v>152.5</v>
      </c>
      <c r="U3326" t="str">
        <f>LEFT(Table1[[#This Row],[Category and Sub-Category]],FIND("/",Table1[[#This Row],[Category and Sub-Category]])-1)</f>
        <v>theater</v>
      </c>
      <c r="V3326" t="str">
        <f>RIGHT(Table1[[#This Row],[Category and Sub-Category]],LEN(Table1[[#This Row],[Category and Sub-Category]])-FIND("/",Table1[[#This Row],[Category and Sub-Category]]))</f>
        <v>plays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 s="12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>((Table1[[#This Row],[deadline]]/60)/60/24)+DATE(1970,1,1)</f>
        <v>42099.743946759263</v>
      </c>
      <c r="K3327">
        <v>1425235877</v>
      </c>
      <c r="L3327" s="11">
        <f>((Table1[[#This Row],[launched_at]]/60)/60/24)+DATE(1970,1,1)</f>
        <v>42064.785613425927</v>
      </c>
      <c r="M3327">
        <f>MONTH(Table1[[#This Row],[Date Created Conversion]])</f>
        <v>3</v>
      </c>
      <c r="N3327">
        <f>YEAR(Table1[[#This Row],[Date Created Conversion]])</f>
        <v>2015</v>
      </c>
      <c r="O3327" t="b">
        <v>0</v>
      </c>
      <c r="P3327">
        <v>15</v>
      </c>
      <c r="Q3327" t="b">
        <v>1</v>
      </c>
      <c r="R3327" t="s">
        <v>8271</v>
      </c>
      <c r="S3327" s="6">
        <f>Table1[[#This Row],[pledged]]/Table1[[#This Row],[goal]]</f>
        <v>1.125</v>
      </c>
      <c r="T3327" s="8">
        <f>IF(Table1[[#This Row],[pledged]]=0,"no backers",Table1[[#This Row],[pledged]]/Table1[[#This Row],[backers_count]])</f>
        <v>30</v>
      </c>
      <c r="U3327" t="str">
        <f>LEFT(Table1[[#This Row],[Category and Sub-Category]],FIND("/",Table1[[#This Row],[Category and Sub-Category]])-1)</f>
        <v>theater</v>
      </c>
      <c r="V3327" t="str">
        <f>RIGHT(Table1[[#This Row],[Category and Sub-Category]],LEN(Table1[[#This Row],[Category and Sub-Category]])-FIND("/",Table1[[#This Row],[Category and Sub-Category]]))</f>
        <v>plays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 s="12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>((Table1[[#This Row],[deadline]]/60)/60/24)+DATE(1970,1,1)</f>
        <v>42071.67251157407</v>
      </c>
      <c r="K3328">
        <v>1423242505</v>
      </c>
      <c r="L3328" s="11">
        <f>((Table1[[#This Row],[launched_at]]/60)/60/24)+DATE(1970,1,1)</f>
        <v>42041.714178240742</v>
      </c>
      <c r="M3328">
        <f>MONTH(Table1[[#This Row],[Date Created Conversion]])</f>
        <v>2</v>
      </c>
      <c r="N3328">
        <f>YEAR(Table1[[#This Row],[Date Created Conversion]])</f>
        <v>2015</v>
      </c>
      <c r="O3328" t="b">
        <v>0</v>
      </c>
      <c r="P3328">
        <v>57</v>
      </c>
      <c r="Q3328" t="b">
        <v>1</v>
      </c>
      <c r="R3328" t="s">
        <v>8271</v>
      </c>
      <c r="S3328" s="6">
        <f>Table1[[#This Row],[pledged]]/Table1[[#This Row],[goal]]</f>
        <v>1.0137499999999999</v>
      </c>
      <c r="T3328" s="8">
        <f>IF(Table1[[#This Row],[pledged]]=0,"no backers",Table1[[#This Row],[pledged]]/Table1[[#This Row],[backers_count]])</f>
        <v>142.28070175438597</v>
      </c>
      <c r="U3328" t="str">
        <f>LEFT(Table1[[#This Row],[Category and Sub-Category]],FIND("/",Table1[[#This Row],[Category and Sub-Category]])-1)</f>
        <v>theater</v>
      </c>
      <c r="V3328" t="str">
        <f>RIGHT(Table1[[#This Row],[Category and Sub-Category]],LEN(Table1[[#This Row],[Category and Sub-Category]])-FIND("/",Table1[[#This Row],[Category and Sub-Category]]))</f>
        <v>plays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 s="12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>((Table1[[#This Row],[deadline]]/60)/60/24)+DATE(1970,1,1)</f>
        <v>42498.374606481477</v>
      </c>
      <c r="K3329">
        <v>1460105966</v>
      </c>
      <c r="L3329" s="11">
        <f>((Table1[[#This Row],[launched_at]]/60)/60/24)+DATE(1970,1,1)</f>
        <v>42468.374606481477</v>
      </c>
      <c r="M3329">
        <f>MONTH(Table1[[#This Row],[Date Created Conversion]])</f>
        <v>4</v>
      </c>
      <c r="N3329">
        <f>YEAR(Table1[[#This Row],[Date Created Conversion]])</f>
        <v>2016</v>
      </c>
      <c r="O3329" t="b">
        <v>0</v>
      </c>
      <c r="P3329">
        <v>33</v>
      </c>
      <c r="Q3329" t="b">
        <v>1</v>
      </c>
      <c r="R3329" t="s">
        <v>8271</v>
      </c>
      <c r="S3329" s="6">
        <f>Table1[[#This Row],[pledged]]/Table1[[#This Row],[goal]]</f>
        <v>1.0125</v>
      </c>
      <c r="T3329" s="8">
        <f>IF(Table1[[#This Row],[pledged]]=0,"no backers",Table1[[#This Row],[pledged]]/Table1[[#This Row],[backers_count]])</f>
        <v>24.545454545454547</v>
      </c>
      <c r="U3329" t="str">
        <f>LEFT(Table1[[#This Row],[Category and Sub-Category]],FIND("/",Table1[[#This Row],[Category and Sub-Category]])-1)</f>
        <v>theater</v>
      </c>
      <c r="V3329" t="str">
        <f>RIGHT(Table1[[#This Row],[Category and Sub-Category]],LEN(Table1[[#This Row],[Category and Sub-Category]])-FIND("/",Table1[[#This Row],[Category and Sub-Category]]))</f>
        <v>plays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 s="12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>((Table1[[#This Row],[deadline]]/60)/60/24)+DATE(1970,1,1)</f>
        <v>41825.041666666664</v>
      </c>
      <c r="K3330">
        <v>1404308883</v>
      </c>
      <c r="L3330" s="11">
        <f>((Table1[[#This Row],[launched_at]]/60)/60/24)+DATE(1970,1,1)</f>
        <v>41822.57503472222</v>
      </c>
      <c r="M3330">
        <f>MONTH(Table1[[#This Row],[Date Created Conversion]])</f>
        <v>7</v>
      </c>
      <c r="N3330">
        <f>YEAR(Table1[[#This Row],[Date Created Conversion]])</f>
        <v>2014</v>
      </c>
      <c r="O3330" t="b">
        <v>0</v>
      </c>
      <c r="P3330">
        <v>9</v>
      </c>
      <c r="Q3330" t="b">
        <v>1</v>
      </c>
      <c r="R3330" t="s">
        <v>8271</v>
      </c>
      <c r="S3330" s="6">
        <f>Table1[[#This Row],[pledged]]/Table1[[#This Row],[goal]]</f>
        <v>1.4638888888888888</v>
      </c>
      <c r="T3330" s="8">
        <f>IF(Table1[[#This Row],[pledged]]=0,"no backers",Table1[[#This Row],[pledged]]/Table1[[#This Row],[backers_count]])</f>
        <v>292.77777777777777</v>
      </c>
      <c r="U3330" t="str">
        <f>LEFT(Table1[[#This Row],[Category and Sub-Category]],FIND("/",Table1[[#This Row],[Category and Sub-Category]])-1)</f>
        <v>theater</v>
      </c>
      <c r="V3330" t="str">
        <f>RIGHT(Table1[[#This Row],[Category and Sub-Category]],LEN(Table1[[#This Row],[Category and Sub-Category]])-FIND("/",Table1[[#This Row],[Category and Sub-Category]]))</f>
        <v>plays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 s="12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>((Table1[[#This Row],[deadline]]/60)/60/24)+DATE(1970,1,1)</f>
        <v>41847.958333333336</v>
      </c>
      <c r="K3331">
        <v>1405583108</v>
      </c>
      <c r="L3331" s="11">
        <f>((Table1[[#This Row],[launched_at]]/60)/60/24)+DATE(1970,1,1)</f>
        <v>41837.323009259257</v>
      </c>
      <c r="M3331">
        <f>MONTH(Table1[[#This Row],[Date Created Conversion]])</f>
        <v>7</v>
      </c>
      <c r="N3331">
        <f>YEAR(Table1[[#This Row],[Date Created Conversion]])</f>
        <v>2014</v>
      </c>
      <c r="O3331" t="b">
        <v>0</v>
      </c>
      <c r="P3331">
        <v>26</v>
      </c>
      <c r="Q3331" t="b">
        <v>1</v>
      </c>
      <c r="R3331" t="s">
        <v>8271</v>
      </c>
      <c r="S3331" s="6">
        <f>Table1[[#This Row],[pledged]]/Table1[[#This Row],[goal]]</f>
        <v>1.1679999999999999</v>
      </c>
      <c r="T3331" s="8">
        <f>IF(Table1[[#This Row],[pledged]]=0,"no backers",Table1[[#This Row],[pledged]]/Table1[[#This Row],[backers_count]])</f>
        <v>44.92307692307692</v>
      </c>
      <c r="U3331" t="str">
        <f>LEFT(Table1[[#This Row],[Category and Sub-Category]],FIND("/",Table1[[#This Row],[Category and Sub-Category]])-1)</f>
        <v>theater</v>
      </c>
      <c r="V3331" t="str">
        <f>RIGHT(Table1[[#This Row],[Category and Sub-Category]],LEN(Table1[[#This Row],[Category and Sub-Category]])-FIND("/",Table1[[#This Row],[Category and Sub-Category]]))</f>
        <v>plays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 s="1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>((Table1[[#This Row],[deadline]]/60)/60/24)+DATE(1970,1,1)</f>
        <v>42095.845694444448</v>
      </c>
      <c r="K3332">
        <v>1425331068</v>
      </c>
      <c r="L3332" s="11">
        <f>((Table1[[#This Row],[launched_at]]/60)/60/24)+DATE(1970,1,1)</f>
        <v>42065.887361111112</v>
      </c>
      <c r="M3332">
        <f>MONTH(Table1[[#This Row],[Date Created Conversion]])</f>
        <v>3</v>
      </c>
      <c r="N3332">
        <f>YEAR(Table1[[#This Row],[Date Created Conversion]])</f>
        <v>2015</v>
      </c>
      <c r="O3332" t="b">
        <v>0</v>
      </c>
      <c r="P3332">
        <v>69</v>
      </c>
      <c r="Q3332" t="b">
        <v>1</v>
      </c>
      <c r="R3332" t="s">
        <v>8271</v>
      </c>
      <c r="S3332" s="6">
        <f>Table1[[#This Row],[pledged]]/Table1[[#This Row],[goal]]</f>
        <v>1.0626666666666666</v>
      </c>
      <c r="T3332" s="8">
        <f>IF(Table1[[#This Row],[pledged]]=0,"no backers",Table1[[#This Row],[pledged]]/Table1[[#This Row],[backers_count]])</f>
        <v>23.10144927536232</v>
      </c>
      <c r="U3332" t="str">
        <f>LEFT(Table1[[#This Row],[Category and Sub-Category]],FIND("/",Table1[[#This Row],[Category and Sub-Category]])-1)</f>
        <v>theater</v>
      </c>
      <c r="V3332" t="str">
        <f>RIGHT(Table1[[#This Row],[Category and Sub-Category]],LEN(Table1[[#This Row],[Category and Sub-Category]])-FIND("/",Table1[[#This Row],[Category and Sub-Category]]))</f>
        <v>plays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 s="12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>((Table1[[#This Row],[deadline]]/60)/60/24)+DATE(1970,1,1)</f>
        <v>42283.697754629626</v>
      </c>
      <c r="K3333">
        <v>1441125886</v>
      </c>
      <c r="L3333" s="11">
        <f>((Table1[[#This Row],[launched_at]]/60)/60/24)+DATE(1970,1,1)</f>
        <v>42248.697754629626</v>
      </c>
      <c r="M3333">
        <f>MONTH(Table1[[#This Row],[Date Created Conversion]])</f>
        <v>9</v>
      </c>
      <c r="N3333">
        <f>YEAR(Table1[[#This Row],[Date Created Conversion]])</f>
        <v>2015</v>
      </c>
      <c r="O3333" t="b">
        <v>0</v>
      </c>
      <c r="P3333">
        <v>65</v>
      </c>
      <c r="Q3333" t="b">
        <v>1</v>
      </c>
      <c r="R3333" t="s">
        <v>8271</v>
      </c>
      <c r="S3333" s="6">
        <f>Table1[[#This Row],[pledged]]/Table1[[#This Row],[goal]]</f>
        <v>1.0451999999999999</v>
      </c>
      <c r="T3333" s="8">
        <f>IF(Table1[[#This Row],[pledged]]=0,"no backers",Table1[[#This Row],[pledged]]/Table1[[#This Row],[backers_count]])</f>
        <v>80.400000000000006</v>
      </c>
      <c r="U3333" t="str">
        <f>LEFT(Table1[[#This Row],[Category and Sub-Category]],FIND("/",Table1[[#This Row],[Category and Sub-Category]])-1)</f>
        <v>theater</v>
      </c>
      <c r="V3333" t="str">
        <f>RIGHT(Table1[[#This Row],[Category and Sub-Category]],LEN(Table1[[#This Row],[Category and Sub-Category]])-FIND("/",Table1[[#This Row],[Category and Sub-Category]]))</f>
        <v>plays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 s="12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>((Table1[[#This Row],[deadline]]/60)/60/24)+DATE(1970,1,1)</f>
        <v>41839.860300925924</v>
      </c>
      <c r="K3334">
        <v>1403210330</v>
      </c>
      <c r="L3334" s="11">
        <f>((Table1[[#This Row],[launched_at]]/60)/60/24)+DATE(1970,1,1)</f>
        <v>41809.860300925924</v>
      </c>
      <c r="M3334">
        <f>MONTH(Table1[[#This Row],[Date Created Conversion]])</f>
        <v>6</v>
      </c>
      <c r="N3334">
        <f>YEAR(Table1[[#This Row],[Date Created Conversion]])</f>
        <v>2014</v>
      </c>
      <c r="O3334" t="b">
        <v>0</v>
      </c>
      <c r="P3334">
        <v>83</v>
      </c>
      <c r="Q3334" t="b">
        <v>1</v>
      </c>
      <c r="R3334" t="s">
        <v>8271</v>
      </c>
      <c r="S3334" s="6">
        <f>Table1[[#This Row],[pledged]]/Table1[[#This Row],[goal]]</f>
        <v>1</v>
      </c>
      <c r="T3334" s="8">
        <f>IF(Table1[[#This Row],[pledged]]=0,"no backers",Table1[[#This Row],[pledged]]/Table1[[#This Row],[backers_count]])</f>
        <v>72.289156626506028</v>
      </c>
      <c r="U3334" t="str">
        <f>LEFT(Table1[[#This Row],[Category and Sub-Category]],FIND("/",Table1[[#This Row],[Category and Sub-Category]])-1)</f>
        <v>theater</v>
      </c>
      <c r="V3334" t="str">
        <f>RIGHT(Table1[[#This Row],[Category and Sub-Category]],LEN(Table1[[#This Row],[Category and Sub-Category]])-FIND("/",Table1[[#This Row],[Category and Sub-Category]]))</f>
        <v>plays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 s="12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>((Table1[[#This Row],[deadline]]/60)/60/24)+DATE(1970,1,1)</f>
        <v>42170.676851851851</v>
      </c>
      <c r="K3335">
        <v>1432484080</v>
      </c>
      <c r="L3335" s="11">
        <f>((Table1[[#This Row],[launched_at]]/60)/60/24)+DATE(1970,1,1)</f>
        <v>42148.676851851851</v>
      </c>
      <c r="M3335">
        <f>MONTH(Table1[[#This Row],[Date Created Conversion]])</f>
        <v>5</v>
      </c>
      <c r="N3335">
        <f>YEAR(Table1[[#This Row],[Date Created Conversion]])</f>
        <v>2015</v>
      </c>
      <c r="O3335" t="b">
        <v>0</v>
      </c>
      <c r="P3335">
        <v>111</v>
      </c>
      <c r="Q3335" t="b">
        <v>1</v>
      </c>
      <c r="R3335" t="s">
        <v>8271</v>
      </c>
      <c r="S3335" s="6">
        <f>Table1[[#This Row],[pledged]]/Table1[[#This Row],[goal]]</f>
        <v>1.0457142857142858</v>
      </c>
      <c r="T3335" s="8">
        <f>IF(Table1[[#This Row],[pledged]]=0,"no backers",Table1[[#This Row],[pledged]]/Table1[[#This Row],[backers_count]])</f>
        <v>32.972972972972975</v>
      </c>
      <c r="U3335" t="str">
        <f>LEFT(Table1[[#This Row],[Category and Sub-Category]],FIND("/",Table1[[#This Row],[Category and Sub-Category]])-1)</f>
        <v>theater</v>
      </c>
      <c r="V3335" t="str">
        <f>RIGHT(Table1[[#This Row],[Category and Sub-Category]],LEN(Table1[[#This Row],[Category and Sub-Category]])-FIND("/",Table1[[#This Row],[Category and Sub-Category]]))</f>
        <v>plays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 s="12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>((Table1[[#This Row],[deadline]]/60)/60/24)+DATE(1970,1,1)</f>
        <v>42215.521087962959</v>
      </c>
      <c r="K3336">
        <v>1435667422</v>
      </c>
      <c r="L3336" s="11">
        <f>((Table1[[#This Row],[launched_at]]/60)/60/24)+DATE(1970,1,1)</f>
        <v>42185.521087962959</v>
      </c>
      <c r="M3336">
        <f>MONTH(Table1[[#This Row],[Date Created Conversion]])</f>
        <v>6</v>
      </c>
      <c r="N3336">
        <f>YEAR(Table1[[#This Row],[Date Created Conversion]])</f>
        <v>2015</v>
      </c>
      <c r="O3336" t="b">
        <v>0</v>
      </c>
      <c r="P3336">
        <v>46</v>
      </c>
      <c r="Q3336" t="b">
        <v>1</v>
      </c>
      <c r="R3336" t="s">
        <v>8271</v>
      </c>
      <c r="S3336" s="6">
        <f>Table1[[#This Row],[pledged]]/Table1[[#This Row],[goal]]</f>
        <v>1.3862051149573753</v>
      </c>
      <c r="T3336" s="8">
        <f>IF(Table1[[#This Row],[pledged]]=0,"no backers",Table1[[#This Row],[pledged]]/Table1[[#This Row],[backers_count]])</f>
        <v>116.65217391304348</v>
      </c>
      <c r="U3336" t="str">
        <f>LEFT(Table1[[#This Row],[Category and Sub-Category]],FIND("/",Table1[[#This Row],[Category and Sub-Category]])-1)</f>
        <v>theater</v>
      </c>
      <c r="V3336" t="str">
        <f>RIGHT(Table1[[#This Row],[Category and Sub-Category]],LEN(Table1[[#This Row],[Category and Sub-Category]])-FIND("/",Table1[[#This Row],[Category and Sub-Category]]))</f>
        <v>plays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 s="12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>((Table1[[#This Row],[deadline]]/60)/60/24)+DATE(1970,1,1)</f>
        <v>41854.958333333336</v>
      </c>
      <c r="K3337">
        <v>1404749446</v>
      </c>
      <c r="L3337" s="11">
        <f>((Table1[[#This Row],[launched_at]]/60)/60/24)+DATE(1970,1,1)</f>
        <v>41827.674143518518</v>
      </c>
      <c r="M3337">
        <f>MONTH(Table1[[#This Row],[Date Created Conversion]])</f>
        <v>7</v>
      </c>
      <c r="N3337">
        <f>YEAR(Table1[[#This Row],[Date Created Conversion]])</f>
        <v>2014</v>
      </c>
      <c r="O3337" t="b">
        <v>0</v>
      </c>
      <c r="P3337">
        <v>63</v>
      </c>
      <c r="Q3337" t="b">
        <v>1</v>
      </c>
      <c r="R3337" t="s">
        <v>8271</v>
      </c>
      <c r="S3337" s="6">
        <f>Table1[[#This Row],[pledged]]/Table1[[#This Row],[goal]]</f>
        <v>1.0032000000000001</v>
      </c>
      <c r="T3337" s="8">
        <f>IF(Table1[[#This Row],[pledged]]=0,"no backers",Table1[[#This Row],[pledged]]/Table1[[#This Row],[backers_count]])</f>
        <v>79.61904761904762</v>
      </c>
      <c r="U3337" t="str">
        <f>LEFT(Table1[[#This Row],[Category and Sub-Category]],FIND("/",Table1[[#This Row],[Category and Sub-Category]])-1)</f>
        <v>theater</v>
      </c>
      <c r="V3337" t="str">
        <f>RIGHT(Table1[[#This Row],[Category and Sub-Category]],LEN(Table1[[#This Row],[Category and Sub-Category]])-FIND("/",Table1[[#This Row],[Category and Sub-Category]]))</f>
        <v>plays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 s="12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>((Table1[[#This Row],[deadline]]/60)/60/24)+DATE(1970,1,1)</f>
        <v>42465.35701388889</v>
      </c>
      <c r="K3338">
        <v>1457429646</v>
      </c>
      <c r="L3338" s="11">
        <f>((Table1[[#This Row],[launched_at]]/60)/60/24)+DATE(1970,1,1)</f>
        <v>42437.398680555561</v>
      </c>
      <c r="M3338">
        <f>MONTH(Table1[[#This Row],[Date Created Conversion]])</f>
        <v>3</v>
      </c>
      <c r="N3338">
        <f>YEAR(Table1[[#This Row],[Date Created Conversion]])</f>
        <v>2016</v>
      </c>
      <c r="O3338" t="b">
        <v>0</v>
      </c>
      <c r="P3338">
        <v>9</v>
      </c>
      <c r="Q3338" t="b">
        <v>1</v>
      </c>
      <c r="R3338" t="s">
        <v>8271</v>
      </c>
      <c r="S3338" s="6">
        <f>Table1[[#This Row],[pledged]]/Table1[[#This Row],[goal]]</f>
        <v>1</v>
      </c>
      <c r="T3338" s="8">
        <f>IF(Table1[[#This Row],[pledged]]=0,"no backers",Table1[[#This Row],[pledged]]/Table1[[#This Row],[backers_count]])</f>
        <v>27.777777777777779</v>
      </c>
      <c r="U3338" t="str">
        <f>LEFT(Table1[[#This Row],[Category and Sub-Category]],FIND("/",Table1[[#This Row],[Category and Sub-Category]])-1)</f>
        <v>theater</v>
      </c>
      <c r="V3338" t="str">
        <f>RIGHT(Table1[[#This Row],[Category and Sub-Category]],LEN(Table1[[#This Row],[Category and Sub-Category]])-FIND("/",Table1[[#This Row],[Category and Sub-Category]]))</f>
        <v>plays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 s="12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>((Table1[[#This Row],[deadline]]/60)/60/24)+DATE(1970,1,1)</f>
        <v>41922.875</v>
      </c>
      <c r="K3339">
        <v>1411109167</v>
      </c>
      <c r="L3339" s="11">
        <f>((Table1[[#This Row],[launched_at]]/60)/60/24)+DATE(1970,1,1)</f>
        <v>41901.282025462962</v>
      </c>
      <c r="M3339">
        <f>MONTH(Table1[[#This Row],[Date Created Conversion]])</f>
        <v>9</v>
      </c>
      <c r="N3339">
        <f>YEAR(Table1[[#This Row],[Date Created Conversion]])</f>
        <v>2014</v>
      </c>
      <c r="O3339" t="b">
        <v>0</v>
      </c>
      <c r="P3339">
        <v>34</v>
      </c>
      <c r="Q3339" t="b">
        <v>1</v>
      </c>
      <c r="R3339" t="s">
        <v>8271</v>
      </c>
      <c r="S3339" s="6">
        <f>Table1[[#This Row],[pledged]]/Table1[[#This Row],[goal]]</f>
        <v>1.1020000000000001</v>
      </c>
      <c r="T3339" s="8">
        <f>IF(Table1[[#This Row],[pledged]]=0,"no backers",Table1[[#This Row],[pledged]]/Table1[[#This Row],[backers_count]])</f>
        <v>81.029411764705884</v>
      </c>
      <c r="U3339" t="str">
        <f>LEFT(Table1[[#This Row],[Category and Sub-Category]],FIND("/",Table1[[#This Row],[Category and Sub-Category]])-1)</f>
        <v>theater</v>
      </c>
      <c r="V3339" t="str">
        <f>RIGHT(Table1[[#This Row],[Category and Sub-Category]],LEN(Table1[[#This Row],[Category and Sub-Category]])-FIND("/",Table1[[#This Row],[Category and Sub-Category]]))</f>
        <v>plays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 s="12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>((Table1[[#This Row],[deadline]]/60)/60/24)+DATE(1970,1,1)</f>
        <v>42790.574999999997</v>
      </c>
      <c r="K3340">
        <v>1486129680</v>
      </c>
      <c r="L3340" s="11">
        <f>((Table1[[#This Row],[launched_at]]/60)/60/24)+DATE(1970,1,1)</f>
        <v>42769.574999999997</v>
      </c>
      <c r="M3340">
        <f>MONTH(Table1[[#This Row],[Date Created Conversion]])</f>
        <v>2</v>
      </c>
      <c r="N3340">
        <f>YEAR(Table1[[#This Row],[Date Created Conversion]])</f>
        <v>2017</v>
      </c>
      <c r="O3340" t="b">
        <v>0</v>
      </c>
      <c r="P3340">
        <v>112</v>
      </c>
      <c r="Q3340" t="b">
        <v>1</v>
      </c>
      <c r="R3340" t="s">
        <v>8271</v>
      </c>
      <c r="S3340" s="6">
        <f>Table1[[#This Row],[pledged]]/Table1[[#This Row],[goal]]</f>
        <v>1.0218</v>
      </c>
      <c r="T3340" s="8">
        <f>IF(Table1[[#This Row],[pledged]]=0,"no backers",Table1[[#This Row],[pledged]]/Table1[[#This Row],[backers_count]])</f>
        <v>136.84821428571428</v>
      </c>
      <c r="U3340" t="str">
        <f>LEFT(Table1[[#This Row],[Category and Sub-Category]],FIND("/",Table1[[#This Row],[Category and Sub-Category]])-1)</f>
        <v>theater</v>
      </c>
      <c r="V3340" t="str">
        <f>RIGHT(Table1[[#This Row],[Category and Sub-Category]],LEN(Table1[[#This Row],[Category and Sub-Category]])-FIND("/",Table1[[#This Row],[Category and Sub-Category]]))</f>
        <v>plays</v>
      </c>
    </row>
    <row r="3341" spans="1:22" ht="43.2" x14ac:dyDescent="0.3">
      <c r="A3341">
        <v>3339</v>
      </c>
      <c r="B3341" s="3" t="s">
        <v>3339</v>
      </c>
      <c r="C3341" s="3" t="s">
        <v>7449</v>
      </c>
      <c r="D3341" s="12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>((Table1[[#This Row],[deadline]]/60)/60/24)+DATE(1970,1,1)</f>
        <v>42579.665717592594</v>
      </c>
      <c r="K3341">
        <v>1467129518</v>
      </c>
      <c r="L3341" s="11">
        <f>((Table1[[#This Row],[launched_at]]/60)/60/24)+DATE(1970,1,1)</f>
        <v>42549.665717592594</v>
      </c>
      <c r="M3341">
        <f>MONTH(Table1[[#This Row],[Date Created Conversion]])</f>
        <v>6</v>
      </c>
      <c r="N3341">
        <f>YEAR(Table1[[#This Row],[Date Created Conversion]])</f>
        <v>2016</v>
      </c>
      <c r="O3341" t="b">
        <v>0</v>
      </c>
      <c r="P3341">
        <v>47</v>
      </c>
      <c r="Q3341" t="b">
        <v>1</v>
      </c>
      <c r="R3341" t="s">
        <v>8271</v>
      </c>
      <c r="S3341" s="6">
        <f>Table1[[#This Row],[pledged]]/Table1[[#This Row],[goal]]</f>
        <v>1.0435000000000001</v>
      </c>
      <c r="T3341" s="8">
        <f>IF(Table1[[#This Row],[pledged]]=0,"no backers",Table1[[#This Row],[pledged]]/Table1[[#This Row],[backers_count]])</f>
        <v>177.61702127659575</v>
      </c>
      <c r="U3341" t="str">
        <f>LEFT(Table1[[#This Row],[Category and Sub-Category]],FIND("/",Table1[[#This Row],[Category and Sub-Category]])-1)</f>
        <v>theater</v>
      </c>
      <c r="V3341" t="str">
        <f>RIGHT(Table1[[#This Row],[Category and Sub-Category]],LEN(Table1[[#This Row],[Category and Sub-Category]])-FIND("/",Table1[[#This Row],[Category and Sub-Category]]))</f>
        <v>plays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 s="1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>((Table1[[#This Row],[deadline]]/60)/60/24)+DATE(1970,1,1)</f>
        <v>42710.974004629628</v>
      </c>
      <c r="K3342">
        <v>1478906554</v>
      </c>
      <c r="L3342" s="11">
        <f>((Table1[[#This Row],[launched_at]]/60)/60/24)+DATE(1970,1,1)</f>
        <v>42685.974004629628</v>
      </c>
      <c r="M3342">
        <f>MONTH(Table1[[#This Row],[Date Created Conversion]])</f>
        <v>11</v>
      </c>
      <c r="N3342">
        <f>YEAR(Table1[[#This Row],[Date Created Conversion]])</f>
        <v>2016</v>
      </c>
      <c r="O3342" t="b">
        <v>0</v>
      </c>
      <c r="P3342">
        <v>38</v>
      </c>
      <c r="Q3342" t="b">
        <v>1</v>
      </c>
      <c r="R3342" t="s">
        <v>8271</v>
      </c>
      <c r="S3342" s="6">
        <f>Table1[[#This Row],[pledged]]/Table1[[#This Row],[goal]]</f>
        <v>1.3816666666666666</v>
      </c>
      <c r="T3342" s="8">
        <f>IF(Table1[[#This Row],[pledged]]=0,"no backers",Table1[[#This Row],[pledged]]/Table1[[#This Row],[backers_count]])</f>
        <v>109.07894736842105</v>
      </c>
      <c r="U3342" t="str">
        <f>LEFT(Table1[[#This Row],[Category and Sub-Category]],FIND("/",Table1[[#This Row],[Category and Sub-Category]])-1)</f>
        <v>theater</v>
      </c>
      <c r="V3342" t="str">
        <f>RIGHT(Table1[[#This Row],[Category and Sub-Category]],LEN(Table1[[#This Row],[Category and Sub-Category]])-FIND("/",Table1[[#This Row],[Category and Sub-Category]]))</f>
        <v>plays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 s="12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>((Table1[[#This Row],[deadline]]/60)/60/24)+DATE(1970,1,1)</f>
        <v>42533.708333333328</v>
      </c>
      <c r="K3343">
        <v>1463771421</v>
      </c>
      <c r="L3343" s="11">
        <f>((Table1[[#This Row],[launched_at]]/60)/60/24)+DATE(1970,1,1)</f>
        <v>42510.798854166671</v>
      </c>
      <c r="M3343">
        <f>MONTH(Table1[[#This Row],[Date Created Conversion]])</f>
        <v>5</v>
      </c>
      <c r="N3343">
        <f>YEAR(Table1[[#This Row],[Date Created Conversion]])</f>
        <v>2016</v>
      </c>
      <c r="O3343" t="b">
        <v>0</v>
      </c>
      <c r="P3343">
        <v>28</v>
      </c>
      <c r="Q3343" t="b">
        <v>1</v>
      </c>
      <c r="R3343" t="s">
        <v>8271</v>
      </c>
      <c r="S3343" s="6">
        <f>Table1[[#This Row],[pledged]]/Table1[[#This Row],[goal]]</f>
        <v>1</v>
      </c>
      <c r="T3343" s="8">
        <f>IF(Table1[[#This Row],[pledged]]=0,"no backers",Table1[[#This Row],[pledged]]/Table1[[#This Row],[backers_count]])</f>
        <v>119.64285714285714</v>
      </c>
      <c r="U3343" t="str">
        <f>LEFT(Table1[[#This Row],[Category and Sub-Category]],FIND("/",Table1[[#This Row],[Category and Sub-Category]])-1)</f>
        <v>theater</v>
      </c>
      <c r="V3343" t="str">
        <f>RIGHT(Table1[[#This Row],[Category and Sub-Category]],LEN(Table1[[#This Row],[Category and Sub-Category]])-FIND("/",Table1[[#This Row],[Category and Sub-Category]]))</f>
        <v>plays</v>
      </c>
    </row>
    <row r="3344" spans="1:22" ht="43.2" x14ac:dyDescent="0.3">
      <c r="A3344">
        <v>3342</v>
      </c>
      <c r="B3344" s="3" t="s">
        <v>3342</v>
      </c>
      <c r="C3344" s="3" t="s">
        <v>7452</v>
      </c>
      <c r="D3344" s="12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>((Table1[[#This Row],[deadline]]/60)/60/24)+DATE(1970,1,1)</f>
        <v>42095.207638888889</v>
      </c>
      <c r="K3344">
        <v>1425020810</v>
      </c>
      <c r="L3344" s="11">
        <f>((Table1[[#This Row],[launched_at]]/60)/60/24)+DATE(1970,1,1)</f>
        <v>42062.296412037031</v>
      </c>
      <c r="M3344">
        <f>MONTH(Table1[[#This Row],[Date Created Conversion]])</f>
        <v>2</v>
      </c>
      <c r="N3344">
        <f>YEAR(Table1[[#This Row],[Date Created Conversion]])</f>
        <v>2015</v>
      </c>
      <c r="O3344" t="b">
        <v>0</v>
      </c>
      <c r="P3344">
        <v>78</v>
      </c>
      <c r="Q3344" t="b">
        <v>1</v>
      </c>
      <c r="R3344" t="s">
        <v>8271</v>
      </c>
      <c r="S3344" s="6">
        <f>Table1[[#This Row],[pledged]]/Table1[[#This Row],[goal]]</f>
        <v>1.0166666666666666</v>
      </c>
      <c r="T3344" s="8">
        <f>IF(Table1[[#This Row],[pledged]]=0,"no backers",Table1[[#This Row],[pledged]]/Table1[[#This Row],[backers_count]])</f>
        <v>78.205128205128204</v>
      </c>
      <c r="U3344" t="str">
        <f>LEFT(Table1[[#This Row],[Category and Sub-Category]],FIND("/",Table1[[#This Row],[Category and Sub-Category]])-1)</f>
        <v>theater</v>
      </c>
      <c r="V3344" t="str">
        <f>RIGHT(Table1[[#This Row],[Category and Sub-Category]],LEN(Table1[[#This Row],[Category and Sub-Category]])-FIND("/",Table1[[#This Row],[Category and Sub-Category]]))</f>
        <v>plays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 s="12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>((Table1[[#This Row],[deadline]]/60)/60/24)+DATE(1970,1,1)</f>
        <v>42473.554166666669</v>
      </c>
      <c r="K3345">
        <v>1458770384</v>
      </c>
      <c r="L3345" s="11">
        <f>((Table1[[#This Row],[launched_at]]/60)/60/24)+DATE(1970,1,1)</f>
        <v>42452.916481481487</v>
      </c>
      <c r="M3345">
        <f>MONTH(Table1[[#This Row],[Date Created Conversion]])</f>
        <v>3</v>
      </c>
      <c r="N3345">
        <f>YEAR(Table1[[#This Row],[Date Created Conversion]])</f>
        <v>2016</v>
      </c>
      <c r="O3345" t="b">
        <v>0</v>
      </c>
      <c r="P3345">
        <v>23</v>
      </c>
      <c r="Q3345" t="b">
        <v>1</v>
      </c>
      <c r="R3345" t="s">
        <v>8271</v>
      </c>
      <c r="S3345" s="6">
        <f>Table1[[#This Row],[pledged]]/Table1[[#This Row],[goal]]</f>
        <v>1.7142857142857142</v>
      </c>
      <c r="T3345" s="8">
        <f>IF(Table1[[#This Row],[pledged]]=0,"no backers",Table1[[#This Row],[pledged]]/Table1[[#This Row],[backers_count]])</f>
        <v>52.173913043478258</v>
      </c>
      <c r="U3345" t="str">
        <f>LEFT(Table1[[#This Row],[Category and Sub-Category]],FIND("/",Table1[[#This Row],[Category and Sub-Category]])-1)</f>
        <v>theater</v>
      </c>
      <c r="V3345" t="str">
        <f>RIGHT(Table1[[#This Row],[Category and Sub-Category]],LEN(Table1[[#This Row],[Category and Sub-Category]])-FIND("/",Table1[[#This Row],[Category and Sub-Category]]))</f>
        <v>plays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 s="12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>((Table1[[#This Row],[deadline]]/60)/60/24)+DATE(1970,1,1)</f>
        <v>41881.200150462959</v>
      </c>
      <c r="K3346">
        <v>1406782093</v>
      </c>
      <c r="L3346" s="11">
        <f>((Table1[[#This Row],[launched_at]]/60)/60/24)+DATE(1970,1,1)</f>
        <v>41851.200150462959</v>
      </c>
      <c r="M3346">
        <f>MONTH(Table1[[#This Row],[Date Created Conversion]])</f>
        <v>7</v>
      </c>
      <c r="N3346">
        <f>YEAR(Table1[[#This Row],[Date Created Conversion]])</f>
        <v>2014</v>
      </c>
      <c r="O3346" t="b">
        <v>0</v>
      </c>
      <c r="P3346">
        <v>40</v>
      </c>
      <c r="Q3346" t="b">
        <v>1</v>
      </c>
      <c r="R3346" t="s">
        <v>8271</v>
      </c>
      <c r="S3346" s="6">
        <f>Table1[[#This Row],[pledged]]/Table1[[#This Row],[goal]]</f>
        <v>1.0144444444444445</v>
      </c>
      <c r="T3346" s="8">
        <f>IF(Table1[[#This Row],[pledged]]=0,"no backers",Table1[[#This Row],[pledged]]/Table1[[#This Row],[backers_count]])</f>
        <v>114.125</v>
      </c>
      <c r="U3346" t="str">
        <f>LEFT(Table1[[#This Row],[Category and Sub-Category]],FIND("/",Table1[[#This Row],[Category and Sub-Category]])-1)</f>
        <v>theater</v>
      </c>
      <c r="V3346" t="str">
        <f>RIGHT(Table1[[#This Row],[Category and Sub-Category]],LEN(Table1[[#This Row],[Category and Sub-Category]])-FIND("/",Table1[[#This Row],[Category and Sub-Category]]))</f>
        <v>plays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 s="12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>((Table1[[#This Row],[deadline]]/60)/60/24)+DATE(1970,1,1)</f>
        <v>42112.025694444441</v>
      </c>
      <c r="K3347">
        <v>1424226768</v>
      </c>
      <c r="L3347" s="11">
        <f>((Table1[[#This Row],[launched_at]]/60)/60/24)+DATE(1970,1,1)</f>
        <v>42053.106111111112</v>
      </c>
      <c r="M3347">
        <f>MONTH(Table1[[#This Row],[Date Created Conversion]])</f>
        <v>2</v>
      </c>
      <c r="N3347">
        <f>YEAR(Table1[[#This Row],[Date Created Conversion]])</f>
        <v>2015</v>
      </c>
      <c r="O3347" t="b">
        <v>0</v>
      </c>
      <c r="P3347">
        <v>13</v>
      </c>
      <c r="Q3347" t="b">
        <v>1</v>
      </c>
      <c r="R3347" t="s">
        <v>8271</v>
      </c>
      <c r="S3347" s="6">
        <f>Table1[[#This Row],[pledged]]/Table1[[#This Row],[goal]]</f>
        <v>1.3</v>
      </c>
      <c r="T3347" s="8">
        <f>IF(Table1[[#This Row],[pledged]]=0,"no backers",Table1[[#This Row],[pledged]]/Table1[[#This Row],[backers_count]])</f>
        <v>50</v>
      </c>
      <c r="U3347" t="str">
        <f>LEFT(Table1[[#This Row],[Category and Sub-Category]],FIND("/",Table1[[#This Row],[Category and Sub-Category]])-1)</f>
        <v>theater</v>
      </c>
      <c r="V3347" t="str">
        <f>RIGHT(Table1[[#This Row],[Category and Sub-Category]],LEN(Table1[[#This Row],[Category and Sub-Category]])-FIND("/",Table1[[#This Row],[Category and Sub-Category]]))</f>
        <v>plays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 s="12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>((Table1[[#This Row],[deadline]]/60)/60/24)+DATE(1970,1,1)</f>
        <v>42061.024421296301</v>
      </c>
      <c r="K3348">
        <v>1424306110</v>
      </c>
      <c r="L3348" s="11">
        <f>((Table1[[#This Row],[launched_at]]/60)/60/24)+DATE(1970,1,1)</f>
        <v>42054.024421296301</v>
      </c>
      <c r="M3348">
        <f>MONTH(Table1[[#This Row],[Date Created Conversion]])</f>
        <v>2</v>
      </c>
      <c r="N3348">
        <f>YEAR(Table1[[#This Row],[Date Created Conversion]])</f>
        <v>2015</v>
      </c>
      <c r="O3348" t="b">
        <v>0</v>
      </c>
      <c r="P3348">
        <v>18</v>
      </c>
      <c r="Q3348" t="b">
        <v>1</v>
      </c>
      <c r="R3348" t="s">
        <v>8271</v>
      </c>
      <c r="S3348" s="6">
        <f>Table1[[#This Row],[pledged]]/Table1[[#This Row],[goal]]</f>
        <v>1.1000000000000001</v>
      </c>
      <c r="T3348" s="8">
        <f>IF(Table1[[#This Row],[pledged]]=0,"no backers",Table1[[#This Row],[pledged]]/Table1[[#This Row],[backers_count]])</f>
        <v>91.666666666666671</v>
      </c>
      <c r="U3348" t="str">
        <f>LEFT(Table1[[#This Row],[Category and Sub-Category]],FIND("/",Table1[[#This Row],[Category and Sub-Category]])-1)</f>
        <v>theater</v>
      </c>
      <c r="V3348" t="str">
        <f>RIGHT(Table1[[#This Row],[Category and Sub-Category]],LEN(Table1[[#This Row],[Category and Sub-Category]])-FIND("/",Table1[[#This Row],[Category and Sub-Category]]))</f>
        <v>plays</v>
      </c>
    </row>
    <row r="3349" spans="1:22" ht="57.6" x14ac:dyDescent="0.3">
      <c r="A3349">
        <v>3347</v>
      </c>
      <c r="B3349" s="3" t="s">
        <v>3347</v>
      </c>
      <c r="C3349" s="3" t="s">
        <v>7457</v>
      </c>
      <c r="D3349" s="12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>((Table1[[#This Row],[deadline]]/60)/60/24)+DATE(1970,1,1)</f>
        <v>42498.875</v>
      </c>
      <c r="K3349">
        <v>1461503654</v>
      </c>
      <c r="L3349" s="11">
        <f>((Table1[[#This Row],[launched_at]]/60)/60/24)+DATE(1970,1,1)</f>
        <v>42484.551550925928</v>
      </c>
      <c r="M3349">
        <f>MONTH(Table1[[#This Row],[Date Created Conversion]])</f>
        <v>4</v>
      </c>
      <c r="N3349">
        <f>YEAR(Table1[[#This Row],[Date Created Conversion]])</f>
        <v>2016</v>
      </c>
      <c r="O3349" t="b">
        <v>0</v>
      </c>
      <c r="P3349">
        <v>22</v>
      </c>
      <c r="Q3349" t="b">
        <v>1</v>
      </c>
      <c r="R3349" t="s">
        <v>8271</v>
      </c>
      <c r="S3349" s="6">
        <f>Table1[[#This Row],[pledged]]/Table1[[#This Row],[goal]]</f>
        <v>1.1944999999999999</v>
      </c>
      <c r="T3349" s="8">
        <f>IF(Table1[[#This Row],[pledged]]=0,"no backers",Table1[[#This Row],[pledged]]/Table1[[#This Row],[backers_count]])</f>
        <v>108.59090909090909</v>
      </c>
      <c r="U3349" t="str">
        <f>LEFT(Table1[[#This Row],[Category and Sub-Category]],FIND("/",Table1[[#This Row],[Category and Sub-Category]])-1)</f>
        <v>theater</v>
      </c>
      <c r="V3349" t="str">
        <f>RIGHT(Table1[[#This Row],[Category and Sub-Category]],LEN(Table1[[#This Row],[Category and Sub-Category]])-FIND("/",Table1[[#This Row],[Category and Sub-Category]]))</f>
        <v>plays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 s="12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>((Table1[[#This Row],[deadline]]/60)/60/24)+DATE(1970,1,1)</f>
        <v>42490.165972222225</v>
      </c>
      <c r="K3350">
        <v>1459949080</v>
      </c>
      <c r="L3350" s="11">
        <f>((Table1[[#This Row],[launched_at]]/60)/60/24)+DATE(1970,1,1)</f>
        <v>42466.558796296296</v>
      </c>
      <c r="M3350">
        <f>MONTH(Table1[[#This Row],[Date Created Conversion]])</f>
        <v>4</v>
      </c>
      <c r="N3350">
        <f>YEAR(Table1[[#This Row],[Date Created Conversion]])</f>
        <v>2016</v>
      </c>
      <c r="O3350" t="b">
        <v>0</v>
      </c>
      <c r="P3350">
        <v>79</v>
      </c>
      <c r="Q3350" t="b">
        <v>1</v>
      </c>
      <c r="R3350" t="s">
        <v>8271</v>
      </c>
      <c r="S3350" s="6">
        <f>Table1[[#This Row],[pledged]]/Table1[[#This Row],[goal]]</f>
        <v>1.002909090909091</v>
      </c>
      <c r="T3350" s="8">
        <f>IF(Table1[[#This Row],[pledged]]=0,"no backers",Table1[[#This Row],[pledged]]/Table1[[#This Row],[backers_count]])</f>
        <v>69.822784810126578</v>
      </c>
      <c r="U3350" t="str">
        <f>LEFT(Table1[[#This Row],[Category and Sub-Category]],FIND("/",Table1[[#This Row],[Category and Sub-Category]])-1)</f>
        <v>theater</v>
      </c>
      <c r="V3350" t="str">
        <f>RIGHT(Table1[[#This Row],[Category and Sub-Category]],LEN(Table1[[#This Row],[Category and Sub-Category]])-FIND("/",Table1[[#This Row],[Category and Sub-Category]]))</f>
        <v>plays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 s="12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>((Table1[[#This Row],[deadline]]/60)/60/24)+DATE(1970,1,1)</f>
        <v>42534.708333333328</v>
      </c>
      <c r="K3351">
        <v>1463971172</v>
      </c>
      <c r="L3351" s="11">
        <f>((Table1[[#This Row],[launched_at]]/60)/60/24)+DATE(1970,1,1)</f>
        <v>42513.110787037032</v>
      </c>
      <c r="M3351">
        <f>MONTH(Table1[[#This Row],[Date Created Conversion]])</f>
        <v>5</v>
      </c>
      <c r="N3351">
        <f>YEAR(Table1[[#This Row],[Date Created Conversion]])</f>
        <v>2016</v>
      </c>
      <c r="O3351" t="b">
        <v>0</v>
      </c>
      <c r="P3351">
        <v>14</v>
      </c>
      <c r="Q3351" t="b">
        <v>1</v>
      </c>
      <c r="R3351" t="s">
        <v>8271</v>
      </c>
      <c r="S3351" s="6">
        <f>Table1[[#This Row],[pledged]]/Table1[[#This Row],[goal]]</f>
        <v>1.534</v>
      </c>
      <c r="T3351" s="8">
        <f>IF(Table1[[#This Row],[pledged]]=0,"no backers",Table1[[#This Row],[pledged]]/Table1[[#This Row],[backers_count]])</f>
        <v>109.57142857142857</v>
      </c>
      <c r="U3351" t="str">
        <f>LEFT(Table1[[#This Row],[Category and Sub-Category]],FIND("/",Table1[[#This Row],[Category and Sub-Category]])-1)</f>
        <v>theater</v>
      </c>
      <c r="V3351" t="str">
        <f>RIGHT(Table1[[#This Row],[Category and Sub-Category]],LEN(Table1[[#This Row],[Category and Sub-Category]])-FIND("/",Table1[[#This Row],[Category and Sub-Category]]))</f>
        <v>plays</v>
      </c>
    </row>
    <row r="3352" spans="1:22" ht="57.6" x14ac:dyDescent="0.3">
      <c r="A3352">
        <v>3350</v>
      </c>
      <c r="B3352" s="3" t="s">
        <v>3349</v>
      </c>
      <c r="C3352" s="3" t="s">
        <v>7460</v>
      </c>
      <c r="D3352" s="1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>((Table1[[#This Row],[deadline]]/60)/60/24)+DATE(1970,1,1)</f>
        <v>42337.958333333328</v>
      </c>
      <c r="K3352">
        <v>1445791811</v>
      </c>
      <c r="L3352" s="11">
        <f>((Table1[[#This Row],[launched_at]]/60)/60/24)+DATE(1970,1,1)</f>
        <v>42302.701516203699</v>
      </c>
      <c r="M3352">
        <f>MONTH(Table1[[#This Row],[Date Created Conversion]])</f>
        <v>10</v>
      </c>
      <c r="N3352">
        <f>YEAR(Table1[[#This Row],[Date Created Conversion]])</f>
        <v>2015</v>
      </c>
      <c r="O3352" t="b">
        <v>0</v>
      </c>
      <c r="P3352">
        <v>51</v>
      </c>
      <c r="Q3352" t="b">
        <v>1</v>
      </c>
      <c r="R3352" t="s">
        <v>8271</v>
      </c>
      <c r="S3352" s="6">
        <f>Table1[[#This Row],[pledged]]/Table1[[#This Row],[goal]]</f>
        <v>1.0442857142857143</v>
      </c>
      <c r="T3352" s="8">
        <f>IF(Table1[[#This Row],[pledged]]=0,"no backers",Table1[[#This Row],[pledged]]/Table1[[#This Row],[backers_count]])</f>
        <v>71.666666666666671</v>
      </c>
      <c r="U3352" t="str">
        <f>LEFT(Table1[[#This Row],[Category and Sub-Category]],FIND("/",Table1[[#This Row],[Category and Sub-Category]])-1)</f>
        <v>theater</v>
      </c>
      <c r="V3352" t="str">
        <f>RIGHT(Table1[[#This Row],[Category and Sub-Category]],LEN(Table1[[#This Row],[Category and Sub-Category]])-FIND("/",Table1[[#This Row],[Category and Sub-Category]]))</f>
        <v>plays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 s="12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>((Table1[[#This Row],[deadline]]/60)/60/24)+DATE(1970,1,1)</f>
        <v>41843.458333333336</v>
      </c>
      <c r="K3353">
        <v>1402910965</v>
      </c>
      <c r="L3353" s="11">
        <f>((Table1[[#This Row],[launched_at]]/60)/60/24)+DATE(1970,1,1)</f>
        <v>41806.395428240743</v>
      </c>
      <c r="M3353">
        <f>MONTH(Table1[[#This Row],[Date Created Conversion]])</f>
        <v>6</v>
      </c>
      <c r="N3353">
        <f>YEAR(Table1[[#This Row],[Date Created Conversion]])</f>
        <v>2014</v>
      </c>
      <c r="O3353" t="b">
        <v>0</v>
      </c>
      <c r="P3353">
        <v>54</v>
      </c>
      <c r="Q3353" t="b">
        <v>1</v>
      </c>
      <c r="R3353" t="s">
        <v>8271</v>
      </c>
      <c r="S3353" s="6">
        <f>Table1[[#This Row],[pledged]]/Table1[[#This Row],[goal]]</f>
        <v>1.0109999999999999</v>
      </c>
      <c r="T3353" s="8">
        <f>IF(Table1[[#This Row],[pledged]]=0,"no backers",Table1[[#This Row],[pledged]]/Table1[[#This Row],[backers_count]])</f>
        <v>93.611111111111114</v>
      </c>
      <c r="U3353" t="str">
        <f>LEFT(Table1[[#This Row],[Category and Sub-Category]],FIND("/",Table1[[#This Row],[Category and Sub-Category]])-1)</f>
        <v>theater</v>
      </c>
      <c r="V3353" t="str">
        <f>RIGHT(Table1[[#This Row],[Category and Sub-Category]],LEN(Table1[[#This Row],[Category and Sub-Category]])-FIND("/",Table1[[#This Row],[Category and Sub-Category]]))</f>
        <v>plays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 s="12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>((Table1[[#This Row],[deadline]]/60)/60/24)+DATE(1970,1,1)</f>
        <v>42552.958333333328</v>
      </c>
      <c r="K3354">
        <v>1462492178</v>
      </c>
      <c r="L3354" s="11">
        <f>((Table1[[#This Row],[launched_at]]/60)/60/24)+DATE(1970,1,1)</f>
        <v>42495.992800925931</v>
      </c>
      <c r="M3354">
        <f>MONTH(Table1[[#This Row],[Date Created Conversion]])</f>
        <v>5</v>
      </c>
      <c r="N3354">
        <f>YEAR(Table1[[#This Row],[Date Created Conversion]])</f>
        <v>2016</v>
      </c>
      <c r="O3354" t="b">
        <v>0</v>
      </c>
      <c r="P3354">
        <v>70</v>
      </c>
      <c r="Q3354" t="b">
        <v>1</v>
      </c>
      <c r="R3354" t="s">
        <v>8271</v>
      </c>
      <c r="S3354" s="6">
        <f>Table1[[#This Row],[pledged]]/Table1[[#This Row],[goal]]</f>
        <v>1.0751999999999999</v>
      </c>
      <c r="T3354" s="8">
        <f>IF(Table1[[#This Row],[pledged]]=0,"no backers",Table1[[#This Row],[pledged]]/Table1[[#This Row],[backers_count]])</f>
        <v>76.8</v>
      </c>
      <c r="U3354" t="str">
        <f>LEFT(Table1[[#This Row],[Category and Sub-Category]],FIND("/",Table1[[#This Row],[Category and Sub-Category]])-1)</f>
        <v>theater</v>
      </c>
      <c r="V3354" t="str">
        <f>RIGHT(Table1[[#This Row],[Category and Sub-Category]],LEN(Table1[[#This Row],[Category and Sub-Category]])-FIND("/",Table1[[#This Row],[Category and Sub-Category]]))</f>
        <v>plays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 s="12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>((Table1[[#This Row],[deadline]]/60)/60/24)+DATE(1970,1,1)</f>
        <v>42492.958333333328</v>
      </c>
      <c r="K3355">
        <v>1461061350</v>
      </c>
      <c r="L3355" s="11">
        <f>((Table1[[#This Row],[launched_at]]/60)/60/24)+DATE(1970,1,1)</f>
        <v>42479.432291666672</v>
      </c>
      <c r="M3355">
        <f>MONTH(Table1[[#This Row],[Date Created Conversion]])</f>
        <v>4</v>
      </c>
      <c r="N3355">
        <f>YEAR(Table1[[#This Row],[Date Created Conversion]])</f>
        <v>2016</v>
      </c>
      <c r="O3355" t="b">
        <v>0</v>
      </c>
      <c r="P3355">
        <v>44</v>
      </c>
      <c r="Q3355" t="b">
        <v>1</v>
      </c>
      <c r="R3355" t="s">
        <v>8271</v>
      </c>
      <c r="S3355" s="6">
        <f>Table1[[#This Row],[pledged]]/Table1[[#This Row],[goal]]</f>
        <v>3.15</v>
      </c>
      <c r="T3355" s="8">
        <f>IF(Table1[[#This Row],[pledged]]=0,"no backers",Table1[[#This Row],[pledged]]/Table1[[#This Row],[backers_count]])</f>
        <v>35.795454545454547</v>
      </c>
      <c r="U3355" t="str">
        <f>LEFT(Table1[[#This Row],[Category and Sub-Category]],FIND("/",Table1[[#This Row],[Category and Sub-Category]])-1)</f>
        <v>theater</v>
      </c>
      <c r="V3355" t="str">
        <f>RIGHT(Table1[[#This Row],[Category and Sub-Category]],LEN(Table1[[#This Row],[Category and Sub-Category]])-FIND("/",Table1[[#This Row],[Category and Sub-Category]]))</f>
        <v>plays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 s="12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>((Table1[[#This Row],[deadline]]/60)/60/24)+DATE(1970,1,1)</f>
        <v>42306.167361111111</v>
      </c>
      <c r="K3356">
        <v>1443029206</v>
      </c>
      <c r="L3356" s="11">
        <f>((Table1[[#This Row],[launched_at]]/60)/60/24)+DATE(1970,1,1)</f>
        <v>42270.7269212963</v>
      </c>
      <c r="M3356">
        <f>MONTH(Table1[[#This Row],[Date Created Conversion]])</f>
        <v>9</v>
      </c>
      <c r="N3356">
        <f>YEAR(Table1[[#This Row],[Date Created Conversion]])</f>
        <v>2015</v>
      </c>
      <c r="O3356" t="b">
        <v>0</v>
      </c>
      <c r="P3356">
        <v>55</v>
      </c>
      <c r="Q3356" t="b">
        <v>1</v>
      </c>
      <c r="R3356" t="s">
        <v>8271</v>
      </c>
      <c r="S3356" s="6">
        <f>Table1[[#This Row],[pledged]]/Table1[[#This Row],[goal]]</f>
        <v>1.0193333333333334</v>
      </c>
      <c r="T3356" s="8">
        <f>IF(Table1[[#This Row],[pledged]]=0,"no backers",Table1[[#This Row],[pledged]]/Table1[[#This Row],[backers_count]])</f>
        <v>55.6</v>
      </c>
      <c r="U3356" t="str">
        <f>LEFT(Table1[[#This Row],[Category and Sub-Category]],FIND("/",Table1[[#This Row],[Category and Sub-Category]])-1)</f>
        <v>theater</v>
      </c>
      <c r="V3356" t="str">
        <f>RIGHT(Table1[[#This Row],[Category and Sub-Category]],LEN(Table1[[#This Row],[Category and Sub-Category]])-FIND("/",Table1[[#This Row],[Category and Sub-Category]]))</f>
        <v>plays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 s="12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>((Table1[[#This Row],[deadline]]/60)/60/24)+DATE(1970,1,1)</f>
        <v>42500.470138888893</v>
      </c>
      <c r="K3357">
        <v>1461941527</v>
      </c>
      <c r="L3357" s="11">
        <f>((Table1[[#This Row],[launched_at]]/60)/60/24)+DATE(1970,1,1)</f>
        <v>42489.619525462964</v>
      </c>
      <c r="M3357">
        <f>MONTH(Table1[[#This Row],[Date Created Conversion]])</f>
        <v>4</v>
      </c>
      <c r="N3357">
        <f>YEAR(Table1[[#This Row],[Date Created Conversion]])</f>
        <v>2016</v>
      </c>
      <c r="O3357" t="b">
        <v>0</v>
      </c>
      <c r="P3357">
        <v>15</v>
      </c>
      <c r="Q3357" t="b">
        <v>1</v>
      </c>
      <c r="R3357" t="s">
        <v>8271</v>
      </c>
      <c r="S3357" s="6">
        <f>Table1[[#This Row],[pledged]]/Table1[[#This Row],[goal]]</f>
        <v>1.2628571428571429</v>
      </c>
      <c r="T3357" s="8">
        <f>IF(Table1[[#This Row],[pledged]]=0,"no backers",Table1[[#This Row],[pledged]]/Table1[[#This Row],[backers_count]])</f>
        <v>147.33333333333334</v>
      </c>
      <c r="U3357" t="str">
        <f>LEFT(Table1[[#This Row],[Category and Sub-Category]],FIND("/",Table1[[#This Row],[Category and Sub-Category]])-1)</f>
        <v>theater</v>
      </c>
      <c r="V3357" t="str">
        <f>RIGHT(Table1[[#This Row],[Category and Sub-Category]],LEN(Table1[[#This Row],[Category and Sub-Category]])-FIND("/",Table1[[#This Row],[Category and Sub-Category]]))</f>
        <v>plays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 s="12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>((Table1[[#This Row],[deadline]]/60)/60/24)+DATE(1970,1,1)</f>
        <v>42566.815648148149</v>
      </c>
      <c r="K3358">
        <v>1466019272</v>
      </c>
      <c r="L3358" s="11">
        <f>((Table1[[#This Row],[launched_at]]/60)/60/24)+DATE(1970,1,1)</f>
        <v>42536.815648148149</v>
      </c>
      <c r="M3358">
        <f>MONTH(Table1[[#This Row],[Date Created Conversion]])</f>
        <v>6</v>
      </c>
      <c r="N3358">
        <f>YEAR(Table1[[#This Row],[Date Created Conversion]])</f>
        <v>2016</v>
      </c>
      <c r="O3358" t="b">
        <v>0</v>
      </c>
      <c r="P3358">
        <v>27</v>
      </c>
      <c r="Q3358" t="b">
        <v>1</v>
      </c>
      <c r="R3358" t="s">
        <v>8271</v>
      </c>
      <c r="S3358" s="6">
        <f>Table1[[#This Row],[pledged]]/Table1[[#This Row],[goal]]</f>
        <v>1.014</v>
      </c>
      <c r="T3358" s="8">
        <f>IF(Table1[[#This Row],[pledged]]=0,"no backers",Table1[[#This Row],[pledged]]/Table1[[#This Row],[backers_count]])</f>
        <v>56.333333333333336</v>
      </c>
      <c r="U3358" t="str">
        <f>LEFT(Table1[[#This Row],[Category and Sub-Category]],FIND("/",Table1[[#This Row],[Category and Sub-Category]])-1)</f>
        <v>theater</v>
      </c>
      <c r="V3358" t="str">
        <f>RIGHT(Table1[[#This Row],[Category and Sub-Category]],LEN(Table1[[#This Row],[Category and Sub-Category]])-FIND("/",Table1[[#This Row],[Category and Sub-Category]]))</f>
        <v>plays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 s="12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>((Table1[[#This Row],[deadline]]/60)/60/24)+DATE(1970,1,1)</f>
        <v>41852.417939814812</v>
      </c>
      <c r="K3359">
        <v>1404295310</v>
      </c>
      <c r="L3359" s="11">
        <f>((Table1[[#This Row],[launched_at]]/60)/60/24)+DATE(1970,1,1)</f>
        <v>41822.417939814812</v>
      </c>
      <c r="M3359">
        <f>MONTH(Table1[[#This Row],[Date Created Conversion]])</f>
        <v>7</v>
      </c>
      <c r="N3359">
        <f>YEAR(Table1[[#This Row],[Date Created Conversion]])</f>
        <v>2014</v>
      </c>
      <c r="O3359" t="b">
        <v>0</v>
      </c>
      <c r="P3359">
        <v>21</v>
      </c>
      <c r="Q3359" t="b">
        <v>1</v>
      </c>
      <c r="R3359" t="s">
        <v>8271</v>
      </c>
      <c r="S3359" s="6">
        <f>Table1[[#This Row],[pledged]]/Table1[[#This Row],[goal]]</f>
        <v>1.01</v>
      </c>
      <c r="T3359" s="8">
        <f>IF(Table1[[#This Row],[pledged]]=0,"no backers",Table1[[#This Row],[pledged]]/Table1[[#This Row],[backers_count]])</f>
        <v>96.19047619047619</v>
      </c>
      <c r="U3359" t="str">
        <f>LEFT(Table1[[#This Row],[Category and Sub-Category]],FIND("/",Table1[[#This Row],[Category and Sub-Category]])-1)</f>
        <v>theater</v>
      </c>
      <c r="V3359" t="str">
        <f>RIGHT(Table1[[#This Row],[Category and Sub-Category]],LEN(Table1[[#This Row],[Category and Sub-Category]])-FIND("/",Table1[[#This Row],[Category and Sub-Category]]))</f>
        <v>plays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 s="12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>((Table1[[#This Row],[deadline]]/60)/60/24)+DATE(1970,1,1)</f>
        <v>41962.352766203709</v>
      </c>
      <c r="K3360">
        <v>1413790079</v>
      </c>
      <c r="L3360" s="11">
        <f>((Table1[[#This Row],[launched_at]]/60)/60/24)+DATE(1970,1,1)</f>
        <v>41932.311099537037</v>
      </c>
      <c r="M3360">
        <f>MONTH(Table1[[#This Row],[Date Created Conversion]])</f>
        <v>10</v>
      </c>
      <c r="N3360">
        <f>YEAR(Table1[[#This Row],[Date Created Conversion]])</f>
        <v>2014</v>
      </c>
      <c r="O3360" t="b">
        <v>0</v>
      </c>
      <c r="P3360">
        <v>162</v>
      </c>
      <c r="Q3360" t="b">
        <v>1</v>
      </c>
      <c r="R3360" t="s">
        <v>8271</v>
      </c>
      <c r="S3360" s="6">
        <f>Table1[[#This Row],[pledged]]/Table1[[#This Row],[goal]]</f>
        <v>1.0299</v>
      </c>
      <c r="T3360" s="8">
        <f>IF(Table1[[#This Row],[pledged]]=0,"no backers",Table1[[#This Row],[pledged]]/Table1[[#This Row],[backers_count]])</f>
        <v>63.574074074074076</v>
      </c>
      <c r="U3360" t="str">
        <f>LEFT(Table1[[#This Row],[Category and Sub-Category]],FIND("/",Table1[[#This Row],[Category and Sub-Category]])-1)</f>
        <v>theater</v>
      </c>
      <c r="V3360" t="str">
        <f>RIGHT(Table1[[#This Row],[Category and Sub-Category]],LEN(Table1[[#This Row],[Category and Sub-Category]])-FIND("/",Table1[[#This Row],[Category and Sub-Category]]))</f>
        <v>plays</v>
      </c>
    </row>
    <row r="3361" spans="1:22" ht="43.2" x14ac:dyDescent="0.3">
      <c r="A3361">
        <v>3359</v>
      </c>
      <c r="B3361" s="3" t="s">
        <v>3358</v>
      </c>
      <c r="C3361" s="3" t="s">
        <v>7469</v>
      </c>
      <c r="D3361" s="12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>((Table1[[#This Row],[deadline]]/60)/60/24)+DATE(1970,1,1)</f>
        <v>42791.057106481487</v>
      </c>
      <c r="K3361">
        <v>1484097734</v>
      </c>
      <c r="L3361" s="11">
        <f>((Table1[[#This Row],[launched_at]]/60)/60/24)+DATE(1970,1,1)</f>
        <v>42746.057106481487</v>
      </c>
      <c r="M3361">
        <f>MONTH(Table1[[#This Row],[Date Created Conversion]])</f>
        <v>1</v>
      </c>
      <c r="N3361">
        <f>YEAR(Table1[[#This Row],[Date Created Conversion]])</f>
        <v>2017</v>
      </c>
      <c r="O3361" t="b">
        <v>0</v>
      </c>
      <c r="P3361">
        <v>23</v>
      </c>
      <c r="Q3361" t="b">
        <v>1</v>
      </c>
      <c r="R3361" t="s">
        <v>8271</v>
      </c>
      <c r="S3361" s="6">
        <f>Table1[[#This Row],[pledged]]/Table1[[#This Row],[goal]]</f>
        <v>1.0625</v>
      </c>
      <c r="T3361" s="8">
        <f>IF(Table1[[#This Row],[pledged]]=0,"no backers",Table1[[#This Row],[pledged]]/Table1[[#This Row],[backers_count]])</f>
        <v>184.78260869565219</v>
      </c>
      <c r="U3361" t="str">
        <f>LEFT(Table1[[#This Row],[Category and Sub-Category]],FIND("/",Table1[[#This Row],[Category and Sub-Category]])-1)</f>
        <v>theater</v>
      </c>
      <c r="V3361" t="str">
        <f>RIGHT(Table1[[#This Row],[Category and Sub-Category]],LEN(Table1[[#This Row],[Category and Sub-Category]])-FIND("/",Table1[[#This Row],[Category and Sub-Category]]))</f>
        <v>plays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 s="1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>((Table1[[#This Row],[deadline]]/60)/60/24)+DATE(1970,1,1)</f>
        <v>42718.665972222225</v>
      </c>
      <c r="K3362">
        <v>1479866343</v>
      </c>
      <c r="L3362" s="11">
        <f>((Table1[[#This Row],[launched_at]]/60)/60/24)+DATE(1970,1,1)</f>
        <v>42697.082673611112</v>
      </c>
      <c r="M3362">
        <f>MONTH(Table1[[#This Row],[Date Created Conversion]])</f>
        <v>11</v>
      </c>
      <c r="N3362">
        <f>YEAR(Table1[[#This Row],[Date Created Conversion]])</f>
        <v>2016</v>
      </c>
      <c r="O3362" t="b">
        <v>0</v>
      </c>
      <c r="P3362">
        <v>72</v>
      </c>
      <c r="Q3362" t="b">
        <v>1</v>
      </c>
      <c r="R3362" t="s">
        <v>8271</v>
      </c>
      <c r="S3362" s="6">
        <f>Table1[[#This Row],[pledged]]/Table1[[#This Row],[goal]]</f>
        <v>1.0137777777777779</v>
      </c>
      <c r="T3362" s="8">
        <f>IF(Table1[[#This Row],[pledged]]=0,"no backers",Table1[[#This Row],[pledged]]/Table1[[#This Row],[backers_count]])</f>
        <v>126.72222222222223</v>
      </c>
      <c r="U3362" t="str">
        <f>LEFT(Table1[[#This Row],[Category and Sub-Category]],FIND("/",Table1[[#This Row],[Category and Sub-Category]])-1)</f>
        <v>theater</v>
      </c>
      <c r="V3362" t="str">
        <f>RIGHT(Table1[[#This Row],[Category and Sub-Category]],LEN(Table1[[#This Row],[Category and Sub-Category]])-FIND("/",Table1[[#This Row],[Category and Sub-Category]]))</f>
        <v>plays</v>
      </c>
    </row>
    <row r="3363" spans="1:22" ht="57.6" x14ac:dyDescent="0.3">
      <c r="A3363">
        <v>3361</v>
      </c>
      <c r="B3363" s="3" t="s">
        <v>3360</v>
      </c>
      <c r="C3363" s="3" t="s">
        <v>7471</v>
      </c>
      <c r="D3363" s="12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>((Table1[[#This Row],[deadline]]/60)/60/24)+DATE(1970,1,1)</f>
        <v>41883.665972222225</v>
      </c>
      <c r="K3363">
        <v>1408062990</v>
      </c>
      <c r="L3363" s="11">
        <f>((Table1[[#This Row],[launched_at]]/60)/60/24)+DATE(1970,1,1)</f>
        <v>41866.025347222225</v>
      </c>
      <c r="M3363">
        <f>MONTH(Table1[[#This Row],[Date Created Conversion]])</f>
        <v>8</v>
      </c>
      <c r="N3363">
        <f>YEAR(Table1[[#This Row],[Date Created Conversion]])</f>
        <v>2014</v>
      </c>
      <c r="O3363" t="b">
        <v>0</v>
      </c>
      <c r="P3363">
        <v>68</v>
      </c>
      <c r="Q3363" t="b">
        <v>1</v>
      </c>
      <c r="R3363" t="s">
        <v>8271</v>
      </c>
      <c r="S3363" s="6">
        <f>Table1[[#This Row],[pledged]]/Table1[[#This Row],[goal]]</f>
        <v>1.1346000000000001</v>
      </c>
      <c r="T3363" s="8">
        <f>IF(Table1[[#This Row],[pledged]]=0,"no backers",Table1[[#This Row],[pledged]]/Table1[[#This Row],[backers_count]])</f>
        <v>83.42647058823529</v>
      </c>
      <c r="U3363" t="str">
        <f>LEFT(Table1[[#This Row],[Category and Sub-Category]],FIND("/",Table1[[#This Row],[Category and Sub-Category]])-1)</f>
        <v>theater</v>
      </c>
      <c r="V3363" t="str">
        <f>RIGHT(Table1[[#This Row],[Category and Sub-Category]],LEN(Table1[[#This Row],[Category and Sub-Category]])-FIND("/",Table1[[#This Row],[Category and Sub-Category]]))</f>
        <v>plays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 s="12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>((Table1[[#This Row],[deadline]]/60)/60/24)+DATE(1970,1,1)</f>
        <v>42070.204861111109</v>
      </c>
      <c r="K3364">
        <v>1424484717</v>
      </c>
      <c r="L3364" s="11">
        <f>((Table1[[#This Row],[launched_at]]/60)/60/24)+DATE(1970,1,1)</f>
        <v>42056.091631944444</v>
      </c>
      <c r="M3364">
        <f>MONTH(Table1[[#This Row],[Date Created Conversion]])</f>
        <v>2</v>
      </c>
      <c r="N3364">
        <f>YEAR(Table1[[#This Row],[Date Created Conversion]])</f>
        <v>2015</v>
      </c>
      <c r="O3364" t="b">
        <v>0</v>
      </c>
      <c r="P3364">
        <v>20</v>
      </c>
      <c r="Q3364" t="b">
        <v>1</v>
      </c>
      <c r="R3364" t="s">
        <v>8271</v>
      </c>
      <c r="S3364" s="6">
        <f>Table1[[#This Row],[pledged]]/Table1[[#This Row],[goal]]</f>
        <v>2.1800000000000002</v>
      </c>
      <c r="T3364" s="8">
        <f>IF(Table1[[#This Row],[pledged]]=0,"no backers",Table1[[#This Row],[pledged]]/Table1[[#This Row],[backers_count]])</f>
        <v>54.5</v>
      </c>
      <c r="U3364" t="str">
        <f>LEFT(Table1[[#This Row],[Category and Sub-Category]],FIND("/",Table1[[#This Row],[Category and Sub-Category]])-1)</f>
        <v>theater</v>
      </c>
      <c r="V3364" t="str">
        <f>RIGHT(Table1[[#This Row],[Category and Sub-Category]],LEN(Table1[[#This Row],[Category and Sub-Category]])-FIND("/",Table1[[#This Row],[Category and Sub-Category]]))</f>
        <v>plays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 s="12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>((Table1[[#This Row],[deadline]]/60)/60/24)+DATE(1970,1,1)</f>
        <v>41870.666666666664</v>
      </c>
      <c r="K3365">
        <v>1406831445</v>
      </c>
      <c r="L3365" s="11">
        <f>((Table1[[#This Row],[launched_at]]/60)/60/24)+DATE(1970,1,1)</f>
        <v>41851.771354166667</v>
      </c>
      <c r="M3365">
        <f>MONTH(Table1[[#This Row],[Date Created Conversion]])</f>
        <v>7</v>
      </c>
      <c r="N3365">
        <f>YEAR(Table1[[#This Row],[Date Created Conversion]])</f>
        <v>2014</v>
      </c>
      <c r="O3365" t="b">
        <v>0</v>
      </c>
      <c r="P3365">
        <v>26</v>
      </c>
      <c r="Q3365" t="b">
        <v>1</v>
      </c>
      <c r="R3365" t="s">
        <v>8271</v>
      </c>
      <c r="S3365" s="6">
        <f>Table1[[#This Row],[pledged]]/Table1[[#This Row],[goal]]</f>
        <v>1.0141935483870967</v>
      </c>
      <c r="T3365" s="8">
        <f>IF(Table1[[#This Row],[pledged]]=0,"no backers",Table1[[#This Row],[pledged]]/Table1[[#This Row],[backers_count]])</f>
        <v>302.30769230769232</v>
      </c>
      <c r="U3365" t="str">
        <f>LEFT(Table1[[#This Row],[Category and Sub-Category]],FIND("/",Table1[[#This Row],[Category and Sub-Category]])-1)</f>
        <v>theater</v>
      </c>
      <c r="V3365" t="str">
        <f>RIGHT(Table1[[#This Row],[Category and Sub-Category]],LEN(Table1[[#This Row],[Category and Sub-Category]])-FIND("/",Table1[[#This Row],[Category and Sub-Category]]))</f>
        <v>plays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 s="12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>((Table1[[#This Row],[deadline]]/60)/60/24)+DATE(1970,1,1)</f>
        <v>42444.875</v>
      </c>
      <c r="K3366">
        <v>1456183649</v>
      </c>
      <c r="L3366" s="11">
        <f>((Table1[[#This Row],[launched_at]]/60)/60/24)+DATE(1970,1,1)</f>
        <v>42422.977418981478</v>
      </c>
      <c r="M3366">
        <f>MONTH(Table1[[#This Row],[Date Created Conversion]])</f>
        <v>2</v>
      </c>
      <c r="N3366">
        <f>YEAR(Table1[[#This Row],[Date Created Conversion]])</f>
        <v>2016</v>
      </c>
      <c r="O3366" t="b">
        <v>0</v>
      </c>
      <c r="P3366">
        <v>72</v>
      </c>
      <c r="Q3366" t="b">
        <v>1</v>
      </c>
      <c r="R3366" t="s">
        <v>8271</v>
      </c>
      <c r="S3366" s="6">
        <f>Table1[[#This Row],[pledged]]/Table1[[#This Row],[goal]]</f>
        <v>1.0593333333333332</v>
      </c>
      <c r="T3366" s="8">
        <f>IF(Table1[[#This Row],[pledged]]=0,"no backers",Table1[[#This Row],[pledged]]/Table1[[#This Row],[backers_count]])</f>
        <v>44.138888888888886</v>
      </c>
      <c r="U3366" t="str">
        <f>LEFT(Table1[[#This Row],[Category and Sub-Category]],FIND("/",Table1[[#This Row],[Category and Sub-Category]])-1)</f>
        <v>theater</v>
      </c>
      <c r="V3366" t="str">
        <f>RIGHT(Table1[[#This Row],[Category and Sub-Category]],LEN(Table1[[#This Row],[Category and Sub-Category]])-FIND("/",Table1[[#This Row],[Category and Sub-Category]]))</f>
        <v>plays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 s="12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>((Table1[[#This Row],[deadline]]/60)/60/24)+DATE(1970,1,1)</f>
        <v>42351.101759259262</v>
      </c>
      <c r="K3367">
        <v>1447381592</v>
      </c>
      <c r="L3367" s="11">
        <f>((Table1[[#This Row],[launched_at]]/60)/60/24)+DATE(1970,1,1)</f>
        <v>42321.101759259262</v>
      </c>
      <c r="M3367">
        <f>MONTH(Table1[[#This Row],[Date Created Conversion]])</f>
        <v>11</v>
      </c>
      <c r="N3367">
        <f>YEAR(Table1[[#This Row],[Date Created Conversion]])</f>
        <v>2015</v>
      </c>
      <c r="O3367" t="b">
        <v>0</v>
      </c>
      <c r="P3367">
        <v>3</v>
      </c>
      <c r="Q3367" t="b">
        <v>1</v>
      </c>
      <c r="R3367" t="s">
        <v>8271</v>
      </c>
      <c r="S3367" s="6">
        <f>Table1[[#This Row],[pledged]]/Table1[[#This Row],[goal]]</f>
        <v>1.04</v>
      </c>
      <c r="T3367" s="8">
        <f>IF(Table1[[#This Row],[pledged]]=0,"no backers",Table1[[#This Row],[pledged]]/Table1[[#This Row],[backers_count]])</f>
        <v>866.66666666666663</v>
      </c>
      <c r="U3367" t="str">
        <f>LEFT(Table1[[#This Row],[Category and Sub-Category]],FIND("/",Table1[[#This Row],[Category and Sub-Category]])-1)</f>
        <v>theater</v>
      </c>
      <c r="V3367" t="str">
        <f>RIGHT(Table1[[#This Row],[Category and Sub-Category]],LEN(Table1[[#This Row],[Category and Sub-Category]])-FIND("/",Table1[[#This Row],[Category and Sub-Category]]))</f>
        <v>plays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 s="12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>((Table1[[#This Row],[deadline]]/60)/60/24)+DATE(1970,1,1)</f>
        <v>42137.067557870367</v>
      </c>
      <c r="K3368">
        <v>1428889037</v>
      </c>
      <c r="L3368" s="11">
        <f>((Table1[[#This Row],[launched_at]]/60)/60/24)+DATE(1970,1,1)</f>
        <v>42107.067557870367</v>
      </c>
      <c r="M3368">
        <f>MONTH(Table1[[#This Row],[Date Created Conversion]])</f>
        <v>4</v>
      </c>
      <c r="N3368">
        <f>YEAR(Table1[[#This Row],[Date Created Conversion]])</f>
        <v>2015</v>
      </c>
      <c r="O3368" t="b">
        <v>0</v>
      </c>
      <c r="P3368">
        <v>18</v>
      </c>
      <c r="Q3368" t="b">
        <v>1</v>
      </c>
      <c r="R3368" t="s">
        <v>8271</v>
      </c>
      <c r="S3368" s="6">
        <f>Table1[[#This Row],[pledged]]/Table1[[#This Row],[goal]]</f>
        <v>2.21</v>
      </c>
      <c r="T3368" s="8">
        <f>IF(Table1[[#This Row],[pledged]]=0,"no backers",Table1[[#This Row],[pledged]]/Table1[[#This Row],[backers_count]])</f>
        <v>61.388888888888886</v>
      </c>
      <c r="U3368" t="str">
        <f>LEFT(Table1[[#This Row],[Category and Sub-Category]],FIND("/",Table1[[#This Row],[Category and Sub-Category]])-1)</f>
        <v>theater</v>
      </c>
      <c r="V3368" t="str">
        <f>RIGHT(Table1[[#This Row],[Category and Sub-Category]],LEN(Table1[[#This Row],[Category and Sub-Category]])-FIND("/",Table1[[#This Row],[Category and Sub-Category]]))</f>
        <v>plays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 s="12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>((Table1[[#This Row],[deadline]]/60)/60/24)+DATE(1970,1,1)</f>
        <v>42217.933958333335</v>
      </c>
      <c r="K3369">
        <v>1436307894</v>
      </c>
      <c r="L3369" s="11">
        <f>((Table1[[#This Row],[launched_at]]/60)/60/24)+DATE(1970,1,1)</f>
        <v>42192.933958333335</v>
      </c>
      <c r="M3369">
        <f>MONTH(Table1[[#This Row],[Date Created Conversion]])</f>
        <v>7</v>
      </c>
      <c r="N3369">
        <f>YEAR(Table1[[#This Row],[Date Created Conversion]])</f>
        <v>2015</v>
      </c>
      <c r="O3369" t="b">
        <v>0</v>
      </c>
      <c r="P3369">
        <v>30</v>
      </c>
      <c r="Q3369" t="b">
        <v>1</v>
      </c>
      <c r="R3369" t="s">
        <v>8271</v>
      </c>
      <c r="S3369" s="6">
        <f>Table1[[#This Row],[pledged]]/Table1[[#This Row],[goal]]</f>
        <v>1.1866666666666668</v>
      </c>
      <c r="T3369" s="8">
        <f>IF(Table1[[#This Row],[pledged]]=0,"no backers",Table1[[#This Row],[pledged]]/Table1[[#This Row],[backers_count]])</f>
        <v>29.666666666666668</v>
      </c>
      <c r="U3369" t="str">
        <f>LEFT(Table1[[#This Row],[Category and Sub-Category]],FIND("/",Table1[[#This Row],[Category and Sub-Category]])-1)</f>
        <v>theater</v>
      </c>
      <c r="V3369" t="str">
        <f>RIGHT(Table1[[#This Row],[Category and Sub-Category]],LEN(Table1[[#This Row],[Category and Sub-Category]])-FIND("/",Table1[[#This Row],[Category and Sub-Category]]))</f>
        <v>plays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 s="12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>((Table1[[#This Row],[deadline]]/60)/60/24)+DATE(1970,1,1)</f>
        <v>42005.208333333328</v>
      </c>
      <c r="K3370">
        <v>1416977259</v>
      </c>
      <c r="L3370" s="11">
        <f>((Table1[[#This Row],[launched_at]]/60)/60/24)+DATE(1970,1,1)</f>
        <v>41969.199756944443</v>
      </c>
      <c r="M3370">
        <f>MONTH(Table1[[#This Row],[Date Created Conversion]])</f>
        <v>11</v>
      </c>
      <c r="N3370">
        <f>YEAR(Table1[[#This Row],[Date Created Conversion]])</f>
        <v>2014</v>
      </c>
      <c r="O3370" t="b">
        <v>0</v>
      </c>
      <c r="P3370">
        <v>23</v>
      </c>
      <c r="Q3370" t="b">
        <v>1</v>
      </c>
      <c r="R3370" t="s">
        <v>8271</v>
      </c>
      <c r="S3370" s="6">
        <f>Table1[[#This Row],[pledged]]/Table1[[#This Row],[goal]]</f>
        <v>1.046</v>
      </c>
      <c r="T3370" s="8">
        <f>IF(Table1[[#This Row],[pledged]]=0,"no backers",Table1[[#This Row],[pledged]]/Table1[[#This Row],[backers_count]])</f>
        <v>45.478260869565219</v>
      </c>
      <c r="U3370" t="str">
        <f>LEFT(Table1[[#This Row],[Category and Sub-Category]],FIND("/",Table1[[#This Row],[Category and Sub-Category]])-1)</f>
        <v>theater</v>
      </c>
      <c r="V3370" t="str">
        <f>RIGHT(Table1[[#This Row],[Category and Sub-Category]],LEN(Table1[[#This Row],[Category and Sub-Category]])-FIND("/",Table1[[#This Row],[Category and Sub-Category]]))</f>
        <v>plays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 s="12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>((Table1[[#This Row],[deadline]]/60)/60/24)+DATE(1970,1,1)</f>
        <v>42750.041435185187</v>
      </c>
      <c r="K3371">
        <v>1479257980</v>
      </c>
      <c r="L3371" s="11">
        <f>((Table1[[#This Row],[launched_at]]/60)/60/24)+DATE(1970,1,1)</f>
        <v>42690.041435185187</v>
      </c>
      <c r="M3371">
        <f>MONTH(Table1[[#This Row],[Date Created Conversion]])</f>
        <v>11</v>
      </c>
      <c r="N3371">
        <f>YEAR(Table1[[#This Row],[Date Created Conversion]])</f>
        <v>2016</v>
      </c>
      <c r="O3371" t="b">
        <v>0</v>
      </c>
      <c r="P3371">
        <v>54</v>
      </c>
      <c r="Q3371" t="b">
        <v>1</v>
      </c>
      <c r="R3371" t="s">
        <v>8271</v>
      </c>
      <c r="S3371" s="6">
        <f>Table1[[#This Row],[pledged]]/Table1[[#This Row],[goal]]</f>
        <v>1.0389999999999999</v>
      </c>
      <c r="T3371" s="8">
        <f>IF(Table1[[#This Row],[pledged]]=0,"no backers",Table1[[#This Row],[pledged]]/Table1[[#This Row],[backers_count]])</f>
        <v>96.203703703703709</v>
      </c>
      <c r="U3371" t="str">
        <f>LEFT(Table1[[#This Row],[Category and Sub-Category]],FIND("/",Table1[[#This Row],[Category and Sub-Category]])-1)</f>
        <v>theater</v>
      </c>
      <c r="V3371" t="str">
        <f>RIGHT(Table1[[#This Row],[Category and Sub-Category]],LEN(Table1[[#This Row],[Category and Sub-Category]])-FIND("/",Table1[[#This Row],[Category and Sub-Category]]))</f>
        <v>plays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 s="1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>((Table1[[#This Row],[deadline]]/60)/60/24)+DATE(1970,1,1)</f>
        <v>42721.333333333328</v>
      </c>
      <c r="K3372">
        <v>1479283285</v>
      </c>
      <c r="L3372" s="11">
        <f>((Table1[[#This Row],[launched_at]]/60)/60/24)+DATE(1970,1,1)</f>
        <v>42690.334317129629</v>
      </c>
      <c r="M3372">
        <f>MONTH(Table1[[#This Row],[Date Created Conversion]])</f>
        <v>11</v>
      </c>
      <c r="N3372">
        <f>YEAR(Table1[[#This Row],[Date Created Conversion]])</f>
        <v>2016</v>
      </c>
      <c r="O3372" t="b">
        <v>0</v>
      </c>
      <c r="P3372">
        <v>26</v>
      </c>
      <c r="Q3372" t="b">
        <v>1</v>
      </c>
      <c r="R3372" t="s">
        <v>8271</v>
      </c>
      <c r="S3372" s="6">
        <f>Table1[[#This Row],[pledged]]/Table1[[#This Row],[goal]]</f>
        <v>1.1773333333333333</v>
      </c>
      <c r="T3372" s="8">
        <f>IF(Table1[[#This Row],[pledged]]=0,"no backers",Table1[[#This Row],[pledged]]/Table1[[#This Row],[backers_count]])</f>
        <v>67.92307692307692</v>
      </c>
      <c r="U3372" t="str">
        <f>LEFT(Table1[[#This Row],[Category and Sub-Category]],FIND("/",Table1[[#This Row],[Category and Sub-Category]])-1)</f>
        <v>theater</v>
      </c>
      <c r="V3372" t="str">
        <f>RIGHT(Table1[[#This Row],[Category and Sub-Category]],LEN(Table1[[#This Row],[Category and Sub-Category]])-FIND("/",Table1[[#This Row],[Category and Sub-Category]]))</f>
        <v>plays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 s="12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>((Table1[[#This Row],[deadline]]/60)/60/24)+DATE(1970,1,1)</f>
        <v>42340.874594907407</v>
      </c>
      <c r="K3373">
        <v>1446670765</v>
      </c>
      <c r="L3373" s="11">
        <f>((Table1[[#This Row],[launched_at]]/60)/60/24)+DATE(1970,1,1)</f>
        <v>42312.874594907407</v>
      </c>
      <c r="M3373">
        <f>MONTH(Table1[[#This Row],[Date Created Conversion]])</f>
        <v>11</v>
      </c>
      <c r="N3373">
        <f>YEAR(Table1[[#This Row],[Date Created Conversion]])</f>
        <v>2015</v>
      </c>
      <c r="O3373" t="b">
        <v>0</v>
      </c>
      <c r="P3373">
        <v>9</v>
      </c>
      <c r="Q3373" t="b">
        <v>1</v>
      </c>
      <c r="R3373" t="s">
        <v>8271</v>
      </c>
      <c r="S3373" s="6">
        <f>Table1[[#This Row],[pledged]]/Table1[[#This Row],[goal]]</f>
        <v>1.385</v>
      </c>
      <c r="T3373" s="8">
        <f>IF(Table1[[#This Row],[pledged]]=0,"no backers",Table1[[#This Row],[pledged]]/Table1[[#This Row],[backers_count]])</f>
        <v>30.777777777777779</v>
      </c>
      <c r="U3373" t="str">
        <f>LEFT(Table1[[#This Row],[Category and Sub-Category]],FIND("/",Table1[[#This Row],[Category and Sub-Category]])-1)</f>
        <v>theater</v>
      </c>
      <c r="V3373" t="str">
        <f>RIGHT(Table1[[#This Row],[Category and Sub-Category]],LEN(Table1[[#This Row],[Category and Sub-Category]])-FIND("/",Table1[[#This Row],[Category and Sub-Category]]))</f>
        <v>plays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 s="12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>((Table1[[#This Row],[deadline]]/60)/60/24)+DATE(1970,1,1)</f>
        <v>41876.207638888889</v>
      </c>
      <c r="K3374">
        <v>1407157756</v>
      </c>
      <c r="L3374" s="11">
        <f>((Table1[[#This Row],[launched_at]]/60)/60/24)+DATE(1970,1,1)</f>
        <v>41855.548101851848</v>
      </c>
      <c r="M3374">
        <f>MONTH(Table1[[#This Row],[Date Created Conversion]])</f>
        <v>8</v>
      </c>
      <c r="N3374">
        <f>YEAR(Table1[[#This Row],[Date Created Conversion]])</f>
        <v>2014</v>
      </c>
      <c r="O3374" t="b">
        <v>0</v>
      </c>
      <c r="P3374">
        <v>27</v>
      </c>
      <c r="Q3374" t="b">
        <v>1</v>
      </c>
      <c r="R3374" t="s">
        <v>8271</v>
      </c>
      <c r="S3374" s="6">
        <f>Table1[[#This Row],[pledged]]/Table1[[#This Row],[goal]]</f>
        <v>1.0349999999999999</v>
      </c>
      <c r="T3374" s="8">
        <f>IF(Table1[[#This Row],[pledged]]=0,"no backers",Table1[[#This Row],[pledged]]/Table1[[#This Row],[backers_count]])</f>
        <v>38.333333333333336</v>
      </c>
      <c r="U3374" t="str">
        <f>LEFT(Table1[[#This Row],[Category and Sub-Category]],FIND("/",Table1[[#This Row],[Category and Sub-Category]])-1)</f>
        <v>theater</v>
      </c>
      <c r="V3374" t="str">
        <f>RIGHT(Table1[[#This Row],[Category and Sub-Category]],LEN(Table1[[#This Row],[Category and Sub-Category]])-FIND("/",Table1[[#This Row],[Category and Sub-Category]]))</f>
        <v>plays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 s="12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>((Table1[[#This Row],[deadline]]/60)/60/24)+DATE(1970,1,1)</f>
        <v>42203.666666666672</v>
      </c>
      <c r="K3375">
        <v>1435177840</v>
      </c>
      <c r="L3375" s="11">
        <f>((Table1[[#This Row],[launched_at]]/60)/60/24)+DATE(1970,1,1)</f>
        <v>42179.854629629626</v>
      </c>
      <c r="M3375">
        <f>MONTH(Table1[[#This Row],[Date Created Conversion]])</f>
        <v>6</v>
      </c>
      <c r="N3375">
        <f>YEAR(Table1[[#This Row],[Date Created Conversion]])</f>
        <v>2015</v>
      </c>
      <c r="O3375" t="b">
        <v>0</v>
      </c>
      <c r="P3375">
        <v>30</v>
      </c>
      <c r="Q3375" t="b">
        <v>1</v>
      </c>
      <c r="R3375" t="s">
        <v>8271</v>
      </c>
      <c r="S3375" s="6">
        <f>Table1[[#This Row],[pledged]]/Table1[[#This Row],[goal]]</f>
        <v>1.0024999999999999</v>
      </c>
      <c r="T3375" s="8">
        <f>IF(Table1[[#This Row],[pledged]]=0,"no backers",Table1[[#This Row],[pledged]]/Table1[[#This Row],[backers_count]])</f>
        <v>66.833333333333329</v>
      </c>
      <c r="U3375" t="str">
        <f>LEFT(Table1[[#This Row],[Category and Sub-Category]],FIND("/",Table1[[#This Row],[Category and Sub-Category]])-1)</f>
        <v>theater</v>
      </c>
      <c r="V3375" t="str">
        <f>RIGHT(Table1[[#This Row],[Category and Sub-Category]],LEN(Table1[[#This Row],[Category and Sub-Category]])-FIND("/",Table1[[#This Row],[Category and Sub-Category]]))</f>
        <v>plays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 s="12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>((Table1[[#This Row],[deadline]]/60)/60/24)+DATE(1970,1,1)</f>
        <v>42305.731666666667</v>
      </c>
      <c r="K3376">
        <v>1443461616</v>
      </c>
      <c r="L3376" s="11">
        <f>((Table1[[#This Row],[launched_at]]/60)/60/24)+DATE(1970,1,1)</f>
        <v>42275.731666666667</v>
      </c>
      <c r="M3376">
        <f>MONTH(Table1[[#This Row],[Date Created Conversion]])</f>
        <v>9</v>
      </c>
      <c r="N3376">
        <f>YEAR(Table1[[#This Row],[Date Created Conversion]])</f>
        <v>2015</v>
      </c>
      <c r="O3376" t="b">
        <v>0</v>
      </c>
      <c r="P3376">
        <v>52</v>
      </c>
      <c r="Q3376" t="b">
        <v>1</v>
      </c>
      <c r="R3376" t="s">
        <v>8271</v>
      </c>
      <c r="S3376" s="6">
        <f>Table1[[#This Row],[pledged]]/Table1[[#This Row],[goal]]</f>
        <v>1.0657142857142856</v>
      </c>
      <c r="T3376" s="8">
        <f>IF(Table1[[#This Row],[pledged]]=0,"no backers",Table1[[#This Row],[pledged]]/Table1[[#This Row],[backers_count]])</f>
        <v>71.730769230769226</v>
      </c>
      <c r="U3376" t="str">
        <f>LEFT(Table1[[#This Row],[Category and Sub-Category]],FIND("/",Table1[[#This Row],[Category and Sub-Category]])-1)</f>
        <v>theater</v>
      </c>
      <c r="V3376" t="str">
        <f>RIGHT(Table1[[#This Row],[Category and Sub-Category]],LEN(Table1[[#This Row],[Category and Sub-Category]])-FIND("/",Table1[[#This Row],[Category and Sub-Category]]))</f>
        <v>plays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 s="12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>((Table1[[#This Row],[deadline]]/60)/60/24)+DATE(1970,1,1)</f>
        <v>41777.610798611109</v>
      </c>
      <c r="K3377">
        <v>1399387173</v>
      </c>
      <c r="L3377" s="11">
        <f>((Table1[[#This Row],[launched_at]]/60)/60/24)+DATE(1970,1,1)</f>
        <v>41765.610798611109</v>
      </c>
      <c r="M3377">
        <f>MONTH(Table1[[#This Row],[Date Created Conversion]])</f>
        <v>5</v>
      </c>
      <c r="N3377">
        <f>YEAR(Table1[[#This Row],[Date Created Conversion]])</f>
        <v>2014</v>
      </c>
      <c r="O3377" t="b">
        <v>0</v>
      </c>
      <c r="P3377">
        <v>17</v>
      </c>
      <c r="Q3377" t="b">
        <v>1</v>
      </c>
      <c r="R3377" t="s">
        <v>8271</v>
      </c>
      <c r="S3377" s="6">
        <f>Table1[[#This Row],[pledged]]/Table1[[#This Row],[goal]]</f>
        <v>1</v>
      </c>
      <c r="T3377" s="8">
        <f>IF(Table1[[#This Row],[pledged]]=0,"no backers",Table1[[#This Row],[pledged]]/Table1[[#This Row],[backers_count]])</f>
        <v>176.47058823529412</v>
      </c>
      <c r="U3377" t="str">
        <f>LEFT(Table1[[#This Row],[Category and Sub-Category]],FIND("/",Table1[[#This Row],[Category and Sub-Category]])-1)</f>
        <v>theater</v>
      </c>
      <c r="V3377" t="str">
        <f>RIGHT(Table1[[#This Row],[Category and Sub-Category]],LEN(Table1[[#This Row],[Category and Sub-Category]])-FIND("/",Table1[[#This Row],[Category and Sub-Category]]))</f>
        <v>plays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 s="12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>((Table1[[#This Row],[deadline]]/60)/60/24)+DATE(1970,1,1)</f>
        <v>42119.659652777773</v>
      </c>
      <c r="K3378">
        <v>1424796594</v>
      </c>
      <c r="L3378" s="11">
        <f>((Table1[[#This Row],[launched_at]]/60)/60/24)+DATE(1970,1,1)</f>
        <v>42059.701319444444</v>
      </c>
      <c r="M3378">
        <f>MONTH(Table1[[#This Row],[Date Created Conversion]])</f>
        <v>2</v>
      </c>
      <c r="N3378">
        <f>YEAR(Table1[[#This Row],[Date Created Conversion]])</f>
        <v>2015</v>
      </c>
      <c r="O3378" t="b">
        <v>0</v>
      </c>
      <c r="P3378">
        <v>19</v>
      </c>
      <c r="Q3378" t="b">
        <v>1</v>
      </c>
      <c r="R3378" t="s">
        <v>8271</v>
      </c>
      <c r="S3378" s="6">
        <f>Table1[[#This Row],[pledged]]/Table1[[#This Row],[goal]]</f>
        <v>1.0001249999999999</v>
      </c>
      <c r="T3378" s="8">
        <f>IF(Table1[[#This Row],[pledged]]=0,"no backers",Table1[[#This Row],[pledged]]/Table1[[#This Row],[backers_count]])</f>
        <v>421.10526315789474</v>
      </c>
      <c r="U3378" t="str">
        <f>LEFT(Table1[[#This Row],[Category and Sub-Category]],FIND("/",Table1[[#This Row],[Category and Sub-Category]])-1)</f>
        <v>theater</v>
      </c>
      <c r="V3378" t="str">
        <f>RIGHT(Table1[[#This Row],[Category and Sub-Category]],LEN(Table1[[#This Row],[Category and Sub-Category]])-FIND("/",Table1[[#This Row],[Category and Sub-Category]]))</f>
        <v>plays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 s="12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>((Table1[[#This Row],[deadline]]/60)/60/24)+DATE(1970,1,1)</f>
        <v>42083.705555555556</v>
      </c>
      <c r="K3379">
        <v>1424280899</v>
      </c>
      <c r="L3379" s="11">
        <f>((Table1[[#This Row],[launched_at]]/60)/60/24)+DATE(1970,1,1)</f>
        <v>42053.732627314821</v>
      </c>
      <c r="M3379">
        <f>MONTH(Table1[[#This Row],[Date Created Conversion]])</f>
        <v>2</v>
      </c>
      <c r="N3379">
        <f>YEAR(Table1[[#This Row],[Date Created Conversion]])</f>
        <v>2015</v>
      </c>
      <c r="O3379" t="b">
        <v>0</v>
      </c>
      <c r="P3379">
        <v>77</v>
      </c>
      <c r="Q3379" t="b">
        <v>1</v>
      </c>
      <c r="R3379" t="s">
        <v>8271</v>
      </c>
      <c r="S3379" s="6">
        <f>Table1[[#This Row],[pledged]]/Table1[[#This Row],[goal]]</f>
        <v>1.0105</v>
      </c>
      <c r="T3379" s="8">
        <f>IF(Table1[[#This Row],[pledged]]=0,"no backers",Table1[[#This Row],[pledged]]/Table1[[#This Row],[backers_count]])</f>
        <v>104.98701298701299</v>
      </c>
      <c r="U3379" t="str">
        <f>LEFT(Table1[[#This Row],[Category and Sub-Category]],FIND("/",Table1[[#This Row],[Category and Sub-Category]])-1)</f>
        <v>theater</v>
      </c>
      <c r="V3379" t="str">
        <f>RIGHT(Table1[[#This Row],[Category and Sub-Category]],LEN(Table1[[#This Row],[Category and Sub-Category]])-FIND("/",Table1[[#This Row],[Category and Sub-Category]]))</f>
        <v>plays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 s="12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>((Table1[[#This Row],[deadline]]/60)/60/24)+DATE(1970,1,1)</f>
        <v>41882.547222222223</v>
      </c>
      <c r="K3380">
        <v>1407400306</v>
      </c>
      <c r="L3380" s="11">
        <f>((Table1[[#This Row],[launched_at]]/60)/60/24)+DATE(1970,1,1)</f>
        <v>41858.355393518519</v>
      </c>
      <c r="M3380">
        <f>MONTH(Table1[[#This Row],[Date Created Conversion]])</f>
        <v>8</v>
      </c>
      <c r="N3380">
        <f>YEAR(Table1[[#This Row],[Date Created Conversion]])</f>
        <v>2014</v>
      </c>
      <c r="O3380" t="b">
        <v>0</v>
      </c>
      <c r="P3380">
        <v>21</v>
      </c>
      <c r="Q3380" t="b">
        <v>1</v>
      </c>
      <c r="R3380" t="s">
        <v>8271</v>
      </c>
      <c r="S3380" s="6">
        <f>Table1[[#This Row],[pledged]]/Table1[[#This Row],[goal]]</f>
        <v>1.0763636363636364</v>
      </c>
      <c r="T3380" s="8">
        <f>IF(Table1[[#This Row],[pledged]]=0,"no backers",Table1[[#This Row],[pledged]]/Table1[[#This Row],[backers_count]])</f>
        <v>28.19047619047619</v>
      </c>
      <c r="U3380" t="str">
        <f>LEFT(Table1[[#This Row],[Category and Sub-Category]],FIND("/",Table1[[#This Row],[Category and Sub-Category]])-1)</f>
        <v>theater</v>
      </c>
      <c r="V3380" t="str">
        <f>RIGHT(Table1[[#This Row],[Category and Sub-Category]],LEN(Table1[[#This Row],[Category and Sub-Category]])-FIND("/",Table1[[#This Row],[Category and Sub-Category]]))</f>
        <v>plays</v>
      </c>
    </row>
    <row r="3381" spans="1:22" ht="57.6" x14ac:dyDescent="0.3">
      <c r="A3381">
        <v>3379</v>
      </c>
      <c r="B3381" s="3" t="s">
        <v>3378</v>
      </c>
      <c r="C3381" s="3" t="s">
        <v>7489</v>
      </c>
      <c r="D3381" s="12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>((Table1[[#This Row],[deadline]]/60)/60/24)+DATE(1970,1,1)</f>
        <v>42242.958333333328</v>
      </c>
      <c r="K3381">
        <v>1439122800</v>
      </c>
      <c r="L3381" s="11">
        <f>((Table1[[#This Row],[launched_at]]/60)/60/24)+DATE(1970,1,1)</f>
        <v>42225.513888888891</v>
      </c>
      <c r="M3381">
        <f>MONTH(Table1[[#This Row],[Date Created Conversion]])</f>
        <v>8</v>
      </c>
      <c r="N3381">
        <f>YEAR(Table1[[#This Row],[Date Created Conversion]])</f>
        <v>2015</v>
      </c>
      <c r="O3381" t="b">
        <v>0</v>
      </c>
      <c r="P3381">
        <v>38</v>
      </c>
      <c r="Q3381" t="b">
        <v>1</v>
      </c>
      <c r="R3381" t="s">
        <v>8271</v>
      </c>
      <c r="S3381" s="6">
        <f>Table1[[#This Row],[pledged]]/Table1[[#This Row],[goal]]</f>
        <v>1.0365</v>
      </c>
      <c r="T3381" s="8">
        <f>IF(Table1[[#This Row],[pledged]]=0,"no backers",Table1[[#This Row],[pledged]]/Table1[[#This Row],[backers_count]])</f>
        <v>54.55263157894737</v>
      </c>
      <c r="U3381" t="str">
        <f>LEFT(Table1[[#This Row],[Category and Sub-Category]],FIND("/",Table1[[#This Row],[Category and Sub-Category]])-1)</f>
        <v>theater</v>
      </c>
      <c r="V3381" t="str">
        <f>RIGHT(Table1[[#This Row],[Category and Sub-Category]],LEN(Table1[[#This Row],[Category and Sub-Category]])-FIND("/",Table1[[#This Row],[Category and Sub-Category]]))</f>
        <v>plays</v>
      </c>
    </row>
    <row r="3382" spans="1:22" ht="57.6" x14ac:dyDescent="0.3">
      <c r="A3382">
        <v>3380</v>
      </c>
      <c r="B3382" s="3" t="s">
        <v>3379</v>
      </c>
      <c r="C3382" s="3" t="s">
        <v>7490</v>
      </c>
      <c r="D3382" s="1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>((Table1[[#This Row],[deadline]]/60)/60/24)+DATE(1970,1,1)</f>
        <v>41972.995115740734</v>
      </c>
      <c r="K3382">
        <v>1414277578</v>
      </c>
      <c r="L3382" s="11">
        <f>((Table1[[#This Row],[launched_at]]/60)/60/24)+DATE(1970,1,1)</f>
        <v>41937.95344907407</v>
      </c>
      <c r="M3382">
        <f>MONTH(Table1[[#This Row],[Date Created Conversion]])</f>
        <v>10</v>
      </c>
      <c r="N3382">
        <f>YEAR(Table1[[#This Row],[Date Created Conversion]])</f>
        <v>2014</v>
      </c>
      <c r="O3382" t="b">
        <v>0</v>
      </c>
      <c r="P3382">
        <v>28</v>
      </c>
      <c r="Q3382" t="b">
        <v>1</v>
      </c>
      <c r="R3382" t="s">
        <v>8271</v>
      </c>
      <c r="S3382" s="6">
        <f>Table1[[#This Row],[pledged]]/Table1[[#This Row],[goal]]</f>
        <v>1.0443333333333333</v>
      </c>
      <c r="T3382" s="8">
        <f>IF(Table1[[#This Row],[pledged]]=0,"no backers",Table1[[#This Row],[pledged]]/Table1[[#This Row],[backers_count]])</f>
        <v>111.89285714285714</v>
      </c>
      <c r="U3382" t="str">
        <f>LEFT(Table1[[#This Row],[Category and Sub-Category]],FIND("/",Table1[[#This Row],[Category and Sub-Category]])-1)</f>
        <v>theater</v>
      </c>
      <c r="V3382" t="str">
        <f>RIGHT(Table1[[#This Row],[Category and Sub-Category]],LEN(Table1[[#This Row],[Category and Sub-Category]])-FIND("/",Table1[[#This Row],[Category and Sub-Category]]))</f>
        <v>plays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 s="12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>((Table1[[#This Row],[deadline]]/60)/60/24)+DATE(1970,1,1)</f>
        <v>42074.143321759257</v>
      </c>
      <c r="K3383">
        <v>1423455983</v>
      </c>
      <c r="L3383" s="11">
        <f>((Table1[[#This Row],[launched_at]]/60)/60/24)+DATE(1970,1,1)</f>
        <v>42044.184988425928</v>
      </c>
      <c r="M3383">
        <f>MONTH(Table1[[#This Row],[Date Created Conversion]])</f>
        <v>2</v>
      </c>
      <c r="N3383">
        <f>YEAR(Table1[[#This Row],[Date Created Conversion]])</f>
        <v>2015</v>
      </c>
      <c r="O3383" t="b">
        <v>0</v>
      </c>
      <c r="P3383">
        <v>48</v>
      </c>
      <c r="Q3383" t="b">
        <v>1</v>
      </c>
      <c r="R3383" t="s">
        <v>8271</v>
      </c>
      <c r="S3383" s="6">
        <f>Table1[[#This Row],[pledged]]/Table1[[#This Row],[goal]]</f>
        <v>1.0225</v>
      </c>
      <c r="T3383" s="8">
        <f>IF(Table1[[#This Row],[pledged]]=0,"no backers",Table1[[#This Row],[pledged]]/Table1[[#This Row],[backers_count]])</f>
        <v>85.208333333333329</v>
      </c>
      <c r="U3383" t="str">
        <f>LEFT(Table1[[#This Row],[Category and Sub-Category]],FIND("/",Table1[[#This Row],[Category and Sub-Category]])-1)</f>
        <v>theater</v>
      </c>
      <c r="V3383" t="str">
        <f>RIGHT(Table1[[#This Row],[Category and Sub-Category]],LEN(Table1[[#This Row],[Category and Sub-Category]])-FIND("/",Table1[[#This Row],[Category and Sub-Category]]))</f>
        <v>plays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 s="12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>((Table1[[#This Row],[deadline]]/60)/60/24)+DATE(1970,1,1)</f>
        <v>42583.957638888889</v>
      </c>
      <c r="K3384">
        <v>1467973256</v>
      </c>
      <c r="L3384" s="11">
        <f>((Table1[[#This Row],[launched_at]]/60)/60/24)+DATE(1970,1,1)</f>
        <v>42559.431203703702</v>
      </c>
      <c r="M3384">
        <f>MONTH(Table1[[#This Row],[Date Created Conversion]])</f>
        <v>7</v>
      </c>
      <c r="N3384">
        <f>YEAR(Table1[[#This Row],[Date Created Conversion]])</f>
        <v>2016</v>
      </c>
      <c r="O3384" t="b">
        <v>0</v>
      </c>
      <c r="P3384">
        <v>46</v>
      </c>
      <c r="Q3384" t="b">
        <v>1</v>
      </c>
      <c r="R3384" t="s">
        <v>8271</v>
      </c>
      <c r="S3384" s="6">
        <f>Table1[[#This Row],[pledged]]/Table1[[#This Row],[goal]]</f>
        <v>1.0074285714285713</v>
      </c>
      <c r="T3384" s="8">
        <f>IF(Table1[[#This Row],[pledged]]=0,"no backers",Table1[[#This Row],[pledged]]/Table1[[#This Row],[backers_count]])</f>
        <v>76.652173913043484</v>
      </c>
      <c r="U3384" t="str">
        <f>LEFT(Table1[[#This Row],[Category and Sub-Category]],FIND("/",Table1[[#This Row],[Category and Sub-Category]])-1)</f>
        <v>theater</v>
      </c>
      <c r="V3384" t="str">
        <f>RIGHT(Table1[[#This Row],[Category and Sub-Category]],LEN(Table1[[#This Row],[Category and Sub-Category]])-FIND("/",Table1[[#This Row],[Category and Sub-Category]]))</f>
        <v>plays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 s="12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>((Table1[[#This Row],[deadline]]/60)/60/24)+DATE(1970,1,1)</f>
        <v>42544.782638888893</v>
      </c>
      <c r="K3385">
        <v>1464979620</v>
      </c>
      <c r="L3385" s="11">
        <f>((Table1[[#This Row],[launched_at]]/60)/60/24)+DATE(1970,1,1)</f>
        <v>42524.782638888893</v>
      </c>
      <c r="M3385">
        <f>MONTH(Table1[[#This Row],[Date Created Conversion]])</f>
        <v>6</v>
      </c>
      <c r="N3385">
        <f>YEAR(Table1[[#This Row],[Date Created Conversion]])</f>
        <v>2016</v>
      </c>
      <c r="O3385" t="b">
        <v>0</v>
      </c>
      <c r="P3385">
        <v>30</v>
      </c>
      <c r="Q3385" t="b">
        <v>1</v>
      </c>
      <c r="R3385" t="s">
        <v>8271</v>
      </c>
      <c r="S3385" s="6">
        <f>Table1[[#This Row],[pledged]]/Table1[[#This Row],[goal]]</f>
        <v>1.1171428571428572</v>
      </c>
      <c r="T3385" s="8">
        <f>IF(Table1[[#This Row],[pledged]]=0,"no backers",Table1[[#This Row],[pledged]]/Table1[[#This Row],[backers_count]])</f>
        <v>65.166666666666671</v>
      </c>
      <c r="U3385" t="str">
        <f>LEFT(Table1[[#This Row],[Category and Sub-Category]],FIND("/",Table1[[#This Row],[Category and Sub-Category]])-1)</f>
        <v>theater</v>
      </c>
      <c r="V3385" t="str">
        <f>RIGHT(Table1[[#This Row],[Category and Sub-Category]],LEN(Table1[[#This Row],[Category and Sub-Category]])-FIND("/",Table1[[#This Row],[Category and Sub-Category]]))</f>
        <v>plays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 s="12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>((Table1[[#This Row],[deadline]]/60)/60/24)+DATE(1970,1,1)</f>
        <v>42329.125</v>
      </c>
      <c r="K3386">
        <v>1444874768</v>
      </c>
      <c r="L3386" s="11">
        <f>((Table1[[#This Row],[launched_at]]/60)/60/24)+DATE(1970,1,1)</f>
        <v>42292.087592592594</v>
      </c>
      <c r="M3386">
        <f>MONTH(Table1[[#This Row],[Date Created Conversion]])</f>
        <v>10</v>
      </c>
      <c r="N3386">
        <f>YEAR(Table1[[#This Row],[Date Created Conversion]])</f>
        <v>2015</v>
      </c>
      <c r="O3386" t="b">
        <v>0</v>
      </c>
      <c r="P3386">
        <v>64</v>
      </c>
      <c r="Q3386" t="b">
        <v>1</v>
      </c>
      <c r="R3386" t="s">
        <v>8271</v>
      </c>
      <c r="S3386" s="6">
        <f>Table1[[#This Row],[pledged]]/Table1[[#This Row],[goal]]</f>
        <v>1.0001100000000001</v>
      </c>
      <c r="T3386" s="8">
        <f>IF(Table1[[#This Row],[pledged]]=0,"no backers",Table1[[#This Row],[pledged]]/Table1[[#This Row],[backers_count]])</f>
        <v>93.760312499999998</v>
      </c>
      <c r="U3386" t="str">
        <f>LEFT(Table1[[#This Row],[Category and Sub-Category]],FIND("/",Table1[[#This Row],[Category and Sub-Category]])-1)</f>
        <v>theater</v>
      </c>
      <c r="V3386" t="str">
        <f>RIGHT(Table1[[#This Row],[Category and Sub-Category]],LEN(Table1[[#This Row],[Category and Sub-Category]])-FIND("/",Table1[[#This Row],[Category and Sub-Category]]))</f>
        <v>plays</v>
      </c>
    </row>
    <row r="3387" spans="1:22" ht="57.6" x14ac:dyDescent="0.3">
      <c r="A3387">
        <v>3385</v>
      </c>
      <c r="B3387" s="3" t="s">
        <v>3384</v>
      </c>
      <c r="C3387" s="3" t="s">
        <v>7495</v>
      </c>
      <c r="D3387" s="12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>((Table1[[#This Row],[deadline]]/60)/60/24)+DATE(1970,1,1)</f>
        <v>41983.8675</v>
      </c>
      <c r="K3387">
        <v>1415652552</v>
      </c>
      <c r="L3387" s="11">
        <f>((Table1[[#This Row],[launched_at]]/60)/60/24)+DATE(1970,1,1)</f>
        <v>41953.8675</v>
      </c>
      <c r="M3387">
        <f>MONTH(Table1[[#This Row],[Date Created Conversion]])</f>
        <v>11</v>
      </c>
      <c r="N3387">
        <f>YEAR(Table1[[#This Row],[Date Created Conversion]])</f>
        <v>2014</v>
      </c>
      <c r="O3387" t="b">
        <v>0</v>
      </c>
      <c r="P3387">
        <v>15</v>
      </c>
      <c r="Q3387" t="b">
        <v>1</v>
      </c>
      <c r="R3387" t="s">
        <v>8271</v>
      </c>
      <c r="S3387" s="6">
        <f>Table1[[#This Row],[pledged]]/Table1[[#This Row],[goal]]</f>
        <v>1</v>
      </c>
      <c r="T3387" s="8">
        <f>IF(Table1[[#This Row],[pledged]]=0,"no backers",Table1[[#This Row],[pledged]]/Table1[[#This Row],[backers_count]])</f>
        <v>133.33333333333334</v>
      </c>
      <c r="U3387" t="str">
        <f>LEFT(Table1[[#This Row],[Category and Sub-Category]],FIND("/",Table1[[#This Row],[Category and Sub-Category]])-1)</f>
        <v>theater</v>
      </c>
      <c r="V3387" t="str">
        <f>RIGHT(Table1[[#This Row],[Category and Sub-Category]],LEN(Table1[[#This Row],[Category and Sub-Category]])-FIND("/",Table1[[#This Row],[Category and Sub-Category]]))</f>
        <v>plays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 s="12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>((Table1[[#This Row],[deadline]]/60)/60/24)+DATE(1970,1,1)</f>
        <v>41976.644745370373</v>
      </c>
      <c r="K3388">
        <v>1415028506</v>
      </c>
      <c r="L3388" s="11">
        <f>((Table1[[#This Row],[launched_at]]/60)/60/24)+DATE(1970,1,1)</f>
        <v>41946.644745370373</v>
      </c>
      <c r="M3388">
        <f>MONTH(Table1[[#This Row],[Date Created Conversion]])</f>
        <v>11</v>
      </c>
      <c r="N3388">
        <f>YEAR(Table1[[#This Row],[Date Created Conversion]])</f>
        <v>2014</v>
      </c>
      <c r="O3388" t="b">
        <v>0</v>
      </c>
      <c r="P3388">
        <v>41</v>
      </c>
      <c r="Q3388" t="b">
        <v>1</v>
      </c>
      <c r="R3388" t="s">
        <v>8271</v>
      </c>
      <c r="S3388" s="6">
        <f>Table1[[#This Row],[pledged]]/Table1[[#This Row],[goal]]</f>
        <v>1.05</v>
      </c>
      <c r="T3388" s="8">
        <f>IF(Table1[[#This Row],[pledged]]=0,"no backers",Table1[[#This Row],[pledged]]/Table1[[#This Row],[backers_count]])</f>
        <v>51.219512195121951</v>
      </c>
      <c r="U3388" t="str">
        <f>LEFT(Table1[[#This Row],[Category and Sub-Category]],FIND("/",Table1[[#This Row],[Category and Sub-Category]])-1)</f>
        <v>theater</v>
      </c>
      <c r="V3388" t="str">
        <f>RIGHT(Table1[[#This Row],[Category and Sub-Category]],LEN(Table1[[#This Row],[Category and Sub-Category]])-FIND("/",Table1[[#This Row],[Category and Sub-Category]]))</f>
        <v>plays</v>
      </c>
    </row>
    <row r="3389" spans="1:22" ht="57.6" x14ac:dyDescent="0.3">
      <c r="A3389">
        <v>3387</v>
      </c>
      <c r="B3389" s="3" t="s">
        <v>3386</v>
      </c>
      <c r="C3389" s="3" t="s">
        <v>7497</v>
      </c>
      <c r="D3389" s="12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>((Table1[[#This Row],[deadline]]/60)/60/24)+DATE(1970,1,1)</f>
        <v>41987.762592592597</v>
      </c>
      <c r="K3389">
        <v>1415125088</v>
      </c>
      <c r="L3389" s="11">
        <f>((Table1[[#This Row],[launched_at]]/60)/60/24)+DATE(1970,1,1)</f>
        <v>41947.762592592589</v>
      </c>
      <c r="M3389">
        <f>MONTH(Table1[[#This Row],[Date Created Conversion]])</f>
        <v>11</v>
      </c>
      <c r="N3389">
        <f>YEAR(Table1[[#This Row],[Date Created Conversion]])</f>
        <v>2014</v>
      </c>
      <c r="O3389" t="b">
        <v>0</v>
      </c>
      <c r="P3389">
        <v>35</v>
      </c>
      <c r="Q3389" t="b">
        <v>1</v>
      </c>
      <c r="R3389" t="s">
        <v>8271</v>
      </c>
      <c r="S3389" s="6">
        <f>Table1[[#This Row],[pledged]]/Table1[[#This Row],[goal]]</f>
        <v>1.1686666666666667</v>
      </c>
      <c r="T3389" s="8">
        <f>IF(Table1[[#This Row],[pledged]]=0,"no backers",Table1[[#This Row],[pledged]]/Table1[[#This Row],[backers_count]])</f>
        <v>100.17142857142858</v>
      </c>
      <c r="U3389" t="str">
        <f>LEFT(Table1[[#This Row],[Category and Sub-Category]],FIND("/",Table1[[#This Row],[Category and Sub-Category]])-1)</f>
        <v>theater</v>
      </c>
      <c r="V3389" t="str">
        <f>RIGHT(Table1[[#This Row],[Category and Sub-Category]],LEN(Table1[[#This Row],[Category and Sub-Category]])-FIND("/",Table1[[#This Row],[Category and Sub-Category]]))</f>
        <v>plays</v>
      </c>
    </row>
    <row r="3390" spans="1:22" ht="57.6" x14ac:dyDescent="0.3">
      <c r="A3390">
        <v>3388</v>
      </c>
      <c r="B3390" s="3" t="s">
        <v>3387</v>
      </c>
      <c r="C3390" s="3" t="s">
        <v>7498</v>
      </c>
      <c r="D3390" s="12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>((Table1[[#This Row],[deadline]]/60)/60/24)+DATE(1970,1,1)</f>
        <v>42173.461122685185</v>
      </c>
      <c r="K3390">
        <v>1432033441</v>
      </c>
      <c r="L3390" s="11">
        <f>((Table1[[#This Row],[launched_at]]/60)/60/24)+DATE(1970,1,1)</f>
        <v>42143.461122685185</v>
      </c>
      <c r="M3390">
        <f>MONTH(Table1[[#This Row],[Date Created Conversion]])</f>
        <v>5</v>
      </c>
      <c r="N3390">
        <f>YEAR(Table1[[#This Row],[Date Created Conversion]])</f>
        <v>2015</v>
      </c>
      <c r="O3390" t="b">
        <v>0</v>
      </c>
      <c r="P3390">
        <v>45</v>
      </c>
      <c r="Q3390" t="b">
        <v>1</v>
      </c>
      <c r="R3390" t="s">
        <v>8271</v>
      </c>
      <c r="S3390" s="6">
        <f>Table1[[#This Row],[pledged]]/Table1[[#This Row],[goal]]</f>
        <v>1.038</v>
      </c>
      <c r="T3390" s="8">
        <f>IF(Table1[[#This Row],[pledged]]=0,"no backers",Table1[[#This Row],[pledged]]/Table1[[#This Row],[backers_count]])</f>
        <v>34.6</v>
      </c>
      <c r="U3390" t="str">
        <f>LEFT(Table1[[#This Row],[Category and Sub-Category]],FIND("/",Table1[[#This Row],[Category and Sub-Category]])-1)</f>
        <v>theater</v>
      </c>
      <c r="V3390" t="str">
        <f>RIGHT(Table1[[#This Row],[Category and Sub-Category]],LEN(Table1[[#This Row],[Category and Sub-Category]])-FIND("/",Table1[[#This Row],[Category and Sub-Category]]))</f>
        <v>plays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 s="12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>((Table1[[#This Row],[deadline]]/60)/60/24)+DATE(1970,1,1)</f>
        <v>42524.563449074078</v>
      </c>
      <c r="K3391">
        <v>1462368682</v>
      </c>
      <c r="L3391" s="11">
        <f>((Table1[[#This Row],[launched_at]]/60)/60/24)+DATE(1970,1,1)</f>
        <v>42494.563449074078</v>
      </c>
      <c r="M3391">
        <f>MONTH(Table1[[#This Row],[Date Created Conversion]])</f>
        <v>5</v>
      </c>
      <c r="N3391">
        <f>YEAR(Table1[[#This Row],[Date Created Conversion]])</f>
        <v>2016</v>
      </c>
      <c r="O3391" t="b">
        <v>0</v>
      </c>
      <c r="P3391">
        <v>62</v>
      </c>
      <c r="Q3391" t="b">
        <v>1</v>
      </c>
      <c r="R3391" t="s">
        <v>8271</v>
      </c>
      <c r="S3391" s="6">
        <f>Table1[[#This Row],[pledged]]/Table1[[#This Row],[goal]]</f>
        <v>1.145</v>
      </c>
      <c r="T3391" s="8">
        <f>IF(Table1[[#This Row],[pledged]]=0,"no backers",Table1[[#This Row],[pledged]]/Table1[[#This Row],[backers_count]])</f>
        <v>184.67741935483872</v>
      </c>
      <c r="U3391" t="str">
        <f>LEFT(Table1[[#This Row],[Category and Sub-Category]],FIND("/",Table1[[#This Row],[Category and Sub-Category]])-1)</f>
        <v>theater</v>
      </c>
      <c r="V3391" t="str">
        <f>RIGHT(Table1[[#This Row],[Category and Sub-Category]],LEN(Table1[[#This Row],[Category and Sub-Category]])-FIND("/",Table1[[#This Row],[Category and Sub-Category]]))</f>
        <v>plays</v>
      </c>
    </row>
    <row r="3392" spans="1:22" ht="57.6" x14ac:dyDescent="0.3">
      <c r="A3392">
        <v>3390</v>
      </c>
      <c r="B3392" s="3" t="s">
        <v>3389</v>
      </c>
      <c r="C3392" s="3" t="s">
        <v>7500</v>
      </c>
      <c r="D3392" s="1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>((Table1[[#This Row],[deadline]]/60)/60/24)+DATE(1970,1,1)</f>
        <v>41830.774826388886</v>
      </c>
      <c r="K3392">
        <v>1403721345</v>
      </c>
      <c r="L3392" s="11">
        <f>((Table1[[#This Row],[launched_at]]/60)/60/24)+DATE(1970,1,1)</f>
        <v>41815.774826388886</v>
      </c>
      <c r="M3392">
        <f>MONTH(Table1[[#This Row],[Date Created Conversion]])</f>
        <v>6</v>
      </c>
      <c r="N3392">
        <f>YEAR(Table1[[#This Row],[Date Created Conversion]])</f>
        <v>2014</v>
      </c>
      <c r="O3392" t="b">
        <v>0</v>
      </c>
      <c r="P3392">
        <v>22</v>
      </c>
      <c r="Q3392" t="b">
        <v>1</v>
      </c>
      <c r="R3392" t="s">
        <v>8271</v>
      </c>
      <c r="S3392" s="6">
        <f>Table1[[#This Row],[pledged]]/Table1[[#This Row],[goal]]</f>
        <v>1.024</v>
      </c>
      <c r="T3392" s="8">
        <f>IF(Table1[[#This Row],[pledged]]=0,"no backers",Table1[[#This Row],[pledged]]/Table1[[#This Row],[backers_count]])</f>
        <v>69.818181818181813</v>
      </c>
      <c r="U3392" t="str">
        <f>LEFT(Table1[[#This Row],[Category and Sub-Category]],FIND("/",Table1[[#This Row],[Category and Sub-Category]])-1)</f>
        <v>theater</v>
      </c>
      <c r="V3392" t="str">
        <f>RIGHT(Table1[[#This Row],[Category and Sub-Category]],LEN(Table1[[#This Row],[Category and Sub-Category]])-FIND("/",Table1[[#This Row],[Category and Sub-Category]]))</f>
        <v>plays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 s="12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>((Table1[[#This Row],[deadline]]/60)/60/24)+DATE(1970,1,1)</f>
        <v>41859.936111111114</v>
      </c>
      <c r="K3393">
        <v>1404997548</v>
      </c>
      <c r="L3393" s="11">
        <f>((Table1[[#This Row],[launched_at]]/60)/60/24)+DATE(1970,1,1)</f>
        <v>41830.545694444445</v>
      </c>
      <c r="M3393">
        <f>MONTH(Table1[[#This Row],[Date Created Conversion]])</f>
        <v>7</v>
      </c>
      <c r="N3393">
        <f>YEAR(Table1[[#This Row],[Date Created Conversion]])</f>
        <v>2014</v>
      </c>
      <c r="O3393" t="b">
        <v>0</v>
      </c>
      <c r="P3393">
        <v>18</v>
      </c>
      <c r="Q3393" t="b">
        <v>1</v>
      </c>
      <c r="R3393" t="s">
        <v>8271</v>
      </c>
      <c r="S3393" s="6">
        <f>Table1[[#This Row],[pledged]]/Table1[[#This Row],[goal]]</f>
        <v>2.23</v>
      </c>
      <c r="T3393" s="8">
        <f>IF(Table1[[#This Row],[pledged]]=0,"no backers",Table1[[#This Row],[pledged]]/Table1[[#This Row],[backers_count]])</f>
        <v>61.944444444444443</v>
      </c>
      <c r="U3393" t="str">
        <f>LEFT(Table1[[#This Row],[Category and Sub-Category]],FIND("/",Table1[[#This Row],[Category and Sub-Category]])-1)</f>
        <v>theater</v>
      </c>
      <c r="V3393" t="str">
        <f>RIGHT(Table1[[#This Row],[Category and Sub-Category]],LEN(Table1[[#This Row],[Category and Sub-Category]])-FIND("/",Table1[[#This Row],[Category and Sub-Category]]))</f>
        <v>plays</v>
      </c>
    </row>
    <row r="3394" spans="1:22" ht="57.6" x14ac:dyDescent="0.3">
      <c r="A3394">
        <v>3392</v>
      </c>
      <c r="B3394" s="3" t="s">
        <v>3391</v>
      </c>
      <c r="C3394" s="3" t="s">
        <v>7502</v>
      </c>
      <c r="D3394" s="12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>((Table1[[#This Row],[deadline]]/60)/60/24)+DATE(1970,1,1)</f>
        <v>42496.845543981486</v>
      </c>
      <c r="K3394">
        <v>1458245855</v>
      </c>
      <c r="L3394" s="11">
        <f>((Table1[[#This Row],[launched_at]]/60)/60/24)+DATE(1970,1,1)</f>
        <v>42446.845543981486</v>
      </c>
      <c r="M3394">
        <f>MONTH(Table1[[#This Row],[Date Created Conversion]])</f>
        <v>3</v>
      </c>
      <c r="N3394">
        <f>YEAR(Table1[[#This Row],[Date Created Conversion]])</f>
        <v>2016</v>
      </c>
      <c r="O3394" t="b">
        <v>0</v>
      </c>
      <c r="P3394">
        <v>12</v>
      </c>
      <c r="Q3394" t="b">
        <v>1</v>
      </c>
      <c r="R3394" t="s">
        <v>8271</v>
      </c>
      <c r="S3394" s="6">
        <f>Table1[[#This Row],[pledged]]/Table1[[#This Row],[goal]]</f>
        <v>1</v>
      </c>
      <c r="T3394" s="8">
        <f>IF(Table1[[#This Row],[pledged]]=0,"no backers",Table1[[#This Row],[pledged]]/Table1[[#This Row],[backers_count]])</f>
        <v>41.666666666666664</v>
      </c>
      <c r="U3394" t="str">
        <f>LEFT(Table1[[#This Row],[Category and Sub-Category]],FIND("/",Table1[[#This Row],[Category and Sub-Category]])-1)</f>
        <v>theater</v>
      </c>
      <c r="V3394" t="str">
        <f>RIGHT(Table1[[#This Row],[Category and Sub-Category]],LEN(Table1[[#This Row],[Category and Sub-Category]])-FIND("/",Table1[[#This Row],[Category and Sub-Category]]))</f>
        <v>plays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 s="12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>((Table1[[#This Row],[deadline]]/60)/60/24)+DATE(1970,1,1)</f>
        <v>41949.031944444447</v>
      </c>
      <c r="K3395">
        <v>1413065230</v>
      </c>
      <c r="L3395" s="11">
        <f>((Table1[[#This Row],[launched_at]]/60)/60/24)+DATE(1970,1,1)</f>
        <v>41923.921643518523</v>
      </c>
      <c r="M3395">
        <f>MONTH(Table1[[#This Row],[Date Created Conversion]])</f>
        <v>10</v>
      </c>
      <c r="N3395">
        <f>YEAR(Table1[[#This Row],[Date Created Conversion]])</f>
        <v>2014</v>
      </c>
      <c r="O3395" t="b">
        <v>0</v>
      </c>
      <c r="P3395">
        <v>44</v>
      </c>
      <c r="Q3395" t="b">
        <v>1</v>
      </c>
      <c r="R3395" t="s">
        <v>8271</v>
      </c>
      <c r="S3395" s="6">
        <f>Table1[[#This Row],[pledged]]/Table1[[#This Row],[goal]]</f>
        <v>1.0580000000000001</v>
      </c>
      <c r="T3395" s="8">
        <f>IF(Table1[[#This Row],[pledged]]=0,"no backers",Table1[[#This Row],[pledged]]/Table1[[#This Row],[backers_count]])</f>
        <v>36.06818181818182</v>
      </c>
      <c r="U3395" t="str">
        <f>LEFT(Table1[[#This Row],[Category and Sub-Category]],FIND("/",Table1[[#This Row],[Category and Sub-Category]])-1)</f>
        <v>theater</v>
      </c>
      <c r="V3395" t="str">
        <f>RIGHT(Table1[[#This Row],[Category and Sub-Category]],LEN(Table1[[#This Row],[Category and Sub-Category]])-FIND("/",Table1[[#This Row],[Category and Sub-Category]]))</f>
        <v>plays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 s="12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>((Table1[[#This Row],[deadline]]/60)/60/24)+DATE(1970,1,1)</f>
        <v>41847.59542824074</v>
      </c>
      <c r="K3396">
        <v>1403878645</v>
      </c>
      <c r="L3396" s="11">
        <f>((Table1[[#This Row],[launched_at]]/60)/60/24)+DATE(1970,1,1)</f>
        <v>41817.59542824074</v>
      </c>
      <c r="M3396">
        <f>MONTH(Table1[[#This Row],[Date Created Conversion]])</f>
        <v>6</v>
      </c>
      <c r="N3396">
        <f>YEAR(Table1[[#This Row],[Date Created Conversion]])</f>
        <v>2014</v>
      </c>
      <c r="O3396" t="b">
        <v>0</v>
      </c>
      <c r="P3396">
        <v>27</v>
      </c>
      <c r="Q3396" t="b">
        <v>1</v>
      </c>
      <c r="R3396" t="s">
        <v>8271</v>
      </c>
      <c r="S3396" s="6">
        <f>Table1[[#This Row],[pledged]]/Table1[[#This Row],[goal]]</f>
        <v>1.4236363636363636</v>
      </c>
      <c r="T3396" s="8">
        <f>IF(Table1[[#This Row],[pledged]]=0,"no backers",Table1[[#This Row],[pledged]]/Table1[[#This Row],[backers_count]])</f>
        <v>29</v>
      </c>
      <c r="U3396" t="str">
        <f>LEFT(Table1[[#This Row],[Category and Sub-Category]],FIND("/",Table1[[#This Row],[Category and Sub-Category]])-1)</f>
        <v>theater</v>
      </c>
      <c r="V3396" t="str">
        <f>RIGHT(Table1[[#This Row],[Category and Sub-Category]],LEN(Table1[[#This Row],[Category and Sub-Category]])-FIND("/",Table1[[#This Row],[Category and Sub-Category]]))</f>
        <v>plays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 s="12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>((Table1[[#This Row],[deadline]]/60)/60/24)+DATE(1970,1,1)</f>
        <v>42154.756944444445</v>
      </c>
      <c r="K3397">
        <v>1431795944</v>
      </c>
      <c r="L3397" s="11">
        <f>((Table1[[#This Row],[launched_at]]/60)/60/24)+DATE(1970,1,1)</f>
        <v>42140.712314814817</v>
      </c>
      <c r="M3397">
        <f>MONTH(Table1[[#This Row],[Date Created Conversion]])</f>
        <v>5</v>
      </c>
      <c r="N3397">
        <f>YEAR(Table1[[#This Row],[Date Created Conversion]])</f>
        <v>2015</v>
      </c>
      <c r="O3397" t="b">
        <v>0</v>
      </c>
      <c r="P3397">
        <v>38</v>
      </c>
      <c r="Q3397" t="b">
        <v>1</v>
      </c>
      <c r="R3397" t="s">
        <v>8271</v>
      </c>
      <c r="S3397" s="6">
        <f>Table1[[#This Row],[pledged]]/Table1[[#This Row],[goal]]</f>
        <v>1.84</v>
      </c>
      <c r="T3397" s="8">
        <f>IF(Table1[[#This Row],[pledged]]=0,"no backers",Table1[[#This Row],[pledged]]/Table1[[#This Row],[backers_count]])</f>
        <v>24.210526315789473</v>
      </c>
      <c r="U3397" t="str">
        <f>LEFT(Table1[[#This Row],[Category and Sub-Category]],FIND("/",Table1[[#This Row],[Category and Sub-Category]])-1)</f>
        <v>theater</v>
      </c>
      <c r="V3397" t="str">
        <f>RIGHT(Table1[[#This Row],[Category and Sub-Category]],LEN(Table1[[#This Row],[Category and Sub-Category]])-FIND("/",Table1[[#This Row],[Category and Sub-Category]]))</f>
        <v>plays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 s="12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>((Table1[[#This Row],[deadline]]/60)/60/24)+DATE(1970,1,1)</f>
        <v>41791.165972222225</v>
      </c>
      <c r="K3398">
        <v>1399286589</v>
      </c>
      <c r="L3398" s="11">
        <f>((Table1[[#This Row],[launched_at]]/60)/60/24)+DATE(1970,1,1)</f>
        <v>41764.44663194444</v>
      </c>
      <c r="M3398">
        <f>MONTH(Table1[[#This Row],[Date Created Conversion]])</f>
        <v>5</v>
      </c>
      <c r="N3398">
        <f>YEAR(Table1[[#This Row],[Date Created Conversion]])</f>
        <v>2014</v>
      </c>
      <c r="O3398" t="b">
        <v>0</v>
      </c>
      <c r="P3398">
        <v>28</v>
      </c>
      <c r="Q3398" t="b">
        <v>1</v>
      </c>
      <c r="R3398" t="s">
        <v>8271</v>
      </c>
      <c r="S3398" s="6">
        <f>Table1[[#This Row],[pledged]]/Table1[[#This Row],[goal]]</f>
        <v>1.0433333333333332</v>
      </c>
      <c r="T3398" s="8">
        <f>IF(Table1[[#This Row],[pledged]]=0,"no backers",Table1[[#This Row],[pledged]]/Table1[[#This Row],[backers_count]])</f>
        <v>55.892857142857146</v>
      </c>
      <c r="U3398" t="str">
        <f>LEFT(Table1[[#This Row],[Category and Sub-Category]],FIND("/",Table1[[#This Row],[Category and Sub-Category]])-1)</f>
        <v>theater</v>
      </c>
      <c r="V3398" t="str">
        <f>RIGHT(Table1[[#This Row],[Category and Sub-Category]],LEN(Table1[[#This Row],[Category and Sub-Category]])-FIND("/",Table1[[#This Row],[Category and Sub-Category]]))</f>
        <v>plays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 s="12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>((Table1[[#This Row],[deadline]]/60)/60/24)+DATE(1970,1,1)</f>
        <v>42418.916666666672</v>
      </c>
      <c r="K3399">
        <v>1452338929</v>
      </c>
      <c r="L3399" s="11">
        <f>((Table1[[#This Row],[launched_at]]/60)/60/24)+DATE(1970,1,1)</f>
        <v>42378.478344907402</v>
      </c>
      <c r="M3399">
        <f>MONTH(Table1[[#This Row],[Date Created Conversion]])</f>
        <v>1</v>
      </c>
      <c r="N3399">
        <f>YEAR(Table1[[#This Row],[Date Created Conversion]])</f>
        <v>2016</v>
      </c>
      <c r="O3399" t="b">
        <v>0</v>
      </c>
      <c r="P3399">
        <v>24</v>
      </c>
      <c r="Q3399" t="b">
        <v>1</v>
      </c>
      <c r="R3399" t="s">
        <v>8271</v>
      </c>
      <c r="S3399" s="6">
        <f>Table1[[#This Row],[pledged]]/Table1[[#This Row],[goal]]</f>
        <v>1.1200000000000001</v>
      </c>
      <c r="T3399" s="8">
        <f>IF(Table1[[#This Row],[pledged]]=0,"no backers",Table1[[#This Row],[pledged]]/Table1[[#This Row],[backers_count]])</f>
        <v>11.666666666666666</v>
      </c>
      <c r="U3399" t="str">
        <f>LEFT(Table1[[#This Row],[Category and Sub-Category]],FIND("/",Table1[[#This Row],[Category and Sub-Category]])-1)</f>
        <v>theater</v>
      </c>
      <c r="V3399" t="str">
        <f>RIGHT(Table1[[#This Row],[Category and Sub-Category]],LEN(Table1[[#This Row],[Category and Sub-Category]])-FIND("/",Table1[[#This Row],[Category and Sub-Category]]))</f>
        <v>plays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 s="12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>((Table1[[#This Row],[deadline]]/60)/60/24)+DATE(1970,1,1)</f>
        <v>41964.708333333328</v>
      </c>
      <c r="K3400">
        <v>1414605776</v>
      </c>
      <c r="L3400" s="11">
        <f>((Table1[[#This Row],[launched_at]]/60)/60/24)+DATE(1970,1,1)</f>
        <v>41941.75203703704</v>
      </c>
      <c r="M3400">
        <f>MONTH(Table1[[#This Row],[Date Created Conversion]])</f>
        <v>10</v>
      </c>
      <c r="N3400">
        <f>YEAR(Table1[[#This Row],[Date Created Conversion]])</f>
        <v>2014</v>
      </c>
      <c r="O3400" t="b">
        <v>0</v>
      </c>
      <c r="P3400">
        <v>65</v>
      </c>
      <c r="Q3400" t="b">
        <v>1</v>
      </c>
      <c r="R3400" t="s">
        <v>8271</v>
      </c>
      <c r="S3400" s="6">
        <f>Table1[[#This Row],[pledged]]/Table1[[#This Row],[goal]]</f>
        <v>1.1107499999999999</v>
      </c>
      <c r="T3400" s="8">
        <f>IF(Table1[[#This Row],[pledged]]=0,"no backers",Table1[[#This Row],[pledged]]/Table1[[#This Row],[backers_count]])</f>
        <v>68.353846153846149</v>
      </c>
      <c r="U3400" t="str">
        <f>LEFT(Table1[[#This Row],[Category and Sub-Category]],FIND("/",Table1[[#This Row],[Category and Sub-Category]])-1)</f>
        <v>theater</v>
      </c>
      <c r="V3400" t="str">
        <f>RIGHT(Table1[[#This Row],[Category and Sub-Category]],LEN(Table1[[#This Row],[Category and Sub-Category]])-FIND("/",Table1[[#This Row],[Category and Sub-Category]]))</f>
        <v>plays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 s="12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>((Table1[[#This Row],[deadline]]/60)/60/24)+DATE(1970,1,1)</f>
        <v>42056.920428240745</v>
      </c>
      <c r="K3401">
        <v>1421964325</v>
      </c>
      <c r="L3401" s="11">
        <f>((Table1[[#This Row],[launched_at]]/60)/60/24)+DATE(1970,1,1)</f>
        <v>42026.920428240745</v>
      </c>
      <c r="M3401">
        <f>MONTH(Table1[[#This Row],[Date Created Conversion]])</f>
        <v>1</v>
      </c>
      <c r="N3401">
        <f>YEAR(Table1[[#This Row],[Date Created Conversion]])</f>
        <v>2015</v>
      </c>
      <c r="O3401" t="b">
        <v>0</v>
      </c>
      <c r="P3401">
        <v>46</v>
      </c>
      <c r="Q3401" t="b">
        <v>1</v>
      </c>
      <c r="R3401" t="s">
        <v>8271</v>
      </c>
      <c r="S3401" s="6">
        <f>Table1[[#This Row],[pledged]]/Table1[[#This Row],[goal]]</f>
        <v>1.0375000000000001</v>
      </c>
      <c r="T3401" s="8">
        <f>IF(Table1[[#This Row],[pledged]]=0,"no backers",Table1[[#This Row],[pledged]]/Table1[[#This Row],[backers_count]])</f>
        <v>27.065217391304348</v>
      </c>
      <c r="U3401" t="str">
        <f>LEFT(Table1[[#This Row],[Category and Sub-Category]],FIND("/",Table1[[#This Row],[Category and Sub-Category]])-1)</f>
        <v>theater</v>
      </c>
      <c r="V3401" t="str">
        <f>RIGHT(Table1[[#This Row],[Category and Sub-Category]],LEN(Table1[[#This Row],[Category and Sub-Category]])-FIND("/",Table1[[#This Row],[Category and Sub-Category]]))</f>
        <v>plays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 s="1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>((Table1[[#This Row],[deadline]]/60)/60/24)+DATE(1970,1,1)</f>
        <v>41879.953865740739</v>
      </c>
      <c r="K3402">
        <v>1405378414</v>
      </c>
      <c r="L3402" s="11">
        <f>((Table1[[#This Row],[launched_at]]/60)/60/24)+DATE(1970,1,1)</f>
        <v>41834.953865740739</v>
      </c>
      <c r="M3402">
        <f>MONTH(Table1[[#This Row],[Date Created Conversion]])</f>
        <v>7</v>
      </c>
      <c r="N3402">
        <f>YEAR(Table1[[#This Row],[Date Created Conversion]])</f>
        <v>2014</v>
      </c>
      <c r="O3402" t="b">
        <v>0</v>
      </c>
      <c r="P3402">
        <v>85</v>
      </c>
      <c r="Q3402" t="b">
        <v>1</v>
      </c>
      <c r="R3402" t="s">
        <v>8271</v>
      </c>
      <c r="S3402" s="6">
        <f>Table1[[#This Row],[pledged]]/Table1[[#This Row],[goal]]</f>
        <v>1.0041</v>
      </c>
      <c r="T3402" s="8">
        <f>IF(Table1[[#This Row],[pledged]]=0,"no backers",Table1[[#This Row],[pledged]]/Table1[[#This Row],[backers_count]])</f>
        <v>118.12941176470588</v>
      </c>
      <c r="U3402" t="str">
        <f>LEFT(Table1[[#This Row],[Category and Sub-Category]],FIND("/",Table1[[#This Row],[Category and Sub-Category]])-1)</f>
        <v>theater</v>
      </c>
      <c r="V3402" t="str">
        <f>RIGHT(Table1[[#This Row],[Category and Sub-Category]],LEN(Table1[[#This Row],[Category and Sub-Category]])-FIND("/",Table1[[#This Row],[Category and Sub-Category]]))</f>
        <v>plays</v>
      </c>
    </row>
    <row r="3403" spans="1:22" ht="57.6" x14ac:dyDescent="0.3">
      <c r="A3403">
        <v>3401</v>
      </c>
      <c r="B3403" s="3" t="s">
        <v>3400</v>
      </c>
      <c r="C3403" s="3" t="s">
        <v>7511</v>
      </c>
      <c r="D3403" s="12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>((Table1[[#This Row],[deadline]]/60)/60/24)+DATE(1970,1,1)</f>
        <v>42223.723912037036</v>
      </c>
      <c r="K3403">
        <v>1436376146</v>
      </c>
      <c r="L3403" s="11">
        <f>((Table1[[#This Row],[launched_at]]/60)/60/24)+DATE(1970,1,1)</f>
        <v>42193.723912037036</v>
      </c>
      <c r="M3403">
        <f>MONTH(Table1[[#This Row],[Date Created Conversion]])</f>
        <v>7</v>
      </c>
      <c r="N3403">
        <f>YEAR(Table1[[#This Row],[Date Created Conversion]])</f>
        <v>2015</v>
      </c>
      <c r="O3403" t="b">
        <v>0</v>
      </c>
      <c r="P3403">
        <v>66</v>
      </c>
      <c r="Q3403" t="b">
        <v>1</v>
      </c>
      <c r="R3403" t="s">
        <v>8271</v>
      </c>
      <c r="S3403" s="6">
        <f>Table1[[#This Row],[pledged]]/Table1[[#This Row],[goal]]</f>
        <v>1.0186206896551724</v>
      </c>
      <c r="T3403" s="8">
        <f>IF(Table1[[#This Row],[pledged]]=0,"no backers",Table1[[#This Row],[pledged]]/Table1[[#This Row],[backers_count]])</f>
        <v>44.757575757575758</v>
      </c>
      <c r="U3403" t="str">
        <f>LEFT(Table1[[#This Row],[Category and Sub-Category]],FIND("/",Table1[[#This Row],[Category and Sub-Category]])-1)</f>
        <v>theater</v>
      </c>
      <c r="V3403" t="str">
        <f>RIGHT(Table1[[#This Row],[Category and Sub-Category]],LEN(Table1[[#This Row],[Category and Sub-Category]])-FIND("/",Table1[[#This Row],[Category and Sub-Category]]))</f>
        <v>plays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 s="12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>((Table1[[#This Row],[deadline]]/60)/60/24)+DATE(1970,1,1)</f>
        <v>42320.104861111111</v>
      </c>
      <c r="K3404">
        <v>1444747843</v>
      </c>
      <c r="L3404" s="11">
        <f>((Table1[[#This Row],[launched_at]]/60)/60/24)+DATE(1970,1,1)</f>
        <v>42290.61855324074</v>
      </c>
      <c r="M3404">
        <f>MONTH(Table1[[#This Row],[Date Created Conversion]])</f>
        <v>10</v>
      </c>
      <c r="N3404">
        <f>YEAR(Table1[[#This Row],[Date Created Conversion]])</f>
        <v>2015</v>
      </c>
      <c r="O3404" t="b">
        <v>0</v>
      </c>
      <c r="P3404">
        <v>165</v>
      </c>
      <c r="Q3404" t="b">
        <v>1</v>
      </c>
      <c r="R3404" t="s">
        <v>8271</v>
      </c>
      <c r="S3404" s="6">
        <f>Table1[[#This Row],[pledged]]/Table1[[#This Row],[goal]]</f>
        <v>1.0976666666666666</v>
      </c>
      <c r="T3404" s="8">
        <f>IF(Table1[[#This Row],[pledged]]=0,"no backers",Table1[[#This Row],[pledged]]/Table1[[#This Row],[backers_count]])</f>
        <v>99.787878787878782</v>
      </c>
      <c r="U3404" t="str">
        <f>LEFT(Table1[[#This Row],[Category and Sub-Category]],FIND("/",Table1[[#This Row],[Category and Sub-Category]])-1)</f>
        <v>theater</v>
      </c>
      <c r="V3404" t="str">
        <f>RIGHT(Table1[[#This Row],[Category and Sub-Category]],LEN(Table1[[#This Row],[Category and Sub-Category]])-FIND("/",Table1[[#This Row],[Category and Sub-Category]]))</f>
        <v>plays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 s="12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>((Table1[[#This Row],[deadline]]/60)/60/24)+DATE(1970,1,1)</f>
        <v>42180.462083333332</v>
      </c>
      <c r="K3405">
        <v>1432638324</v>
      </c>
      <c r="L3405" s="11">
        <f>((Table1[[#This Row],[launched_at]]/60)/60/24)+DATE(1970,1,1)</f>
        <v>42150.462083333332</v>
      </c>
      <c r="M3405">
        <f>MONTH(Table1[[#This Row],[Date Created Conversion]])</f>
        <v>5</v>
      </c>
      <c r="N3405">
        <f>YEAR(Table1[[#This Row],[Date Created Conversion]])</f>
        <v>2015</v>
      </c>
      <c r="O3405" t="b">
        <v>0</v>
      </c>
      <c r="P3405">
        <v>17</v>
      </c>
      <c r="Q3405" t="b">
        <v>1</v>
      </c>
      <c r="R3405" t="s">
        <v>8271</v>
      </c>
      <c r="S3405" s="6">
        <f>Table1[[#This Row],[pledged]]/Table1[[#This Row],[goal]]</f>
        <v>1</v>
      </c>
      <c r="T3405" s="8">
        <f>IF(Table1[[#This Row],[pledged]]=0,"no backers",Table1[[#This Row],[pledged]]/Table1[[#This Row],[backers_count]])</f>
        <v>117.64705882352941</v>
      </c>
      <c r="U3405" t="str">
        <f>LEFT(Table1[[#This Row],[Category and Sub-Category]],FIND("/",Table1[[#This Row],[Category and Sub-Category]])-1)</f>
        <v>theater</v>
      </c>
      <c r="V3405" t="str">
        <f>RIGHT(Table1[[#This Row],[Category and Sub-Category]],LEN(Table1[[#This Row],[Category and Sub-Category]])-FIND("/",Table1[[#This Row],[Category and Sub-Category]]))</f>
        <v>plays</v>
      </c>
    </row>
    <row r="3406" spans="1:22" ht="57.6" x14ac:dyDescent="0.3">
      <c r="A3406">
        <v>3404</v>
      </c>
      <c r="B3406" s="3" t="s">
        <v>3403</v>
      </c>
      <c r="C3406" s="3" t="s">
        <v>7514</v>
      </c>
      <c r="D3406" s="12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>((Table1[[#This Row],[deadline]]/60)/60/24)+DATE(1970,1,1)</f>
        <v>42172.503495370373</v>
      </c>
      <c r="K3406">
        <v>1432814702</v>
      </c>
      <c r="L3406" s="11">
        <f>((Table1[[#This Row],[launched_at]]/60)/60/24)+DATE(1970,1,1)</f>
        <v>42152.503495370373</v>
      </c>
      <c r="M3406">
        <f>MONTH(Table1[[#This Row],[Date Created Conversion]])</f>
        <v>5</v>
      </c>
      <c r="N3406">
        <f>YEAR(Table1[[#This Row],[Date Created Conversion]])</f>
        <v>2015</v>
      </c>
      <c r="O3406" t="b">
        <v>0</v>
      </c>
      <c r="P3406">
        <v>3</v>
      </c>
      <c r="Q3406" t="b">
        <v>1</v>
      </c>
      <c r="R3406" t="s">
        <v>8271</v>
      </c>
      <c r="S3406" s="6">
        <f>Table1[[#This Row],[pledged]]/Table1[[#This Row],[goal]]</f>
        <v>1.22</v>
      </c>
      <c r="T3406" s="8">
        <f>IF(Table1[[#This Row],[pledged]]=0,"no backers",Table1[[#This Row],[pledged]]/Table1[[#This Row],[backers_count]])</f>
        <v>203.33333333333334</v>
      </c>
      <c r="U3406" t="str">
        <f>LEFT(Table1[[#This Row],[Category and Sub-Category]],FIND("/",Table1[[#This Row],[Category and Sub-Category]])-1)</f>
        <v>theater</v>
      </c>
      <c r="V3406" t="str">
        <f>RIGHT(Table1[[#This Row],[Category and Sub-Category]],LEN(Table1[[#This Row],[Category and Sub-Category]])-FIND("/",Table1[[#This Row],[Category and Sub-Category]]))</f>
        <v>plays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 s="12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>((Table1[[#This Row],[deadline]]/60)/60/24)+DATE(1970,1,1)</f>
        <v>42430.999305555553</v>
      </c>
      <c r="K3407">
        <v>1455063886</v>
      </c>
      <c r="L3407" s="11">
        <f>((Table1[[#This Row],[launched_at]]/60)/60/24)+DATE(1970,1,1)</f>
        <v>42410.017199074078</v>
      </c>
      <c r="M3407">
        <f>MONTH(Table1[[#This Row],[Date Created Conversion]])</f>
        <v>2</v>
      </c>
      <c r="N3407">
        <f>YEAR(Table1[[#This Row],[Date Created Conversion]])</f>
        <v>2016</v>
      </c>
      <c r="O3407" t="b">
        <v>0</v>
      </c>
      <c r="P3407">
        <v>17</v>
      </c>
      <c r="Q3407" t="b">
        <v>1</v>
      </c>
      <c r="R3407" t="s">
        <v>8271</v>
      </c>
      <c r="S3407" s="6">
        <f>Table1[[#This Row],[pledged]]/Table1[[#This Row],[goal]]</f>
        <v>1.3757142857142857</v>
      </c>
      <c r="T3407" s="8">
        <f>IF(Table1[[#This Row],[pledged]]=0,"no backers",Table1[[#This Row],[pledged]]/Table1[[#This Row],[backers_count]])</f>
        <v>28.323529411764707</v>
      </c>
      <c r="U3407" t="str">
        <f>LEFT(Table1[[#This Row],[Category and Sub-Category]],FIND("/",Table1[[#This Row],[Category and Sub-Category]])-1)</f>
        <v>theater</v>
      </c>
      <c r="V3407" t="str">
        <f>RIGHT(Table1[[#This Row],[Category and Sub-Category]],LEN(Table1[[#This Row],[Category and Sub-Category]])-FIND("/",Table1[[#This Row],[Category and Sub-Category]]))</f>
        <v>plays</v>
      </c>
    </row>
    <row r="3408" spans="1:22" ht="43.2" x14ac:dyDescent="0.3">
      <c r="A3408">
        <v>3406</v>
      </c>
      <c r="B3408" s="3" t="s">
        <v>3405</v>
      </c>
      <c r="C3408" s="3" t="s">
        <v>7516</v>
      </c>
      <c r="D3408" s="12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>((Table1[[#This Row],[deadline]]/60)/60/24)+DATE(1970,1,1)</f>
        <v>41836.492777777778</v>
      </c>
      <c r="K3408">
        <v>1401623376</v>
      </c>
      <c r="L3408" s="11">
        <f>((Table1[[#This Row],[launched_at]]/60)/60/24)+DATE(1970,1,1)</f>
        <v>41791.492777777778</v>
      </c>
      <c r="M3408">
        <f>MONTH(Table1[[#This Row],[Date Created Conversion]])</f>
        <v>6</v>
      </c>
      <c r="N3408">
        <f>YEAR(Table1[[#This Row],[Date Created Conversion]])</f>
        <v>2014</v>
      </c>
      <c r="O3408" t="b">
        <v>0</v>
      </c>
      <c r="P3408">
        <v>91</v>
      </c>
      <c r="Q3408" t="b">
        <v>1</v>
      </c>
      <c r="R3408" t="s">
        <v>8271</v>
      </c>
      <c r="S3408" s="6">
        <f>Table1[[#This Row],[pledged]]/Table1[[#This Row],[goal]]</f>
        <v>1.0031000000000001</v>
      </c>
      <c r="T3408" s="8">
        <f>IF(Table1[[#This Row],[pledged]]=0,"no backers",Table1[[#This Row],[pledged]]/Table1[[#This Row],[backers_count]])</f>
        <v>110.23076923076923</v>
      </c>
      <c r="U3408" t="str">
        <f>LEFT(Table1[[#This Row],[Category and Sub-Category]],FIND("/",Table1[[#This Row],[Category and Sub-Category]])-1)</f>
        <v>theater</v>
      </c>
      <c r="V3408" t="str">
        <f>RIGHT(Table1[[#This Row],[Category and Sub-Category]],LEN(Table1[[#This Row],[Category and Sub-Category]])-FIND("/",Table1[[#This Row],[Category and Sub-Category]]))</f>
        <v>plays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 s="12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>((Table1[[#This Row],[deadline]]/60)/60/24)+DATE(1970,1,1)</f>
        <v>41826.422326388885</v>
      </c>
      <c r="K3409">
        <v>1402049289</v>
      </c>
      <c r="L3409" s="11">
        <f>((Table1[[#This Row],[launched_at]]/60)/60/24)+DATE(1970,1,1)</f>
        <v>41796.422326388885</v>
      </c>
      <c r="M3409">
        <f>MONTH(Table1[[#This Row],[Date Created Conversion]])</f>
        <v>6</v>
      </c>
      <c r="N3409">
        <f>YEAR(Table1[[#This Row],[Date Created Conversion]])</f>
        <v>2014</v>
      </c>
      <c r="O3409" t="b">
        <v>0</v>
      </c>
      <c r="P3409">
        <v>67</v>
      </c>
      <c r="Q3409" t="b">
        <v>1</v>
      </c>
      <c r="R3409" t="s">
        <v>8271</v>
      </c>
      <c r="S3409" s="6">
        <f>Table1[[#This Row],[pledged]]/Table1[[#This Row],[goal]]</f>
        <v>1.071</v>
      </c>
      <c r="T3409" s="8">
        <f>IF(Table1[[#This Row],[pledged]]=0,"no backers",Table1[[#This Row],[pledged]]/Table1[[#This Row],[backers_count]])</f>
        <v>31.970149253731343</v>
      </c>
      <c r="U3409" t="str">
        <f>LEFT(Table1[[#This Row],[Category and Sub-Category]],FIND("/",Table1[[#This Row],[Category and Sub-Category]])-1)</f>
        <v>theater</v>
      </c>
      <c r="V3409" t="str">
        <f>RIGHT(Table1[[#This Row],[Category and Sub-Category]],LEN(Table1[[#This Row],[Category and Sub-Category]])-FIND("/",Table1[[#This Row],[Category and Sub-Category]]))</f>
        <v>plays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 s="12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>((Table1[[#This Row],[deadline]]/60)/60/24)+DATE(1970,1,1)</f>
        <v>41838.991944444446</v>
      </c>
      <c r="K3410">
        <v>1403135304</v>
      </c>
      <c r="L3410" s="11">
        <f>((Table1[[#This Row],[launched_at]]/60)/60/24)+DATE(1970,1,1)</f>
        <v>41808.991944444446</v>
      </c>
      <c r="M3410">
        <f>MONTH(Table1[[#This Row],[Date Created Conversion]])</f>
        <v>6</v>
      </c>
      <c r="N3410">
        <f>YEAR(Table1[[#This Row],[Date Created Conversion]])</f>
        <v>2014</v>
      </c>
      <c r="O3410" t="b">
        <v>0</v>
      </c>
      <c r="P3410">
        <v>18</v>
      </c>
      <c r="Q3410" t="b">
        <v>1</v>
      </c>
      <c r="R3410" t="s">
        <v>8271</v>
      </c>
      <c r="S3410" s="6">
        <f>Table1[[#This Row],[pledged]]/Table1[[#This Row],[goal]]</f>
        <v>2.11</v>
      </c>
      <c r="T3410" s="8">
        <f>IF(Table1[[#This Row],[pledged]]=0,"no backers",Table1[[#This Row],[pledged]]/Table1[[#This Row],[backers_count]])</f>
        <v>58.611111111111114</v>
      </c>
      <c r="U3410" t="str">
        <f>LEFT(Table1[[#This Row],[Category and Sub-Category]],FIND("/",Table1[[#This Row],[Category and Sub-Category]])-1)</f>
        <v>theater</v>
      </c>
      <c r="V3410" t="str">
        <f>RIGHT(Table1[[#This Row],[Category and Sub-Category]],LEN(Table1[[#This Row],[Category and Sub-Category]])-FIND("/",Table1[[#This Row],[Category and Sub-Category]]))</f>
        <v>plays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 s="12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>((Table1[[#This Row],[deadline]]/60)/60/24)+DATE(1970,1,1)</f>
        <v>42582.873611111107</v>
      </c>
      <c r="K3411">
        <v>1466710358</v>
      </c>
      <c r="L3411" s="11">
        <f>((Table1[[#This Row],[launched_at]]/60)/60/24)+DATE(1970,1,1)</f>
        <v>42544.814328703709</v>
      </c>
      <c r="M3411">
        <f>MONTH(Table1[[#This Row],[Date Created Conversion]])</f>
        <v>6</v>
      </c>
      <c r="N3411">
        <f>YEAR(Table1[[#This Row],[Date Created Conversion]])</f>
        <v>2016</v>
      </c>
      <c r="O3411" t="b">
        <v>0</v>
      </c>
      <c r="P3411">
        <v>21</v>
      </c>
      <c r="Q3411" t="b">
        <v>1</v>
      </c>
      <c r="R3411" t="s">
        <v>8271</v>
      </c>
      <c r="S3411" s="6">
        <f>Table1[[#This Row],[pledged]]/Table1[[#This Row],[goal]]</f>
        <v>1.236</v>
      </c>
      <c r="T3411" s="8">
        <f>IF(Table1[[#This Row],[pledged]]=0,"no backers",Table1[[#This Row],[pledged]]/Table1[[#This Row],[backers_count]])</f>
        <v>29.428571428571427</v>
      </c>
      <c r="U3411" t="str">
        <f>LEFT(Table1[[#This Row],[Category and Sub-Category]],FIND("/",Table1[[#This Row],[Category and Sub-Category]])-1)</f>
        <v>theater</v>
      </c>
      <c r="V3411" t="str">
        <f>RIGHT(Table1[[#This Row],[Category and Sub-Category]],LEN(Table1[[#This Row],[Category and Sub-Category]])-FIND("/",Table1[[#This Row],[Category and Sub-Category]]))</f>
        <v>plays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 s="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>((Table1[[#This Row],[deadline]]/60)/60/24)+DATE(1970,1,1)</f>
        <v>42527.291666666672</v>
      </c>
      <c r="K3412">
        <v>1462841990</v>
      </c>
      <c r="L3412" s="11">
        <f>((Table1[[#This Row],[launched_at]]/60)/60/24)+DATE(1970,1,1)</f>
        <v>42500.041550925926</v>
      </c>
      <c r="M3412">
        <f>MONTH(Table1[[#This Row],[Date Created Conversion]])</f>
        <v>5</v>
      </c>
      <c r="N3412">
        <f>YEAR(Table1[[#This Row],[Date Created Conversion]])</f>
        <v>2016</v>
      </c>
      <c r="O3412" t="b">
        <v>0</v>
      </c>
      <c r="P3412">
        <v>40</v>
      </c>
      <c r="Q3412" t="b">
        <v>1</v>
      </c>
      <c r="R3412" t="s">
        <v>8271</v>
      </c>
      <c r="S3412" s="6">
        <f>Table1[[#This Row],[pledged]]/Table1[[#This Row],[goal]]</f>
        <v>1.085</v>
      </c>
      <c r="T3412" s="8">
        <f>IF(Table1[[#This Row],[pledged]]=0,"no backers",Table1[[#This Row],[pledged]]/Table1[[#This Row],[backers_count]])</f>
        <v>81.375</v>
      </c>
      <c r="U3412" t="str">
        <f>LEFT(Table1[[#This Row],[Category and Sub-Category]],FIND("/",Table1[[#This Row],[Category and Sub-Category]])-1)</f>
        <v>theater</v>
      </c>
      <c r="V3412" t="str">
        <f>RIGHT(Table1[[#This Row],[Category and Sub-Category]],LEN(Table1[[#This Row],[Category and Sub-Category]])-FIND("/",Table1[[#This Row],[Category and Sub-Category]]))</f>
        <v>plays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 s="12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>((Table1[[#This Row],[deadline]]/60)/60/24)+DATE(1970,1,1)</f>
        <v>42285.022824074069</v>
      </c>
      <c r="K3413">
        <v>1442536372</v>
      </c>
      <c r="L3413" s="11">
        <f>((Table1[[#This Row],[launched_at]]/60)/60/24)+DATE(1970,1,1)</f>
        <v>42265.022824074069</v>
      </c>
      <c r="M3413">
        <f>MONTH(Table1[[#This Row],[Date Created Conversion]])</f>
        <v>9</v>
      </c>
      <c r="N3413">
        <f>YEAR(Table1[[#This Row],[Date Created Conversion]])</f>
        <v>2015</v>
      </c>
      <c r="O3413" t="b">
        <v>0</v>
      </c>
      <c r="P3413">
        <v>78</v>
      </c>
      <c r="Q3413" t="b">
        <v>1</v>
      </c>
      <c r="R3413" t="s">
        <v>8271</v>
      </c>
      <c r="S3413" s="6">
        <f>Table1[[#This Row],[pledged]]/Table1[[#This Row],[goal]]</f>
        <v>1.0356666666666667</v>
      </c>
      <c r="T3413" s="8">
        <f>IF(Table1[[#This Row],[pledged]]=0,"no backers",Table1[[#This Row],[pledged]]/Table1[[#This Row],[backers_count]])</f>
        <v>199.16666666666666</v>
      </c>
      <c r="U3413" t="str">
        <f>LEFT(Table1[[#This Row],[Category and Sub-Category]],FIND("/",Table1[[#This Row],[Category and Sub-Category]])-1)</f>
        <v>theater</v>
      </c>
      <c r="V3413" t="str">
        <f>RIGHT(Table1[[#This Row],[Category and Sub-Category]],LEN(Table1[[#This Row],[Category and Sub-Category]])-FIND("/",Table1[[#This Row],[Category and Sub-Category]]))</f>
        <v>plays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 s="12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>((Table1[[#This Row],[deadline]]/60)/60/24)+DATE(1970,1,1)</f>
        <v>41909.959050925929</v>
      </c>
      <c r="K3414">
        <v>1409266862</v>
      </c>
      <c r="L3414" s="11">
        <f>((Table1[[#This Row],[launched_at]]/60)/60/24)+DATE(1970,1,1)</f>
        <v>41879.959050925929</v>
      </c>
      <c r="M3414">
        <f>MONTH(Table1[[#This Row],[Date Created Conversion]])</f>
        <v>8</v>
      </c>
      <c r="N3414">
        <f>YEAR(Table1[[#This Row],[Date Created Conversion]])</f>
        <v>2014</v>
      </c>
      <c r="O3414" t="b">
        <v>0</v>
      </c>
      <c r="P3414">
        <v>26</v>
      </c>
      <c r="Q3414" t="b">
        <v>1</v>
      </c>
      <c r="R3414" t="s">
        <v>8271</v>
      </c>
      <c r="S3414" s="6">
        <f>Table1[[#This Row],[pledged]]/Table1[[#This Row],[goal]]</f>
        <v>1</v>
      </c>
      <c r="T3414" s="8">
        <f>IF(Table1[[#This Row],[pledged]]=0,"no backers",Table1[[#This Row],[pledged]]/Table1[[#This Row],[backers_count]])</f>
        <v>115.38461538461539</v>
      </c>
      <c r="U3414" t="str">
        <f>LEFT(Table1[[#This Row],[Category and Sub-Category]],FIND("/",Table1[[#This Row],[Category and Sub-Category]])-1)</f>
        <v>theater</v>
      </c>
      <c r="V3414" t="str">
        <f>RIGHT(Table1[[#This Row],[Category and Sub-Category]],LEN(Table1[[#This Row],[Category and Sub-Category]])-FIND("/",Table1[[#This Row],[Category and Sub-Category]]))</f>
        <v>plays</v>
      </c>
    </row>
    <row r="3415" spans="1:22" ht="57.6" x14ac:dyDescent="0.3">
      <c r="A3415">
        <v>3413</v>
      </c>
      <c r="B3415" s="3" t="s">
        <v>3412</v>
      </c>
      <c r="C3415" s="3" t="s">
        <v>7523</v>
      </c>
      <c r="D3415" s="12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>((Table1[[#This Row],[deadline]]/60)/60/24)+DATE(1970,1,1)</f>
        <v>42063.207638888889</v>
      </c>
      <c r="K3415">
        <v>1424280938</v>
      </c>
      <c r="L3415" s="11">
        <f>((Table1[[#This Row],[launched_at]]/60)/60/24)+DATE(1970,1,1)</f>
        <v>42053.733078703706</v>
      </c>
      <c r="M3415">
        <f>MONTH(Table1[[#This Row],[Date Created Conversion]])</f>
        <v>2</v>
      </c>
      <c r="N3415">
        <f>YEAR(Table1[[#This Row],[Date Created Conversion]])</f>
        <v>2015</v>
      </c>
      <c r="O3415" t="b">
        <v>0</v>
      </c>
      <c r="P3415">
        <v>14</v>
      </c>
      <c r="Q3415" t="b">
        <v>1</v>
      </c>
      <c r="R3415" t="s">
        <v>8271</v>
      </c>
      <c r="S3415" s="6">
        <f>Table1[[#This Row],[pledged]]/Table1[[#This Row],[goal]]</f>
        <v>1.3</v>
      </c>
      <c r="T3415" s="8">
        <f>IF(Table1[[#This Row],[pledged]]=0,"no backers",Table1[[#This Row],[pledged]]/Table1[[#This Row],[backers_count]])</f>
        <v>46.428571428571431</v>
      </c>
      <c r="U3415" t="str">
        <f>LEFT(Table1[[#This Row],[Category and Sub-Category]],FIND("/",Table1[[#This Row],[Category and Sub-Category]])-1)</f>
        <v>theater</v>
      </c>
      <c r="V3415" t="str">
        <f>RIGHT(Table1[[#This Row],[Category and Sub-Category]],LEN(Table1[[#This Row],[Category and Sub-Category]])-FIND("/",Table1[[#This Row],[Category and Sub-Category]]))</f>
        <v>plays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 s="12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>((Table1[[#This Row],[deadline]]/60)/60/24)+DATE(1970,1,1)</f>
        <v>42705.332638888889</v>
      </c>
      <c r="K3416">
        <v>1478030325</v>
      </c>
      <c r="L3416" s="11">
        <f>((Table1[[#This Row],[launched_at]]/60)/60/24)+DATE(1970,1,1)</f>
        <v>42675.832465277781</v>
      </c>
      <c r="M3416">
        <f>MONTH(Table1[[#This Row],[Date Created Conversion]])</f>
        <v>11</v>
      </c>
      <c r="N3416">
        <f>YEAR(Table1[[#This Row],[Date Created Conversion]])</f>
        <v>2016</v>
      </c>
      <c r="O3416" t="b">
        <v>0</v>
      </c>
      <c r="P3416">
        <v>44</v>
      </c>
      <c r="Q3416" t="b">
        <v>1</v>
      </c>
      <c r="R3416" t="s">
        <v>8271</v>
      </c>
      <c r="S3416" s="6">
        <f>Table1[[#This Row],[pledged]]/Table1[[#This Row],[goal]]</f>
        <v>1.0349999999999999</v>
      </c>
      <c r="T3416" s="8">
        <f>IF(Table1[[#This Row],[pledged]]=0,"no backers",Table1[[#This Row],[pledged]]/Table1[[#This Row],[backers_count]])</f>
        <v>70.568181818181813</v>
      </c>
      <c r="U3416" t="str">
        <f>LEFT(Table1[[#This Row],[Category and Sub-Category]],FIND("/",Table1[[#This Row],[Category and Sub-Category]])-1)</f>
        <v>theater</v>
      </c>
      <c r="V3416" t="str">
        <f>RIGHT(Table1[[#This Row],[Category and Sub-Category]],LEN(Table1[[#This Row],[Category and Sub-Category]])-FIND("/",Table1[[#This Row],[Category and Sub-Category]]))</f>
        <v>plays</v>
      </c>
    </row>
    <row r="3417" spans="1:22" ht="43.2" x14ac:dyDescent="0.3">
      <c r="A3417">
        <v>3415</v>
      </c>
      <c r="B3417" s="3" t="s">
        <v>3414</v>
      </c>
      <c r="C3417" s="3" t="s">
        <v>7525</v>
      </c>
      <c r="D3417" s="12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>((Table1[[#This Row],[deadline]]/60)/60/24)+DATE(1970,1,1)</f>
        <v>42477.979166666672</v>
      </c>
      <c r="K3417">
        <v>1459999656</v>
      </c>
      <c r="L3417" s="11">
        <f>((Table1[[#This Row],[launched_at]]/60)/60/24)+DATE(1970,1,1)</f>
        <v>42467.144166666665</v>
      </c>
      <c r="M3417">
        <f>MONTH(Table1[[#This Row],[Date Created Conversion]])</f>
        <v>4</v>
      </c>
      <c r="N3417">
        <f>YEAR(Table1[[#This Row],[Date Created Conversion]])</f>
        <v>2016</v>
      </c>
      <c r="O3417" t="b">
        <v>0</v>
      </c>
      <c r="P3417">
        <v>9</v>
      </c>
      <c r="Q3417" t="b">
        <v>1</v>
      </c>
      <c r="R3417" t="s">
        <v>8271</v>
      </c>
      <c r="S3417" s="6">
        <f>Table1[[#This Row],[pledged]]/Table1[[#This Row],[goal]]</f>
        <v>1</v>
      </c>
      <c r="T3417" s="8">
        <f>IF(Table1[[#This Row],[pledged]]=0,"no backers",Table1[[#This Row],[pledged]]/Table1[[#This Row],[backers_count]])</f>
        <v>22.222222222222221</v>
      </c>
      <c r="U3417" t="str">
        <f>LEFT(Table1[[#This Row],[Category and Sub-Category]],FIND("/",Table1[[#This Row],[Category and Sub-Category]])-1)</f>
        <v>theater</v>
      </c>
      <c r="V3417" t="str">
        <f>RIGHT(Table1[[#This Row],[Category and Sub-Category]],LEN(Table1[[#This Row],[Category and Sub-Category]])-FIND("/",Table1[[#This Row],[Category and Sub-Category]]))</f>
        <v>plays</v>
      </c>
    </row>
    <row r="3418" spans="1:22" ht="57.6" x14ac:dyDescent="0.3">
      <c r="A3418">
        <v>3416</v>
      </c>
      <c r="B3418" s="3" t="s">
        <v>3415</v>
      </c>
      <c r="C3418" s="3" t="s">
        <v>7526</v>
      </c>
      <c r="D3418" s="12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>((Table1[[#This Row],[deadline]]/60)/60/24)+DATE(1970,1,1)</f>
        <v>42117.770833333328</v>
      </c>
      <c r="K3418">
        <v>1427363645</v>
      </c>
      <c r="L3418" s="11">
        <f>((Table1[[#This Row],[launched_at]]/60)/60/24)+DATE(1970,1,1)</f>
        <v>42089.412557870368</v>
      </c>
      <c r="M3418">
        <f>MONTH(Table1[[#This Row],[Date Created Conversion]])</f>
        <v>3</v>
      </c>
      <c r="N3418">
        <f>YEAR(Table1[[#This Row],[Date Created Conversion]])</f>
        <v>2015</v>
      </c>
      <c r="O3418" t="b">
        <v>0</v>
      </c>
      <c r="P3418">
        <v>30</v>
      </c>
      <c r="Q3418" t="b">
        <v>1</v>
      </c>
      <c r="R3418" t="s">
        <v>8271</v>
      </c>
      <c r="S3418" s="6">
        <f>Table1[[#This Row],[pledged]]/Table1[[#This Row],[goal]]</f>
        <v>1.196</v>
      </c>
      <c r="T3418" s="8">
        <f>IF(Table1[[#This Row],[pledged]]=0,"no backers",Table1[[#This Row],[pledged]]/Table1[[#This Row],[backers_count]])</f>
        <v>159.46666666666667</v>
      </c>
      <c r="U3418" t="str">
        <f>LEFT(Table1[[#This Row],[Category and Sub-Category]],FIND("/",Table1[[#This Row],[Category and Sub-Category]])-1)</f>
        <v>theater</v>
      </c>
      <c r="V3418" t="str">
        <f>RIGHT(Table1[[#This Row],[Category and Sub-Category]],LEN(Table1[[#This Row],[Category and Sub-Category]])-FIND("/",Table1[[#This Row],[Category and Sub-Category]]))</f>
        <v>plays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 s="12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>((Table1[[#This Row],[deadline]]/60)/60/24)+DATE(1970,1,1)</f>
        <v>41938.029861111114</v>
      </c>
      <c r="K3419">
        <v>1410558948</v>
      </c>
      <c r="L3419" s="11">
        <f>((Table1[[#This Row],[launched_at]]/60)/60/24)+DATE(1970,1,1)</f>
        <v>41894.91375</v>
      </c>
      <c r="M3419">
        <f>MONTH(Table1[[#This Row],[Date Created Conversion]])</f>
        <v>9</v>
      </c>
      <c r="N3419">
        <f>YEAR(Table1[[#This Row],[Date Created Conversion]])</f>
        <v>2014</v>
      </c>
      <c r="O3419" t="b">
        <v>0</v>
      </c>
      <c r="P3419">
        <v>45</v>
      </c>
      <c r="Q3419" t="b">
        <v>1</v>
      </c>
      <c r="R3419" t="s">
        <v>8271</v>
      </c>
      <c r="S3419" s="6">
        <f>Table1[[#This Row],[pledged]]/Table1[[#This Row],[goal]]</f>
        <v>1.0000058823529412</v>
      </c>
      <c r="T3419" s="8">
        <f>IF(Table1[[#This Row],[pledged]]=0,"no backers",Table1[[#This Row],[pledged]]/Table1[[#This Row],[backers_count]])</f>
        <v>37.777999999999999</v>
      </c>
      <c r="U3419" t="str">
        <f>LEFT(Table1[[#This Row],[Category and Sub-Category]],FIND("/",Table1[[#This Row],[Category and Sub-Category]])-1)</f>
        <v>theater</v>
      </c>
      <c r="V3419" t="str">
        <f>RIGHT(Table1[[#This Row],[Category and Sub-Category]],LEN(Table1[[#This Row],[Category and Sub-Category]])-FIND("/",Table1[[#This Row],[Category and Sub-Category]]))</f>
        <v>plays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 s="12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>((Table1[[#This Row],[deadline]]/60)/60/24)+DATE(1970,1,1)</f>
        <v>41782.83457175926</v>
      </c>
      <c r="K3420">
        <v>1398283307</v>
      </c>
      <c r="L3420" s="11">
        <f>((Table1[[#This Row],[launched_at]]/60)/60/24)+DATE(1970,1,1)</f>
        <v>41752.83457175926</v>
      </c>
      <c r="M3420">
        <f>MONTH(Table1[[#This Row],[Date Created Conversion]])</f>
        <v>4</v>
      </c>
      <c r="N3420">
        <f>YEAR(Table1[[#This Row],[Date Created Conversion]])</f>
        <v>2014</v>
      </c>
      <c r="O3420" t="b">
        <v>0</v>
      </c>
      <c r="P3420">
        <v>56</v>
      </c>
      <c r="Q3420" t="b">
        <v>1</v>
      </c>
      <c r="R3420" t="s">
        <v>8271</v>
      </c>
      <c r="S3420" s="6">
        <f>Table1[[#This Row],[pledged]]/Table1[[#This Row],[goal]]</f>
        <v>1.00875</v>
      </c>
      <c r="T3420" s="8">
        <f>IF(Table1[[#This Row],[pledged]]=0,"no backers",Table1[[#This Row],[pledged]]/Table1[[#This Row],[backers_count]])</f>
        <v>72.053571428571431</v>
      </c>
      <c r="U3420" t="str">
        <f>LEFT(Table1[[#This Row],[Category and Sub-Category]],FIND("/",Table1[[#This Row],[Category and Sub-Category]])-1)</f>
        <v>theater</v>
      </c>
      <c r="V3420" t="str">
        <f>RIGHT(Table1[[#This Row],[Category and Sub-Category]],LEN(Table1[[#This Row],[Category and Sub-Category]])-FIND("/",Table1[[#This Row],[Category and Sub-Category]]))</f>
        <v>plays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 s="12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>((Table1[[#This Row],[deadline]]/60)/60/24)+DATE(1970,1,1)</f>
        <v>42466.895833333328</v>
      </c>
      <c r="K3421">
        <v>1458416585</v>
      </c>
      <c r="L3421" s="11">
        <f>((Table1[[#This Row],[launched_at]]/60)/60/24)+DATE(1970,1,1)</f>
        <v>42448.821585648147</v>
      </c>
      <c r="M3421">
        <f>MONTH(Table1[[#This Row],[Date Created Conversion]])</f>
        <v>3</v>
      </c>
      <c r="N3421">
        <f>YEAR(Table1[[#This Row],[Date Created Conversion]])</f>
        <v>2016</v>
      </c>
      <c r="O3421" t="b">
        <v>0</v>
      </c>
      <c r="P3421">
        <v>46</v>
      </c>
      <c r="Q3421" t="b">
        <v>1</v>
      </c>
      <c r="R3421" t="s">
        <v>8271</v>
      </c>
      <c r="S3421" s="6">
        <f>Table1[[#This Row],[pledged]]/Table1[[#This Row],[goal]]</f>
        <v>1.0654545454545454</v>
      </c>
      <c r="T3421" s="8">
        <f>IF(Table1[[#This Row],[pledged]]=0,"no backers",Table1[[#This Row],[pledged]]/Table1[[#This Row],[backers_count]])</f>
        <v>63.695652173913047</v>
      </c>
      <c r="U3421" t="str">
        <f>LEFT(Table1[[#This Row],[Category and Sub-Category]],FIND("/",Table1[[#This Row],[Category and Sub-Category]])-1)</f>
        <v>theater</v>
      </c>
      <c r="V3421" t="str">
        <f>RIGHT(Table1[[#This Row],[Category and Sub-Category]],LEN(Table1[[#This Row],[Category and Sub-Category]])-FIND("/",Table1[[#This Row],[Category and Sub-Category]]))</f>
        <v>plays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 s="1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>((Table1[[#This Row],[deadline]]/60)/60/24)+DATE(1970,1,1)</f>
        <v>42414</v>
      </c>
      <c r="K3422">
        <v>1454638202</v>
      </c>
      <c r="L3422" s="11">
        <f>((Table1[[#This Row],[launched_at]]/60)/60/24)+DATE(1970,1,1)</f>
        <v>42405.090300925927</v>
      </c>
      <c r="M3422">
        <f>MONTH(Table1[[#This Row],[Date Created Conversion]])</f>
        <v>2</v>
      </c>
      <c r="N3422">
        <f>YEAR(Table1[[#This Row],[Date Created Conversion]])</f>
        <v>2016</v>
      </c>
      <c r="O3422" t="b">
        <v>0</v>
      </c>
      <c r="P3422">
        <v>34</v>
      </c>
      <c r="Q3422" t="b">
        <v>1</v>
      </c>
      <c r="R3422" t="s">
        <v>8271</v>
      </c>
      <c r="S3422" s="6">
        <f>Table1[[#This Row],[pledged]]/Table1[[#This Row],[goal]]</f>
        <v>1.38</v>
      </c>
      <c r="T3422" s="8">
        <f>IF(Table1[[#This Row],[pledged]]=0,"no backers",Table1[[#This Row],[pledged]]/Table1[[#This Row],[backers_count]])</f>
        <v>28.411764705882351</v>
      </c>
      <c r="U3422" t="str">
        <f>LEFT(Table1[[#This Row],[Category and Sub-Category]],FIND("/",Table1[[#This Row],[Category and Sub-Category]])-1)</f>
        <v>theater</v>
      </c>
      <c r="V3422" t="str">
        <f>RIGHT(Table1[[#This Row],[Category and Sub-Category]],LEN(Table1[[#This Row],[Category and Sub-Category]])-FIND("/",Table1[[#This Row],[Category and Sub-Category]]))</f>
        <v>plays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 s="12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>((Table1[[#This Row],[deadline]]/60)/60/24)+DATE(1970,1,1)</f>
        <v>42067.791238425925</v>
      </c>
      <c r="K3423">
        <v>1422903563</v>
      </c>
      <c r="L3423" s="11">
        <f>((Table1[[#This Row],[launched_at]]/60)/60/24)+DATE(1970,1,1)</f>
        <v>42037.791238425925</v>
      </c>
      <c r="M3423">
        <f>MONTH(Table1[[#This Row],[Date Created Conversion]])</f>
        <v>2</v>
      </c>
      <c r="N3423">
        <f>YEAR(Table1[[#This Row],[Date Created Conversion]])</f>
        <v>2015</v>
      </c>
      <c r="O3423" t="b">
        <v>0</v>
      </c>
      <c r="P3423">
        <v>98</v>
      </c>
      <c r="Q3423" t="b">
        <v>1</v>
      </c>
      <c r="R3423" t="s">
        <v>8271</v>
      </c>
      <c r="S3423" s="6">
        <f>Table1[[#This Row],[pledged]]/Table1[[#This Row],[goal]]</f>
        <v>1.0115000000000001</v>
      </c>
      <c r="T3423" s="8">
        <f>IF(Table1[[#This Row],[pledged]]=0,"no backers",Table1[[#This Row],[pledged]]/Table1[[#This Row],[backers_count]])</f>
        <v>103.21428571428571</v>
      </c>
      <c r="U3423" t="str">
        <f>LEFT(Table1[[#This Row],[Category and Sub-Category]],FIND("/",Table1[[#This Row],[Category and Sub-Category]])-1)</f>
        <v>theater</v>
      </c>
      <c r="V3423" t="str">
        <f>RIGHT(Table1[[#This Row],[Category and Sub-Category]],LEN(Table1[[#This Row],[Category and Sub-Category]])-FIND("/",Table1[[#This Row],[Category and Sub-Category]]))</f>
        <v>plays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 s="12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>((Table1[[#This Row],[deadline]]/60)/60/24)+DATE(1970,1,1)</f>
        <v>42352</v>
      </c>
      <c r="K3424">
        <v>1447594176</v>
      </c>
      <c r="L3424" s="11">
        <f>((Table1[[#This Row],[launched_at]]/60)/60/24)+DATE(1970,1,1)</f>
        <v>42323.562222222223</v>
      </c>
      <c r="M3424">
        <f>MONTH(Table1[[#This Row],[Date Created Conversion]])</f>
        <v>11</v>
      </c>
      <c r="N3424">
        <f>YEAR(Table1[[#This Row],[Date Created Conversion]])</f>
        <v>2015</v>
      </c>
      <c r="O3424" t="b">
        <v>0</v>
      </c>
      <c r="P3424">
        <v>46</v>
      </c>
      <c r="Q3424" t="b">
        <v>1</v>
      </c>
      <c r="R3424" t="s">
        <v>8271</v>
      </c>
      <c r="S3424" s="6">
        <f>Table1[[#This Row],[pledged]]/Table1[[#This Row],[goal]]</f>
        <v>1.091</v>
      </c>
      <c r="T3424" s="8">
        <f>IF(Table1[[#This Row],[pledged]]=0,"no backers",Table1[[#This Row],[pledged]]/Table1[[#This Row],[backers_count]])</f>
        <v>71.152173913043484</v>
      </c>
      <c r="U3424" t="str">
        <f>LEFT(Table1[[#This Row],[Category and Sub-Category]],FIND("/",Table1[[#This Row],[Category and Sub-Category]])-1)</f>
        <v>theater</v>
      </c>
      <c r="V3424" t="str">
        <f>RIGHT(Table1[[#This Row],[Category and Sub-Category]],LEN(Table1[[#This Row],[Category and Sub-Category]])-FIND("/",Table1[[#This Row],[Category and Sub-Category]]))</f>
        <v>plays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 s="12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>((Table1[[#This Row],[deadline]]/60)/60/24)+DATE(1970,1,1)</f>
        <v>42118.911354166667</v>
      </c>
      <c r="K3425">
        <v>1427320341</v>
      </c>
      <c r="L3425" s="11">
        <f>((Table1[[#This Row],[launched_at]]/60)/60/24)+DATE(1970,1,1)</f>
        <v>42088.911354166667</v>
      </c>
      <c r="M3425">
        <f>MONTH(Table1[[#This Row],[Date Created Conversion]])</f>
        <v>3</v>
      </c>
      <c r="N3425">
        <f>YEAR(Table1[[#This Row],[Date Created Conversion]])</f>
        <v>2015</v>
      </c>
      <c r="O3425" t="b">
        <v>0</v>
      </c>
      <c r="P3425">
        <v>10</v>
      </c>
      <c r="Q3425" t="b">
        <v>1</v>
      </c>
      <c r="R3425" t="s">
        <v>8271</v>
      </c>
      <c r="S3425" s="6">
        <f>Table1[[#This Row],[pledged]]/Table1[[#This Row],[goal]]</f>
        <v>1.4</v>
      </c>
      <c r="T3425" s="8">
        <f>IF(Table1[[#This Row],[pledged]]=0,"no backers",Table1[[#This Row],[pledged]]/Table1[[#This Row],[backers_count]])</f>
        <v>35</v>
      </c>
      <c r="U3425" t="str">
        <f>LEFT(Table1[[#This Row],[Category and Sub-Category]],FIND("/",Table1[[#This Row],[Category and Sub-Category]])-1)</f>
        <v>theater</v>
      </c>
      <c r="V3425" t="str">
        <f>RIGHT(Table1[[#This Row],[Category and Sub-Category]],LEN(Table1[[#This Row],[Category and Sub-Category]])-FIND("/",Table1[[#This Row],[Category and Sub-Category]]))</f>
        <v>plays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 s="12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>((Table1[[#This Row],[deadline]]/60)/60/24)+DATE(1970,1,1)</f>
        <v>42040.290972222225</v>
      </c>
      <c r="K3426">
        <v>1421252084</v>
      </c>
      <c r="L3426" s="11">
        <f>((Table1[[#This Row],[launched_at]]/60)/60/24)+DATE(1970,1,1)</f>
        <v>42018.676898148144</v>
      </c>
      <c r="M3426">
        <f>MONTH(Table1[[#This Row],[Date Created Conversion]])</f>
        <v>1</v>
      </c>
      <c r="N3426">
        <f>YEAR(Table1[[#This Row],[Date Created Conversion]])</f>
        <v>2015</v>
      </c>
      <c r="O3426" t="b">
        <v>0</v>
      </c>
      <c r="P3426">
        <v>76</v>
      </c>
      <c r="Q3426" t="b">
        <v>1</v>
      </c>
      <c r="R3426" t="s">
        <v>8271</v>
      </c>
      <c r="S3426" s="6">
        <f>Table1[[#This Row],[pledged]]/Table1[[#This Row],[goal]]</f>
        <v>1.0358333333333334</v>
      </c>
      <c r="T3426" s="8">
        <f>IF(Table1[[#This Row],[pledged]]=0,"no backers",Table1[[#This Row],[pledged]]/Table1[[#This Row],[backers_count]])</f>
        <v>81.776315789473685</v>
      </c>
      <c r="U3426" t="str">
        <f>LEFT(Table1[[#This Row],[Category and Sub-Category]],FIND("/",Table1[[#This Row],[Category and Sub-Category]])-1)</f>
        <v>theater</v>
      </c>
      <c r="V3426" t="str">
        <f>RIGHT(Table1[[#This Row],[Category and Sub-Category]],LEN(Table1[[#This Row],[Category and Sub-Category]])-FIND("/",Table1[[#This Row],[Category and Sub-Category]]))</f>
        <v>plays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 s="12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>((Table1[[#This Row],[deadline]]/60)/60/24)+DATE(1970,1,1)</f>
        <v>41916.617314814815</v>
      </c>
      <c r="K3427">
        <v>1409669336</v>
      </c>
      <c r="L3427" s="11">
        <f>((Table1[[#This Row],[launched_at]]/60)/60/24)+DATE(1970,1,1)</f>
        <v>41884.617314814815</v>
      </c>
      <c r="M3427">
        <f>MONTH(Table1[[#This Row],[Date Created Conversion]])</f>
        <v>9</v>
      </c>
      <c r="N3427">
        <f>YEAR(Table1[[#This Row],[Date Created Conversion]])</f>
        <v>2014</v>
      </c>
      <c r="O3427" t="b">
        <v>0</v>
      </c>
      <c r="P3427">
        <v>104</v>
      </c>
      <c r="Q3427" t="b">
        <v>1</v>
      </c>
      <c r="R3427" t="s">
        <v>8271</v>
      </c>
      <c r="S3427" s="6">
        <f>Table1[[#This Row],[pledged]]/Table1[[#This Row],[goal]]</f>
        <v>1.0297033333333332</v>
      </c>
      <c r="T3427" s="8">
        <f>IF(Table1[[#This Row],[pledged]]=0,"no backers",Table1[[#This Row],[pledged]]/Table1[[#This Row],[backers_count]])</f>
        <v>297.02980769230766</v>
      </c>
      <c r="U3427" t="str">
        <f>LEFT(Table1[[#This Row],[Category and Sub-Category]],FIND("/",Table1[[#This Row],[Category and Sub-Category]])-1)</f>
        <v>theater</v>
      </c>
      <c r="V3427" t="str">
        <f>RIGHT(Table1[[#This Row],[Category and Sub-Category]],LEN(Table1[[#This Row],[Category and Sub-Category]])-FIND("/",Table1[[#This Row],[Category and Sub-Category]]))</f>
        <v>plays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 s="12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>((Table1[[#This Row],[deadline]]/60)/60/24)+DATE(1970,1,1)</f>
        <v>41903.083333333336</v>
      </c>
      <c r="K3428">
        <v>1409620903</v>
      </c>
      <c r="L3428" s="11">
        <f>((Table1[[#This Row],[launched_at]]/60)/60/24)+DATE(1970,1,1)</f>
        <v>41884.056747685187</v>
      </c>
      <c r="M3428">
        <f>MONTH(Table1[[#This Row],[Date Created Conversion]])</f>
        <v>9</v>
      </c>
      <c r="N3428">
        <f>YEAR(Table1[[#This Row],[Date Created Conversion]])</f>
        <v>2014</v>
      </c>
      <c r="O3428" t="b">
        <v>0</v>
      </c>
      <c r="P3428">
        <v>87</v>
      </c>
      <c r="Q3428" t="b">
        <v>1</v>
      </c>
      <c r="R3428" t="s">
        <v>8271</v>
      </c>
      <c r="S3428" s="6">
        <f>Table1[[#This Row],[pledged]]/Table1[[#This Row],[goal]]</f>
        <v>1.0813333333333333</v>
      </c>
      <c r="T3428" s="8">
        <f>IF(Table1[[#This Row],[pledged]]=0,"no backers",Table1[[#This Row],[pledged]]/Table1[[#This Row],[backers_count]])</f>
        <v>46.609195402298852</v>
      </c>
      <c r="U3428" t="str">
        <f>LEFT(Table1[[#This Row],[Category and Sub-Category]],FIND("/",Table1[[#This Row],[Category and Sub-Category]])-1)</f>
        <v>theater</v>
      </c>
      <c r="V3428" t="str">
        <f>RIGHT(Table1[[#This Row],[Category and Sub-Category]],LEN(Table1[[#This Row],[Category and Sub-Category]])-FIND("/",Table1[[#This Row],[Category and Sub-Category]]))</f>
        <v>plays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 s="12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>((Table1[[#This Row],[deadline]]/60)/60/24)+DATE(1970,1,1)</f>
        <v>41822.645277777774</v>
      </c>
      <c r="K3429">
        <v>1401722952</v>
      </c>
      <c r="L3429" s="11">
        <f>((Table1[[#This Row],[launched_at]]/60)/60/24)+DATE(1970,1,1)</f>
        <v>41792.645277777774</v>
      </c>
      <c r="M3429">
        <f>MONTH(Table1[[#This Row],[Date Created Conversion]])</f>
        <v>6</v>
      </c>
      <c r="N3429">
        <f>YEAR(Table1[[#This Row],[Date Created Conversion]])</f>
        <v>2014</v>
      </c>
      <c r="O3429" t="b">
        <v>0</v>
      </c>
      <c r="P3429">
        <v>29</v>
      </c>
      <c r="Q3429" t="b">
        <v>1</v>
      </c>
      <c r="R3429" t="s">
        <v>8271</v>
      </c>
      <c r="S3429" s="6">
        <f>Table1[[#This Row],[pledged]]/Table1[[#This Row],[goal]]</f>
        <v>1</v>
      </c>
      <c r="T3429" s="8">
        <f>IF(Table1[[#This Row],[pledged]]=0,"no backers",Table1[[#This Row],[pledged]]/Table1[[#This Row],[backers_count]])</f>
        <v>51.724137931034484</v>
      </c>
      <c r="U3429" t="str">
        <f>LEFT(Table1[[#This Row],[Category and Sub-Category]],FIND("/",Table1[[#This Row],[Category and Sub-Category]])-1)</f>
        <v>theater</v>
      </c>
      <c r="V3429" t="str">
        <f>RIGHT(Table1[[#This Row],[Category and Sub-Category]],LEN(Table1[[#This Row],[Category and Sub-Category]])-FIND("/",Table1[[#This Row],[Category and Sub-Category]]))</f>
        <v>plays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 s="12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>((Table1[[#This Row],[deadline]]/60)/60/24)+DATE(1970,1,1)</f>
        <v>42063.708333333328</v>
      </c>
      <c r="K3430">
        <v>1422983847</v>
      </c>
      <c r="L3430" s="11">
        <f>((Table1[[#This Row],[launched_at]]/60)/60/24)+DATE(1970,1,1)</f>
        <v>42038.720451388886</v>
      </c>
      <c r="M3430">
        <f>MONTH(Table1[[#This Row],[Date Created Conversion]])</f>
        <v>2</v>
      </c>
      <c r="N3430">
        <f>YEAR(Table1[[#This Row],[Date Created Conversion]])</f>
        <v>2015</v>
      </c>
      <c r="O3430" t="b">
        <v>0</v>
      </c>
      <c r="P3430">
        <v>51</v>
      </c>
      <c r="Q3430" t="b">
        <v>1</v>
      </c>
      <c r="R3430" t="s">
        <v>8271</v>
      </c>
      <c r="S3430" s="6">
        <f>Table1[[#This Row],[pledged]]/Table1[[#This Row],[goal]]</f>
        <v>1.0275000000000001</v>
      </c>
      <c r="T3430" s="8">
        <f>IF(Table1[[#This Row],[pledged]]=0,"no backers",Table1[[#This Row],[pledged]]/Table1[[#This Row],[backers_count]])</f>
        <v>40.294117647058826</v>
      </c>
      <c r="U3430" t="str">
        <f>LEFT(Table1[[#This Row],[Category and Sub-Category]],FIND("/",Table1[[#This Row],[Category and Sub-Category]])-1)</f>
        <v>theater</v>
      </c>
      <c r="V3430" t="str">
        <f>RIGHT(Table1[[#This Row],[Category and Sub-Category]],LEN(Table1[[#This Row],[Category and Sub-Category]])-FIND("/",Table1[[#This Row],[Category and Sub-Category]]))</f>
        <v>plays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 s="12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>((Table1[[#This Row],[deadline]]/60)/60/24)+DATE(1970,1,1)</f>
        <v>42676.021539351852</v>
      </c>
      <c r="K3431">
        <v>1476837061</v>
      </c>
      <c r="L3431" s="11">
        <f>((Table1[[#This Row],[launched_at]]/60)/60/24)+DATE(1970,1,1)</f>
        <v>42662.021539351852</v>
      </c>
      <c r="M3431">
        <f>MONTH(Table1[[#This Row],[Date Created Conversion]])</f>
        <v>10</v>
      </c>
      <c r="N3431">
        <f>YEAR(Table1[[#This Row],[Date Created Conversion]])</f>
        <v>2016</v>
      </c>
      <c r="O3431" t="b">
        <v>0</v>
      </c>
      <c r="P3431">
        <v>12</v>
      </c>
      <c r="Q3431" t="b">
        <v>1</v>
      </c>
      <c r="R3431" t="s">
        <v>8271</v>
      </c>
      <c r="S3431" s="6">
        <f>Table1[[#This Row],[pledged]]/Table1[[#This Row],[goal]]</f>
        <v>1.3</v>
      </c>
      <c r="T3431" s="8">
        <f>IF(Table1[[#This Row],[pledged]]=0,"no backers",Table1[[#This Row],[pledged]]/Table1[[#This Row],[backers_count]])</f>
        <v>16.25</v>
      </c>
      <c r="U3431" t="str">
        <f>LEFT(Table1[[#This Row],[Category and Sub-Category]],FIND("/",Table1[[#This Row],[Category and Sub-Category]])-1)</f>
        <v>theater</v>
      </c>
      <c r="V3431" t="str">
        <f>RIGHT(Table1[[#This Row],[Category and Sub-Category]],LEN(Table1[[#This Row],[Category and Sub-Category]])-FIND("/",Table1[[#This Row],[Category and Sub-Category]]))</f>
        <v>plays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 s="1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>((Table1[[#This Row],[deadline]]/60)/60/24)+DATE(1970,1,1)</f>
        <v>41850.945613425924</v>
      </c>
      <c r="K3432">
        <v>1404168101</v>
      </c>
      <c r="L3432" s="11">
        <f>((Table1[[#This Row],[launched_at]]/60)/60/24)+DATE(1970,1,1)</f>
        <v>41820.945613425924</v>
      </c>
      <c r="M3432">
        <f>MONTH(Table1[[#This Row],[Date Created Conversion]])</f>
        <v>6</v>
      </c>
      <c r="N3432">
        <f>YEAR(Table1[[#This Row],[Date Created Conversion]])</f>
        <v>2014</v>
      </c>
      <c r="O3432" t="b">
        <v>0</v>
      </c>
      <c r="P3432">
        <v>72</v>
      </c>
      <c r="Q3432" t="b">
        <v>1</v>
      </c>
      <c r="R3432" t="s">
        <v>8271</v>
      </c>
      <c r="S3432" s="6">
        <f>Table1[[#This Row],[pledged]]/Table1[[#This Row],[goal]]</f>
        <v>1.0854949999999999</v>
      </c>
      <c r="T3432" s="8">
        <f>IF(Table1[[#This Row],[pledged]]=0,"no backers",Table1[[#This Row],[pledged]]/Table1[[#This Row],[backers_count]])</f>
        <v>30.152638888888887</v>
      </c>
      <c r="U3432" t="str">
        <f>LEFT(Table1[[#This Row],[Category and Sub-Category]],FIND("/",Table1[[#This Row],[Category and Sub-Category]])-1)</f>
        <v>theater</v>
      </c>
      <c r="V3432" t="str">
        <f>RIGHT(Table1[[#This Row],[Category and Sub-Category]],LEN(Table1[[#This Row],[Category and Sub-Category]])-FIND("/",Table1[[#This Row],[Category and Sub-Category]]))</f>
        <v>plays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 s="12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>((Table1[[#This Row],[deadline]]/60)/60/24)+DATE(1970,1,1)</f>
        <v>41869.730937500004</v>
      </c>
      <c r="K3433">
        <v>1405791153</v>
      </c>
      <c r="L3433" s="11">
        <f>((Table1[[#This Row],[launched_at]]/60)/60/24)+DATE(1970,1,1)</f>
        <v>41839.730937500004</v>
      </c>
      <c r="M3433">
        <f>MONTH(Table1[[#This Row],[Date Created Conversion]])</f>
        <v>7</v>
      </c>
      <c r="N3433">
        <f>YEAR(Table1[[#This Row],[Date Created Conversion]])</f>
        <v>2014</v>
      </c>
      <c r="O3433" t="b">
        <v>0</v>
      </c>
      <c r="P3433">
        <v>21</v>
      </c>
      <c r="Q3433" t="b">
        <v>1</v>
      </c>
      <c r="R3433" t="s">
        <v>8271</v>
      </c>
      <c r="S3433" s="6">
        <f>Table1[[#This Row],[pledged]]/Table1[[#This Row],[goal]]</f>
        <v>1</v>
      </c>
      <c r="T3433" s="8">
        <f>IF(Table1[[#This Row],[pledged]]=0,"no backers",Table1[[#This Row],[pledged]]/Table1[[#This Row],[backers_count]])</f>
        <v>95.238095238095241</v>
      </c>
      <c r="U3433" t="str">
        <f>LEFT(Table1[[#This Row],[Category and Sub-Category]],FIND("/",Table1[[#This Row],[Category and Sub-Category]])-1)</f>
        <v>theater</v>
      </c>
      <c r="V3433" t="str">
        <f>RIGHT(Table1[[#This Row],[Category and Sub-Category]],LEN(Table1[[#This Row],[Category and Sub-Category]])-FIND("/",Table1[[#This Row],[Category and Sub-Category]]))</f>
        <v>plays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 s="12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>((Table1[[#This Row],[deadline]]/60)/60/24)+DATE(1970,1,1)</f>
        <v>42405.916666666672</v>
      </c>
      <c r="K3434">
        <v>1452520614</v>
      </c>
      <c r="L3434" s="11">
        <f>((Table1[[#This Row],[launched_at]]/60)/60/24)+DATE(1970,1,1)</f>
        <v>42380.581180555557</v>
      </c>
      <c r="M3434">
        <f>MONTH(Table1[[#This Row],[Date Created Conversion]])</f>
        <v>1</v>
      </c>
      <c r="N3434">
        <f>YEAR(Table1[[#This Row],[Date Created Conversion]])</f>
        <v>2016</v>
      </c>
      <c r="O3434" t="b">
        <v>0</v>
      </c>
      <c r="P3434">
        <v>42</v>
      </c>
      <c r="Q3434" t="b">
        <v>1</v>
      </c>
      <c r="R3434" t="s">
        <v>8271</v>
      </c>
      <c r="S3434" s="6">
        <f>Table1[[#This Row],[pledged]]/Table1[[#This Row],[goal]]</f>
        <v>1.0965</v>
      </c>
      <c r="T3434" s="8">
        <f>IF(Table1[[#This Row],[pledged]]=0,"no backers",Table1[[#This Row],[pledged]]/Table1[[#This Row],[backers_count]])</f>
        <v>52.214285714285715</v>
      </c>
      <c r="U3434" t="str">
        <f>LEFT(Table1[[#This Row],[Category and Sub-Category]],FIND("/",Table1[[#This Row],[Category and Sub-Category]])-1)</f>
        <v>theater</v>
      </c>
      <c r="V3434" t="str">
        <f>RIGHT(Table1[[#This Row],[Category and Sub-Category]],LEN(Table1[[#This Row],[Category and Sub-Category]])-FIND("/",Table1[[#This Row],[Category and Sub-Category]]))</f>
        <v>plays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 s="12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>((Table1[[#This Row],[deadline]]/60)/60/24)+DATE(1970,1,1)</f>
        <v>41807.125</v>
      </c>
      <c r="K3435">
        <v>1400290255</v>
      </c>
      <c r="L3435" s="11">
        <f>((Table1[[#This Row],[launched_at]]/60)/60/24)+DATE(1970,1,1)</f>
        <v>41776.063136574077</v>
      </c>
      <c r="M3435">
        <f>MONTH(Table1[[#This Row],[Date Created Conversion]])</f>
        <v>5</v>
      </c>
      <c r="N3435">
        <f>YEAR(Table1[[#This Row],[Date Created Conversion]])</f>
        <v>2014</v>
      </c>
      <c r="O3435" t="b">
        <v>0</v>
      </c>
      <c r="P3435">
        <v>71</v>
      </c>
      <c r="Q3435" t="b">
        <v>1</v>
      </c>
      <c r="R3435" t="s">
        <v>8271</v>
      </c>
      <c r="S3435" s="6">
        <f>Table1[[#This Row],[pledged]]/Table1[[#This Row],[goal]]</f>
        <v>1.0026315789473683</v>
      </c>
      <c r="T3435" s="8">
        <f>IF(Table1[[#This Row],[pledged]]=0,"no backers",Table1[[#This Row],[pledged]]/Table1[[#This Row],[backers_count]])</f>
        <v>134.1549295774648</v>
      </c>
      <c r="U3435" t="str">
        <f>LEFT(Table1[[#This Row],[Category and Sub-Category]],FIND("/",Table1[[#This Row],[Category and Sub-Category]])-1)</f>
        <v>theater</v>
      </c>
      <c r="V3435" t="str">
        <f>RIGHT(Table1[[#This Row],[Category and Sub-Category]],LEN(Table1[[#This Row],[Category and Sub-Category]])-FIND("/",Table1[[#This Row],[Category and Sub-Category]]))</f>
        <v>plays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 s="12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>((Table1[[#This Row],[deadline]]/60)/60/24)+DATE(1970,1,1)</f>
        <v>41830.380428240744</v>
      </c>
      <c r="K3436">
        <v>1402391269</v>
      </c>
      <c r="L3436" s="11">
        <f>((Table1[[#This Row],[launched_at]]/60)/60/24)+DATE(1970,1,1)</f>
        <v>41800.380428240744</v>
      </c>
      <c r="M3436">
        <f>MONTH(Table1[[#This Row],[Date Created Conversion]])</f>
        <v>6</v>
      </c>
      <c r="N3436">
        <f>YEAR(Table1[[#This Row],[Date Created Conversion]])</f>
        <v>2014</v>
      </c>
      <c r="O3436" t="b">
        <v>0</v>
      </c>
      <c r="P3436">
        <v>168</v>
      </c>
      <c r="Q3436" t="b">
        <v>1</v>
      </c>
      <c r="R3436" t="s">
        <v>8271</v>
      </c>
      <c r="S3436" s="6">
        <f>Table1[[#This Row],[pledged]]/Table1[[#This Row],[goal]]</f>
        <v>1.0555000000000001</v>
      </c>
      <c r="T3436" s="8">
        <f>IF(Table1[[#This Row],[pledged]]=0,"no backers",Table1[[#This Row],[pledged]]/Table1[[#This Row],[backers_count]])</f>
        <v>62.827380952380949</v>
      </c>
      <c r="U3436" t="str">
        <f>LEFT(Table1[[#This Row],[Category and Sub-Category]],FIND("/",Table1[[#This Row],[Category and Sub-Category]])-1)</f>
        <v>theater</v>
      </c>
      <c r="V3436" t="str">
        <f>RIGHT(Table1[[#This Row],[Category and Sub-Category]],LEN(Table1[[#This Row],[Category and Sub-Category]])-FIND("/",Table1[[#This Row],[Category and Sub-Category]]))</f>
        <v>plays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 s="12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>((Table1[[#This Row],[deadline]]/60)/60/24)+DATE(1970,1,1)</f>
        <v>42589.125</v>
      </c>
      <c r="K3437">
        <v>1469112493</v>
      </c>
      <c r="L3437" s="11">
        <f>((Table1[[#This Row],[launched_at]]/60)/60/24)+DATE(1970,1,1)</f>
        <v>42572.61681712963</v>
      </c>
      <c r="M3437">
        <f>MONTH(Table1[[#This Row],[Date Created Conversion]])</f>
        <v>7</v>
      </c>
      <c r="N3437">
        <f>YEAR(Table1[[#This Row],[Date Created Conversion]])</f>
        <v>2016</v>
      </c>
      <c r="O3437" t="b">
        <v>0</v>
      </c>
      <c r="P3437">
        <v>19</v>
      </c>
      <c r="Q3437" t="b">
        <v>1</v>
      </c>
      <c r="R3437" t="s">
        <v>8271</v>
      </c>
      <c r="S3437" s="6">
        <f>Table1[[#This Row],[pledged]]/Table1[[#This Row],[goal]]</f>
        <v>1.1200000000000001</v>
      </c>
      <c r="T3437" s="8">
        <f>IF(Table1[[#This Row],[pledged]]=0,"no backers",Table1[[#This Row],[pledged]]/Table1[[#This Row],[backers_count]])</f>
        <v>58.94736842105263</v>
      </c>
      <c r="U3437" t="str">
        <f>LEFT(Table1[[#This Row],[Category and Sub-Category]],FIND("/",Table1[[#This Row],[Category and Sub-Category]])-1)</f>
        <v>theater</v>
      </c>
      <c r="V3437" t="str">
        <f>RIGHT(Table1[[#This Row],[Category and Sub-Category]],LEN(Table1[[#This Row],[Category and Sub-Category]])-FIND("/",Table1[[#This Row],[Category and Sub-Category]]))</f>
        <v>plays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 s="12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>((Table1[[#This Row],[deadline]]/60)/60/24)+DATE(1970,1,1)</f>
        <v>41872.686111111114</v>
      </c>
      <c r="K3438">
        <v>1406811593</v>
      </c>
      <c r="L3438" s="11">
        <f>((Table1[[#This Row],[launched_at]]/60)/60/24)+DATE(1970,1,1)</f>
        <v>41851.541585648149</v>
      </c>
      <c r="M3438">
        <f>MONTH(Table1[[#This Row],[Date Created Conversion]])</f>
        <v>7</v>
      </c>
      <c r="N3438">
        <f>YEAR(Table1[[#This Row],[Date Created Conversion]])</f>
        <v>2014</v>
      </c>
      <c r="O3438" t="b">
        <v>0</v>
      </c>
      <c r="P3438">
        <v>37</v>
      </c>
      <c r="Q3438" t="b">
        <v>1</v>
      </c>
      <c r="R3438" t="s">
        <v>8271</v>
      </c>
      <c r="S3438" s="6">
        <f>Table1[[#This Row],[pledged]]/Table1[[#This Row],[goal]]</f>
        <v>1.0589999999999999</v>
      </c>
      <c r="T3438" s="8">
        <f>IF(Table1[[#This Row],[pledged]]=0,"no backers",Table1[[#This Row],[pledged]]/Table1[[#This Row],[backers_count]])</f>
        <v>143.1081081081081</v>
      </c>
      <c r="U3438" t="str">
        <f>LEFT(Table1[[#This Row],[Category and Sub-Category]],FIND("/",Table1[[#This Row],[Category and Sub-Category]])-1)</f>
        <v>theater</v>
      </c>
      <c r="V3438" t="str">
        <f>RIGHT(Table1[[#This Row],[Category and Sub-Category]],LEN(Table1[[#This Row],[Category and Sub-Category]])-FIND("/",Table1[[#This Row],[Category and Sub-Category]]))</f>
        <v>plays</v>
      </c>
    </row>
    <row r="3439" spans="1:22" ht="57.6" x14ac:dyDescent="0.3">
      <c r="A3439">
        <v>3437</v>
      </c>
      <c r="B3439" s="3" t="s">
        <v>3436</v>
      </c>
      <c r="C3439" s="3" t="s">
        <v>7547</v>
      </c>
      <c r="D3439" s="12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>((Table1[[#This Row],[deadline]]/60)/60/24)+DATE(1970,1,1)</f>
        <v>42235.710879629631</v>
      </c>
      <c r="K3439">
        <v>1437411820</v>
      </c>
      <c r="L3439" s="11">
        <f>((Table1[[#This Row],[launched_at]]/60)/60/24)+DATE(1970,1,1)</f>
        <v>42205.710879629631</v>
      </c>
      <c r="M3439">
        <f>MONTH(Table1[[#This Row],[Date Created Conversion]])</f>
        <v>7</v>
      </c>
      <c r="N3439">
        <f>YEAR(Table1[[#This Row],[Date Created Conversion]])</f>
        <v>2015</v>
      </c>
      <c r="O3439" t="b">
        <v>0</v>
      </c>
      <c r="P3439">
        <v>36</v>
      </c>
      <c r="Q3439" t="b">
        <v>1</v>
      </c>
      <c r="R3439" t="s">
        <v>8271</v>
      </c>
      <c r="S3439" s="6">
        <f>Table1[[#This Row],[pledged]]/Table1[[#This Row],[goal]]</f>
        <v>1.01</v>
      </c>
      <c r="T3439" s="8">
        <f>IF(Table1[[#This Row],[pledged]]=0,"no backers",Table1[[#This Row],[pledged]]/Table1[[#This Row],[backers_count]])</f>
        <v>84.166666666666671</v>
      </c>
      <c r="U3439" t="str">
        <f>LEFT(Table1[[#This Row],[Category and Sub-Category]],FIND("/",Table1[[#This Row],[Category and Sub-Category]])-1)</f>
        <v>theater</v>
      </c>
      <c r="V3439" t="str">
        <f>RIGHT(Table1[[#This Row],[Category and Sub-Category]],LEN(Table1[[#This Row],[Category and Sub-Category]])-FIND("/",Table1[[#This Row],[Category and Sub-Category]]))</f>
        <v>plays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 s="12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>((Table1[[#This Row],[deadline]]/60)/60/24)+DATE(1970,1,1)</f>
        <v>42126.875</v>
      </c>
      <c r="K3440">
        <v>1428358567</v>
      </c>
      <c r="L3440" s="11">
        <f>((Table1[[#This Row],[launched_at]]/60)/60/24)+DATE(1970,1,1)</f>
        <v>42100.927858796291</v>
      </c>
      <c r="M3440">
        <f>MONTH(Table1[[#This Row],[Date Created Conversion]])</f>
        <v>4</v>
      </c>
      <c r="N3440">
        <f>YEAR(Table1[[#This Row],[Date Created Conversion]])</f>
        <v>2015</v>
      </c>
      <c r="O3440" t="b">
        <v>0</v>
      </c>
      <c r="P3440">
        <v>14</v>
      </c>
      <c r="Q3440" t="b">
        <v>1</v>
      </c>
      <c r="R3440" t="s">
        <v>8271</v>
      </c>
      <c r="S3440" s="6">
        <f>Table1[[#This Row],[pledged]]/Table1[[#This Row],[goal]]</f>
        <v>1.042</v>
      </c>
      <c r="T3440" s="8">
        <f>IF(Table1[[#This Row],[pledged]]=0,"no backers",Table1[[#This Row],[pledged]]/Table1[[#This Row],[backers_count]])</f>
        <v>186.07142857142858</v>
      </c>
      <c r="U3440" t="str">
        <f>LEFT(Table1[[#This Row],[Category and Sub-Category]],FIND("/",Table1[[#This Row],[Category and Sub-Category]])-1)</f>
        <v>theater</v>
      </c>
      <c r="V3440" t="str">
        <f>RIGHT(Table1[[#This Row],[Category and Sub-Category]],LEN(Table1[[#This Row],[Category and Sub-Category]])-FIND("/",Table1[[#This Row],[Category and Sub-Category]]))</f>
        <v>plays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 s="12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>((Table1[[#This Row],[deadline]]/60)/60/24)+DATE(1970,1,1)</f>
        <v>42388.207638888889</v>
      </c>
      <c r="K3441">
        <v>1452030730</v>
      </c>
      <c r="L3441" s="11">
        <f>((Table1[[#This Row],[launched_at]]/60)/60/24)+DATE(1970,1,1)</f>
        <v>42374.911226851851</v>
      </c>
      <c r="M3441">
        <f>MONTH(Table1[[#This Row],[Date Created Conversion]])</f>
        <v>1</v>
      </c>
      <c r="N3441">
        <f>YEAR(Table1[[#This Row],[Date Created Conversion]])</f>
        <v>2016</v>
      </c>
      <c r="O3441" t="b">
        <v>0</v>
      </c>
      <c r="P3441">
        <v>18</v>
      </c>
      <c r="Q3441" t="b">
        <v>1</v>
      </c>
      <c r="R3441" t="s">
        <v>8271</v>
      </c>
      <c r="S3441" s="6">
        <f>Table1[[#This Row],[pledged]]/Table1[[#This Row],[goal]]</f>
        <v>1.3467833333333334</v>
      </c>
      <c r="T3441" s="8">
        <f>IF(Table1[[#This Row],[pledged]]=0,"no backers",Table1[[#This Row],[pledged]]/Table1[[#This Row],[backers_count]])</f>
        <v>89.785555555555561</v>
      </c>
      <c r="U3441" t="str">
        <f>LEFT(Table1[[#This Row],[Category and Sub-Category]],FIND("/",Table1[[#This Row],[Category and Sub-Category]])-1)</f>
        <v>theater</v>
      </c>
      <c r="V3441" t="str">
        <f>RIGHT(Table1[[#This Row],[Category and Sub-Category]],LEN(Table1[[#This Row],[Category and Sub-Category]])-FIND("/",Table1[[#This Row],[Category and Sub-Category]]))</f>
        <v>plays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 s="1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>((Table1[[#This Row],[deadline]]/60)/60/24)+DATE(1970,1,1)</f>
        <v>41831.677083333336</v>
      </c>
      <c r="K3442">
        <v>1403146628</v>
      </c>
      <c r="L3442" s="11">
        <f>((Table1[[#This Row],[launched_at]]/60)/60/24)+DATE(1970,1,1)</f>
        <v>41809.12300925926</v>
      </c>
      <c r="M3442">
        <f>MONTH(Table1[[#This Row],[Date Created Conversion]])</f>
        <v>6</v>
      </c>
      <c r="N3442">
        <f>YEAR(Table1[[#This Row],[Date Created Conversion]])</f>
        <v>2014</v>
      </c>
      <c r="O3442" t="b">
        <v>0</v>
      </c>
      <c r="P3442">
        <v>82</v>
      </c>
      <c r="Q3442" t="b">
        <v>1</v>
      </c>
      <c r="R3442" t="s">
        <v>8271</v>
      </c>
      <c r="S3442" s="6">
        <f>Table1[[#This Row],[pledged]]/Table1[[#This Row],[goal]]</f>
        <v>1.052184</v>
      </c>
      <c r="T3442" s="8">
        <f>IF(Table1[[#This Row],[pledged]]=0,"no backers",Table1[[#This Row],[pledged]]/Table1[[#This Row],[backers_count]])</f>
        <v>64.157560975609755</v>
      </c>
      <c r="U3442" t="str">
        <f>LEFT(Table1[[#This Row],[Category and Sub-Category]],FIND("/",Table1[[#This Row],[Category and Sub-Category]])-1)</f>
        <v>theater</v>
      </c>
      <c r="V3442" t="str">
        <f>RIGHT(Table1[[#This Row],[Category and Sub-Category]],LEN(Table1[[#This Row],[Category and Sub-Category]])-FIND("/",Table1[[#This Row],[Category and Sub-Category]]))</f>
        <v>plays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 s="12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>((Table1[[#This Row],[deadline]]/60)/60/24)+DATE(1970,1,1)</f>
        <v>42321.845138888893</v>
      </c>
      <c r="K3443">
        <v>1445077121</v>
      </c>
      <c r="L3443" s="11">
        <f>((Table1[[#This Row],[launched_at]]/60)/60/24)+DATE(1970,1,1)</f>
        <v>42294.429641203707</v>
      </c>
      <c r="M3443">
        <f>MONTH(Table1[[#This Row],[Date Created Conversion]])</f>
        <v>10</v>
      </c>
      <c r="N3443">
        <f>YEAR(Table1[[#This Row],[Date Created Conversion]])</f>
        <v>2015</v>
      </c>
      <c r="O3443" t="b">
        <v>0</v>
      </c>
      <c r="P3443">
        <v>43</v>
      </c>
      <c r="Q3443" t="b">
        <v>1</v>
      </c>
      <c r="R3443" t="s">
        <v>8271</v>
      </c>
      <c r="S3443" s="6">
        <f>Table1[[#This Row],[pledged]]/Table1[[#This Row],[goal]]</f>
        <v>1.026</v>
      </c>
      <c r="T3443" s="8">
        <f>IF(Table1[[#This Row],[pledged]]=0,"no backers",Table1[[#This Row],[pledged]]/Table1[[#This Row],[backers_count]])</f>
        <v>59.651162790697676</v>
      </c>
      <c r="U3443" t="str">
        <f>LEFT(Table1[[#This Row],[Category and Sub-Category]],FIND("/",Table1[[#This Row],[Category and Sub-Category]])-1)</f>
        <v>theater</v>
      </c>
      <c r="V3443" t="str">
        <f>RIGHT(Table1[[#This Row],[Category and Sub-Category]],LEN(Table1[[#This Row],[Category and Sub-Category]])-FIND("/",Table1[[#This Row],[Category and Sub-Category]]))</f>
        <v>plays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 s="12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>((Table1[[#This Row],[deadline]]/60)/60/24)+DATE(1970,1,1)</f>
        <v>42154.841111111105</v>
      </c>
      <c r="K3444">
        <v>1430424672</v>
      </c>
      <c r="L3444" s="11">
        <f>((Table1[[#This Row],[launched_at]]/60)/60/24)+DATE(1970,1,1)</f>
        <v>42124.841111111105</v>
      </c>
      <c r="M3444">
        <f>MONTH(Table1[[#This Row],[Date Created Conversion]])</f>
        <v>4</v>
      </c>
      <c r="N3444">
        <f>YEAR(Table1[[#This Row],[Date Created Conversion]])</f>
        <v>2015</v>
      </c>
      <c r="O3444" t="b">
        <v>0</v>
      </c>
      <c r="P3444">
        <v>8</v>
      </c>
      <c r="Q3444" t="b">
        <v>1</v>
      </c>
      <c r="R3444" t="s">
        <v>8271</v>
      </c>
      <c r="S3444" s="6">
        <f>Table1[[#This Row],[pledged]]/Table1[[#This Row],[goal]]</f>
        <v>1</v>
      </c>
      <c r="T3444" s="8">
        <f>IF(Table1[[#This Row],[pledged]]=0,"no backers",Table1[[#This Row],[pledged]]/Table1[[#This Row],[backers_count]])</f>
        <v>31.25</v>
      </c>
      <c r="U3444" t="str">
        <f>LEFT(Table1[[#This Row],[Category and Sub-Category]],FIND("/",Table1[[#This Row],[Category and Sub-Category]])-1)</f>
        <v>theater</v>
      </c>
      <c r="V3444" t="str">
        <f>RIGHT(Table1[[#This Row],[Category and Sub-Category]],LEN(Table1[[#This Row],[Category and Sub-Category]])-FIND("/",Table1[[#This Row],[Category and Sub-Category]]))</f>
        <v>plays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 s="12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>((Table1[[#This Row],[deadline]]/60)/60/24)+DATE(1970,1,1)</f>
        <v>41891.524837962963</v>
      </c>
      <c r="K3445">
        <v>1407674146</v>
      </c>
      <c r="L3445" s="11">
        <f>((Table1[[#This Row],[launched_at]]/60)/60/24)+DATE(1970,1,1)</f>
        <v>41861.524837962963</v>
      </c>
      <c r="M3445">
        <f>MONTH(Table1[[#This Row],[Date Created Conversion]])</f>
        <v>8</v>
      </c>
      <c r="N3445">
        <f>YEAR(Table1[[#This Row],[Date Created Conversion]])</f>
        <v>2014</v>
      </c>
      <c r="O3445" t="b">
        <v>0</v>
      </c>
      <c r="P3445">
        <v>45</v>
      </c>
      <c r="Q3445" t="b">
        <v>1</v>
      </c>
      <c r="R3445" t="s">
        <v>8271</v>
      </c>
      <c r="S3445" s="6">
        <f>Table1[[#This Row],[pledged]]/Table1[[#This Row],[goal]]</f>
        <v>1.855</v>
      </c>
      <c r="T3445" s="8">
        <f>IF(Table1[[#This Row],[pledged]]=0,"no backers",Table1[[#This Row],[pledged]]/Table1[[#This Row],[backers_count]])</f>
        <v>41.222222222222221</v>
      </c>
      <c r="U3445" t="str">
        <f>LEFT(Table1[[#This Row],[Category and Sub-Category]],FIND("/",Table1[[#This Row],[Category and Sub-Category]])-1)</f>
        <v>theater</v>
      </c>
      <c r="V3445" t="str">
        <f>RIGHT(Table1[[#This Row],[Category and Sub-Category]],LEN(Table1[[#This Row],[Category and Sub-Category]])-FIND("/",Table1[[#This Row],[Category and Sub-Category]]))</f>
        <v>plays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 s="12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>((Table1[[#This Row],[deadline]]/60)/60/24)+DATE(1970,1,1)</f>
        <v>42529.582638888889</v>
      </c>
      <c r="K3446">
        <v>1464677986</v>
      </c>
      <c r="L3446" s="11">
        <f>((Table1[[#This Row],[launched_at]]/60)/60/24)+DATE(1970,1,1)</f>
        <v>42521.291504629626</v>
      </c>
      <c r="M3446">
        <f>MONTH(Table1[[#This Row],[Date Created Conversion]])</f>
        <v>5</v>
      </c>
      <c r="N3446">
        <f>YEAR(Table1[[#This Row],[Date Created Conversion]])</f>
        <v>2016</v>
      </c>
      <c r="O3446" t="b">
        <v>0</v>
      </c>
      <c r="P3446">
        <v>20</v>
      </c>
      <c r="Q3446" t="b">
        <v>1</v>
      </c>
      <c r="R3446" t="s">
        <v>8271</v>
      </c>
      <c r="S3446" s="6">
        <f>Table1[[#This Row],[pledged]]/Table1[[#This Row],[goal]]</f>
        <v>2.89</v>
      </c>
      <c r="T3446" s="8">
        <f>IF(Table1[[#This Row],[pledged]]=0,"no backers",Table1[[#This Row],[pledged]]/Table1[[#This Row],[backers_count]])</f>
        <v>43.35</v>
      </c>
      <c r="U3446" t="str">
        <f>LEFT(Table1[[#This Row],[Category and Sub-Category]],FIND("/",Table1[[#This Row],[Category and Sub-Category]])-1)</f>
        <v>theater</v>
      </c>
      <c r="V3446" t="str">
        <f>RIGHT(Table1[[#This Row],[Category and Sub-Category]],LEN(Table1[[#This Row],[Category and Sub-Category]])-FIND("/",Table1[[#This Row],[Category and Sub-Category]]))</f>
        <v>plays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 s="12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>((Table1[[#This Row],[deadline]]/60)/60/24)+DATE(1970,1,1)</f>
        <v>42300.530509259261</v>
      </c>
      <c r="K3447">
        <v>1443185036</v>
      </c>
      <c r="L3447" s="11">
        <f>((Table1[[#This Row],[launched_at]]/60)/60/24)+DATE(1970,1,1)</f>
        <v>42272.530509259261</v>
      </c>
      <c r="M3447">
        <f>MONTH(Table1[[#This Row],[Date Created Conversion]])</f>
        <v>9</v>
      </c>
      <c r="N3447">
        <f>YEAR(Table1[[#This Row],[Date Created Conversion]])</f>
        <v>2015</v>
      </c>
      <c r="O3447" t="b">
        <v>0</v>
      </c>
      <c r="P3447">
        <v>31</v>
      </c>
      <c r="Q3447" t="b">
        <v>1</v>
      </c>
      <c r="R3447" t="s">
        <v>8271</v>
      </c>
      <c r="S3447" s="6">
        <f>Table1[[#This Row],[pledged]]/Table1[[#This Row],[goal]]</f>
        <v>1</v>
      </c>
      <c r="T3447" s="8">
        <f>IF(Table1[[#This Row],[pledged]]=0,"no backers",Table1[[#This Row],[pledged]]/Table1[[#This Row],[backers_count]])</f>
        <v>64.516129032258064</v>
      </c>
      <c r="U3447" t="str">
        <f>LEFT(Table1[[#This Row],[Category and Sub-Category]],FIND("/",Table1[[#This Row],[Category and Sub-Category]])-1)</f>
        <v>theater</v>
      </c>
      <c r="V3447" t="str">
        <f>RIGHT(Table1[[#This Row],[Category and Sub-Category]],LEN(Table1[[#This Row],[Category and Sub-Category]])-FIND("/",Table1[[#This Row],[Category and Sub-Category]]))</f>
        <v>plays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 s="12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>((Table1[[#This Row],[deadline]]/60)/60/24)+DATE(1970,1,1)</f>
        <v>42040.513888888891</v>
      </c>
      <c r="K3448">
        <v>1421092725</v>
      </c>
      <c r="L3448" s="11">
        <f>((Table1[[#This Row],[launched_at]]/60)/60/24)+DATE(1970,1,1)</f>
        <v>42016.832465277781</v>
      </c>
      <c r="M3448">
        <f>MONTH(Table1[[#This Row],[Date Created Conversion]])</f>
        <v>1</v>
      </c>
      <c r="N3448">
        <f>YEAR(Table1[[#This Row],[Date Created Conversion]])</f>
        <v>2015</v>
      </c>
      <c r="O3448" t="b">
        <v>0</v>
      </c>
      <c r="P3448">
        <v>25</v>
      </c>
      <c r="Q3448" t="b">
        <v>1</v>
      </c>
      <c r="R3448" t="s">
        <v>8271</v>
      </c>
      <c r="S3448" s="6">
        <f>Table1[[#This Row],[pledged]]/Table1[[#This Row],[goal]]</f>
        <v>1.0820000000000001</v>
      </c>
      <c r="T3448" s="8">
        <f>IF(Table1[[#This Row],[pledged]]=0,"no backers",Table1[[#This Row],[pledged]]/Table1[[#This Row],[backers_count]])</f>
        <v>43.28</v>
      </c>
      <c r="U3448" t="str">
        <f>LEFT(Table1[[#This Row],[Category and Sub-Category]],FIND("/",Table1[[#This Row],[Category and Sub-Category]])-1)</f>
        <v>theater</v>
      </c>
      <c r="V3448" t="str">
        <f>RIGHT(Table1[[#This Row],[Category and Sub-Category]],LEN(Table1[[#This Row],[Category and Sub-Category]])-FIND("/",Table1[[#This Row],[Category and Sub-Category]]))</f>
        <v>plays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 s="12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>((Table1[[#This Row],[deadline]]/60)/60/24)+DATE(1970,1,1)</f>
        <v>42447.847361111111</v>
      </c>
      <c r="K3449">
        <v>1454448012</v>
      </c>
      <c r="L3449" s="11">
        <f>((Table1[[#This Row],[launched_at]]/60)/60/24)+DATE(1970,1,1)</f>
        <v>42402.889027777783</v>
      </c>
      <c r="M3449">
        <f>MONTH(Table1[[#This Row],[Date Created Conversion]])</f>
        <v>2</v>
      </c>
      <c r="N3449">
        <f>YEAR(Table1[[#This Row],[Date Created Conversion]])</f>
        <v>2016</v>
      </c>
      <c r="O3449" t="b">
        <v>0</v>
      </c>
      <c r="P3449">
        <v>14</v>
      </c>
      <c r="Q3449" t="b">
        <v>1</v>
      </c>
      <c r="R3449" t="s">
        <v>8271</v>
      </c>
      <c r="S3449" s="6">
        <f>Table1[[#This Row],[pledged]]/Table1[[#This Row],[goal]]</f>
        <v>1.0780000000000001</v>
      </c>
      <c r="T3449" s="8">
        <f>IF(Table1[[#This Row],[pledged]]=0,"no backers",Table1[[#This Row],[pledged]]/Table1[[#This Row],[backers_count]])</f>
        <v>77</v>
      </c>
      <c r="U3449" t="str">
        <f>LEFT(Table1[[#This Row],[Category and Sub-Category]],FIND("/",Table1[[#This Row],[Category and Sub-Category]])-1)</f>
        <v>theater</v>
      </c>
      <c r="V3449" t="str">
        <f>RIGHT(Table1[[#This Row],[Category and Sub-Category]],LEN(Table1[[#This Row],[Category and Sub-Category]])-FIND("/",Table1[[#This Row],[Category and Sub-Category]]))</f>
        <v>plays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 s="12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>((Table1[[#This Row],[deadline]]/60)/60/24)+DATE(1970,1,1)</f>
        <v>41990.119085648148</v>
      </c>
      <c r="K3450">
        <v>1416192689</v>
      </c>
      <c r="L3450" s="11">
        <f>((Table1[[#This Row],[launched_at]]/60)/60/24)+DATE(1970,1,1)</f>
        <v>41960.119085648148</v>
      </c>
      <c r="M3450">
        <f>MONTH(Table1[[#This Row],[Date Created Conversion]])</f>
        <v>11</v>
      </c>
      <c r="N3450">
        <f>YEAR(Table1[[#This Row],[Date Created Conversion]])</f>
        <v>2014</v>
      </c>
      <c r="O3450" t="b">
        <v>0</v>
      </c>
      <c r="P3450">
        <v>45</v>
      </c>
      <c r="Q3450" t="b">
        <v>1</v>
      </c>
      <c r="R3450" t="s">
        <v>8271</v>
      </c>
      <c r="S3450" s="6">
        <f>Table1[[#This Row],[pledged]]/Table1[[#This Row],[goal]]</f>
        <v>1.0976190476190477</v>
      </c>
      <c r="T3450" s="8">
        <f>IF(Table1[[#This Row],[pledged]]=0,"no backers",Table1[[#This Row],[pledged]]/Table1[[#This Row],[backers_count]])</f>
        <v>51.222222222222221</v>
      </c>
      <c r="U3450" t="str">
        <f>LEFT(Table1[[#This Row],[Category and Sub-Category]],FIND("/",Table1[[#This Row],[Category and Sub-Category]])-1)</f>
        <v>theater</v>
      </c>
      <c r="V3450" t="str">
        <f>RIGHT(Table1[[#This Row],[Category and Sub-Category]],LEN(Table1[[#This Row],[Category and Sub-Category]])-FIND("/",Table1[[#This Row],[Category and Sub-Category]]))</f>
        <v>plays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 s="12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>((Table1[[#This Row],[deadline]]/60)/60/24)+DATE(1970,1,1)</f>
        <v>42560.166666666672</v>
      </c>
      <c r="K3451">
        <v>1465607738</v>
      </c>
      <c r="L3451" s="11">
        <f>((Table1[[#This Row],[launched_at]]/60)/60/24)+DATE(1970,1,1)</f>
        <v>42532.052523148144</v>
      </c>
      <c r="M3451">
        <f>MONTH(Table1[[#This Row],[Date Created Conversion]])</f>
        <v>6</v>
      </c>
      <c r="N3451">
        <f>YEAR(Table1[[#This Row],[Date Created Conversion]])</f>
        <v>2016</v>
      </c>
      <c r="O3451" t="b">
        <v>0</v>
      </c>
      <c r="P3451">
        <v>20</v>
      </c>
      <c r="Q3451" t="b">
        <v>1</v>
      </c>
      <c r="R3451" t="s">
        <v>8271</v>
      </c>
      <c r="S3451" s="6">
        <f>Table1[[#This Row],[pledged]]/Table1[[#This Row],[goal]]</f>
        <v>1.70625</v>
      </c>
      <c r="T3451" s="8">
        <f>IF(Table1[[#This Row],[pledged]]=0,"no backers",Table1[[#This Row],[pledged]]/Table1[[#This Row],[backers_count]])</f>
        <v>68.25</v>
      </c>
      <c r="U3451" t="str">
        <f>LEFT(Table1[[#This Row],[Category and Sub-Category]],FIND("/",Table1[[#This Row],[Category and Sub-Category]])-1)</f>
        <v>theater</v>
      </c>
      <c r="V3451" t="str">
        <f>RIGHT(Table1[[#This Row],[Category and Sub-Category]],LEN(Table1[[#This Row],[Category and Sub-Category]])-FIND("/",Table1[[#This Row],[Category and Sub-Category]]))</f>
        <v>plays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 s="1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>((Table1[[#This Row],[deadline]]/60)/60/24)+DATE(1970,1,1)</f>
        <v>42096.662858796291</v>
      </c>
      <c r="K3452">
        <v>1422809671</v>
      </c>
      <c r="L3452" s="11">
        <f>((Table1[[#This Row],[launched_at]]/60)/60/24)+DATE(1970,1,1)</f>
        <v>42036.704525462963</v>
      </c>
      <c r="M3452">
        <f>MONTH(Table1[[#This Row],[Date Created Conversion]])</f>
        <v>2</v>
      </c>
      <c r="N3452">
        <f>YEAR(Table1[[#This Row],[Date Created Conversion]])</f>
        <v>2015</v>
      </c>
      <c r="O3452" t="b">
        <v>0</v>
      </c>
      <c r="P3452">
        <v>39</v>
      </c>
      <c r="Q3452" t="b">
        <v>1</v>
      </c>
      <c r="R3452" t="s">
        <v>8271</v>
      </c>
      <c r="S3452" s="6">
        <f>Table1[[#This Row],[pledged]]/Table1[[#This Row],[goal]]</f>
        <v>1.52</v>
      </c>
      <c r="T3452" s="8">
        <f>IF(Table1[[#This Row],[pledged]]=0,"no backers",Table1[[#This Row],[pledged]]/Table1[[#This Row],[backers_count]])</f>
        <v>19.487179487179485</v>
      </c>
      <c r="U3452" t="str">
        <f>LEFT(Table1[[#This Row],[Category and Sub-Category]],FIND("/",Table1[[#This Row],[Category and Sub-Category]])-1)</f>
        <v>theater</v>
      </c>
      <c r="V3452" t="str">
        <f>RIGHT(Table1[[#This Row],[Category and Sub-Category]],LEN(Table1[[#This Row],[Category and Sub-Category]])-FIND("/",Table1[[#This Row],[Category and Sub-Category]]))</f>
        <v>plays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 s="12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>((Table1[[#This Row],[deadline]]/60)/60/24)+DATE(1970,1,1)</f>
        <v>42115.723692129628</v>
      </c>
      <c r="K3453">
        <v>1427304127</v>
      </c>
      <c r="L3453" s="11">
        <f>((Table1[[#This Row],[launched_at]]/60)/60/24)+DATE(1970,1,1)</f>
        <v>42088.723692129628</v>
      </c>
      <c r="M3453">
        <f>MONTH(Table1[[#This Row],[Date Created Conversion]])</f>
        <v>3</v>
      </c>
      <c r="N3453">
        <f>YEAR(Table1[[#This Row],[Date Created Conversion]])</f>
        <v>2015</v>
      </c>
      <c r="O3453" t="b">
        <v>0</v>
      </c>
      <c r="P3453">
        <v>16</v>
      </c>
      <c r="Q3453" t="b">
        <v>1</v>
      </c>
      <c r="R3453" t="s">
        <v>8271</v>
      </c>
      <c r="S3453" s="6">
        <f>Table1[[#This Row],[pledged]]/Table1[[#This Row],[goal]]</f>
        <v>1.0123076923076924</v>
      </c>
      <c r="T3453" s="8">
        <f>IF(Table1[[#This Row],[pledged]]=0,"no backers",Table1[[#This Row],[pledged]]/Table1[[#This Row],[backers_count]])</f>
        <v>41.125</v>
      </c>
      <c r="U3453" t="str">
        <f>LEFT(Table1[[#This Row],[Category and Sub-Category]],FIND("/",Table1[[#This Row],[Category and Sub-Category]])-1)</f>
        <v>theater</v>
      </c>
      <c r="V3453" t="str">
        <f>RIGHT(Table1[[#This Row],[Category and Sub-Category]],LEN(Table1[[#This Row],[Category and Sub-Category]])-FIND("/",Table1[[#This Row],[Category and Sub-Category]]))</f>
        <v>plays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 s="12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>((Table1[[#This Row],[deadline]]/60)/60/24)+DATE(1970,1,1)</f>
        <v>41843.165972222225</v>
      </c>
      <c r="K3454">
        <v>1404141626</v>
      </c>
      <c r="L3454" s="11">
        <f>((Table1[[#This Row],[launched_at]]/60)/60/24)+DATE(1970,1,1)</f>
        <v>41820.639189814814</v>
      </c>
      <c r="M3454">
        <f>MONTH(Table1[[#This Row],[Date Created Conversion]])</f>
        <v>6</v>
      </c>
      <c r="N3454">
        <f>YEAR(Table1[[#This Row],[Date Created Conversion]])</f>
        <v>2014</v>
      </c>
      <c r="O3454" t="b">
        <v>0</v>
      </c>
      <c r="P3454">
        <v>37</v>
      </c>
      <c r="Q3454" t="b">
        <v>1</v>
      </c>
      <c r="R3454" t="s">
        <v>8271</v>
      </c>
      <c r="S3454" s="6">
        <f>Table1[[#This Row],[pledged]]/Table1[[#This Row],[goal]]</f>
        <v>1.532</v>
      </c>
      <c r="T3454" s="8">
        <f>IF(Table1[[#This Row],[pledged]]=0,"no backers",Table1[[#This Row],[pledged]]/Table1[[#This Row],[backers_count]])</f>
        <v>41.405405405405403</v>
      </c>
      <c r="U3454" t="str">
        <f>LEFT(Table1[[#This Row],[Category and Sub-Category]],FIND("/",Table1[[#This Row],[Category and Sub-Category]])-1)</f>
        <v>theater</v>
      </c>
      <c r="V3454" t="str">
        <f>RIGHT(Table1[[#This Row],[Category and Sub-Category]],LEN(Table1[[#This Row],[Category and Sub-Category]])-FIND("/",Table1[[#This Row],[Category and Sub-Category]]))</f>
        <v>plays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 s="12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>((Table1[[#This Row],[deadline]]/60)/60/24)+DATE(1970,1,1)</f>
        <v>42595.97865740741</v>
      </c>
      <c r="K3455">
        <v>1465946956</v>
      </c>
      <c r="L3455" s="11">
        <f>((Table1[[#This Row],[launched_at]]/60)/60/24)+DATE(1970,1,1)</f>
        <v>42535.97865740741</v>
      </c>
      <c r="M3455">
        <f>MONTH(Table1[[#This Row],[Date Created Conversion]])</f>
        <v>6</v>
      </c>
      <c r="N3455">
        <f>YEAR(Table1[[#This Row],[Date Created Conversion]])</f>
        <v>2016</v>
      </c>
      <c r="O3455" t="b">
        <v>0</v>
      </c>
      <c r="P3455">
        <v>14</v>
      </c>
      <c r="Q3455" t="b">
        <v>1</v>
      </c>
      <c r="R3455" t="s">
        <v>8271</v>
      </c>
      <c r="S3455" s="6">
        <f>Table1[[#This Row],[pledged]]/Table1[[#This Row],[goal]]</f>
        <v>1.2833333333333334</v>
      </c>
      <c r="T3455" s="8">
        <f>IF(Table1[[#This Row],[pledged]]=0,"no backers",Table1[[#This Row],[pledged]]/Table1[[#This Row],[backers_count]])</f>
        <v>27.5</v>
      </c>
      <c r="U3455" t="str">
        <f>LEFT(Table1[[#This Row],[Category and Sub-Category]],FIND("/",Table1[[#This Row],[Category and Sub-Category]])-1)</f>
        <v>theater</v>
      </c>
      <c r="V3455" t="str">
        <f>RIGHT(Table1[[#This Row],[Category and Sub-Category]],LEN(Table1[[#This Row],[Category and Sub-Category]])-FIND("/",Table1[[#This Row],[Category and Sub-Category]]))</f>
        <v>plays</v>
      </c>
    </row>
    <row r="3456" spans="1:22" ht="57.6" x14ac:dyDescent="0.3">
      <c r="A3456">
        <v>3454</v>
      </c>
      <c r="B3456" s="3" t="s">
        <v>3453</v>
      </c>
      <c r="C3456" s="3" t="s">
        <v>7564</v>
      </c>
      <c r="D3456" s="12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>((Table1[[#This Row],[deadline]]/60)/60/24)+DATE(1970,1,1)</f>
        <v>41851.698599537034</v>
      </c>
      <c r="K3456">
        <v>1404233159</v>
      </c>
      <c r="L3456" s="11">
        <f>((Table1[[#This Row],[launched_at]]/60)/60/24)+DATE(1970,1,1)</f>
        <v>41821.698599537034</v>
      </c>
      <c r="M3456">
        <f>MONTH(Table1[[#This Row],[Date Created Conversion]])</f>
        <v>7</v>
      </c>
      <c r="N3456">
        <f>YEAR(Table1[[#This Row],[Date Created Conversion]])</f>
        <v>2014</v>
      </c>
      <c r="O3456" t="b">
        <v>0</v>
      </c>
      <c r="P3456">
        <v>21</v>
      </c>
      <c r="Q3456" t="b">
        <v>1</v>
      </c>
      <c r="R3456" t="s">
        <v>8271</v>
      </c>
      <c r="S3456" s="6">
        <f>Table1[[#This Row],[pledged]]/Table1[[#This Row],[goal]]</f>
        <v>1.0071428571428571</v>
      </c>
      <c r="T3456" s="8">
        <f>IF(Table1[[#This Row],[pledged]]=0,"no backers",Table1[[#This Row],[pledged]]/Table1[[#This Row],[backers_count]])</f>
        <v>33.571428571428569</v>
      </c>
      <c r="U3456" t="str">
        <f>LEFT(Table1[[#This Row],[Category and Sub-Category]],FIND("/",Table1[[#This Row],[Category and Sub-Category]])-1)</f>
        <v>theater</v>
      </c>
      <c r="V3456" t="str">
        <f>RIGHT(Table1[[#This Row],[Category and Sub-Category]],LEN(Table1[[#This Row],[Category and Sub-Category]])-FIND("/",Table1[[#This Row],[Category and Sub-Category]]))</f>
        <v>plays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 s="12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>((Table1[[#This Row],[deadline]]/60)/60/24)+DATE(1970,1,1)</f>
        <v>42656.7503125</v>
      </c>
      <c r="K3457">
        <v>1473789627</v>
      </c>
      <c r="L3457" s="11">
        <f>((Table1[[#This Row],[launched_at]]/60)/60/24)+DATE(1970,1,1)</f>
        <v>42626.7503125</v>
      </c>
      <c r="M3457">
        <f>MONTH(Table1[[#This Row],[Date Created Conversion]])</f>
        <v>9</v>
      </c>
      <c r="N3457">
        <f>YEAR(Table1[[#This Row],[Date Created Conversion]])</f>
        <v>2016</v>
      </c>
      <c r="O3457" t="b">
        <v>0</v>
      </c>
      <c r="P3457">
        <v>69</v>
      </c>
      <c r="Q3457" t="b">
        <v>1</v>
      </c>
      <c r="R3457" t="s">
        <v>8271</v>
      </c>
      <c r="S3457" s="6">
        <f>Table1[[#This Row],[pledged]]/Table1[[#This Row],[goal]]</f>
        <v>1.0065</v>
      </c>
      <c r="T3457" s="8">
        <f>IF(Table1[[#This Row],[pledged]]=0,"no backers",Table1[[#This Row],[pledged]]/Table1[[#This Row],[backers_count]])</f>
        <v>145.86956521739131</v>
      </c>
      <c r="U3457" t="str">
        <f>LEFT(Table1[[#This Row],[Category and Sub-Category]],FIND("/",Table1[[#This Row],[Category and Sub-Category]])-1)</f>
        <v>theater</v>
      </c>
      <c r="V3457" t="str">
        <f>RIGHT(Table1[[#This Row],[Category and Sub-Category]],LEN(Table1[[#This Row],[Category and Sub-Category]])-FIND("/",Table1[[#This Row],[Category and Sub-Category]]))</f>
        <v>plays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 s="12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>((Table1[[#This Row],[deadline]]/60)/60/24)+DATE(1970,1,1)</f>
        <v>41852.290972222225</v>
      </c>
      <c r="K3458">
        <v>1404190567</v>
      </c>
      <c r="L3458" s="11">
        <f>((Table1[[#This Row],[launched_at]]/60)/60/24)+DATE(1970,1,1)</f>
        <v>41821.205636574072</v>
      </c>
      <c r="M3458">
        <f>MONTH(Table1[[#This Row],[Date Created Conversion]])</f>
        <v>7</v>
      </c>
      <c r="N3458">
        <f>YEAR(Table1[[#This Row],[Date Created Conversion]])</f>
        <v>2014</v>
      </c>
      <c r="O3458" t="b">
        <v>0</v>
      </c>
      <c r="P3458">
        <v>16</v>
      </c>
      <c r="Q3458" t="b">
        <v>1</v>
      </c>
      <c r="R3458" t="s">
        <v>8271</v>
      </c>
      <c r="S3458" s="6">
        <f>Table1[[#This Row],[pledged]]/Table1[[#This Row],[goal]]</f>
        <v>1.913</v>
      </c>
      <c r="T3458" s="8">
        <f>IF(Table1[[#This Row],[pledged]]=0,"no backers",Table1[[#This Row],[pledged]]/Table1[[#This Row],[backers_count]])</f>
        <v>358.6875</v>
      </c>
      <c r="U3458" t="str">
        <f>LEFT(Table1[[#This Row],[Category and Sub-Category]],FIND("/",Table1[[#This Row],[Category and Sub-Category]])-1)</f>
        <v>theater</v>
      </c>
      <c r="V3458" t="str">
        <f>RIGHT(Table1[[#This Row],[Category and Sub-Category]],LEN(Table1[[#This Row],[Category and Sub-Category]])-FIND("/",Table1[[#This Row],[Category and Sub-Category]]))</f>
        <v>plays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 s="12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>((Table1[[#This Row],[deadline]]/60)/60/24)+DATE(1970,1,1)</f>
        <v>42047.249305555553</v>
      </c>
      <c r="K3459">
        <v>1421081857</v>
      </c>
      <c r="L3459" s="11">
        <f>((Table1[[#This Row],[launched_at]]/60)/60/24)+DATE(1970,1,1)</f>
        <v>42016.706678240742</v>
      </c>
      <c r="M3459">
        <f>MONTH(Table1[[#This Row],[Date Created Conversion]])</f>
        <v>1</v>
      </c>
      <c r="N3459">
        <f>YEAR(Table1[[#This Row],[Date Created Conversion]])</f>
        <v>2015</v>
      </c>
      <c r="O3459" t="b">
        <v>0</v>
      </c>
      <c r="P3459">
        <v>55</v>
      </c>
      <c r="Q3459" t="b">
        <v>1</v>
      </c>
      <c r="R3459" t="s">
        <v>8271</v>
      </c>
      <c r="S3459" s="6">
        <f>Table1[[#This Row],[pledged]]/Table1[[#This Row],[goal]]</f>
        <v>1.4019999999999999</v>
      </c>
      <c r="T3459" s="8">
        <f>IF(Table1[[#This Row],[pledged]]=0,"no backers",Table1[[#This Row],[pledged]]/Table1[[#This Row],[backers_count]])</f>
        <v>50.981818181818184</v>
      </c>
      <c r="U3459" t="str">
        <f>LEFT(Table1[[#This Row],[Category and Sub-Category]],FIND("/",Table1[[#This Row],[Category and Sub-Category]])-1)</f>
        <v>theater</v>
      </c>
      <c r="V3459" t="str">
        <f>RIGHT(Table1[[#This Row],[Category and Sub-Category]],LEN(Table1[[#This Row],[Category and Sub-Category]])-FIND("/",Table1[[#This Row],[Category and Sub-Category]]))</f>
        <v>plays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 s="12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>((Table1[[#This Row],[deadline]]/60)/60/24)+DATE(1970,1,1)</f>
        <v>42038.185416666667</v>
      </c>
      <c r="K3460">
        <v>1420606303</v>
      </c>
      <c r="L3460" s="11">
        <f>((Table1[[#This Row],[launched_at]]/60)/60/24)+DATE(1970,1,1)</f>
        <v>42011.202581018515</v>
      </c>
      <c r="M3460">
        <f>MONTH(Table1[[#This Row],[Date Created Conversion]])</f>
        <v>1</v>
      </c>
      <c r="N3460">
        <f>YEAR(Table1[[#This Row],[Date Created Conversion]])</f>
        <v>2015</v>
      </c>
      <c r="O3460" t="b">
        <v>0</v>
      </c>
      <c r="P3460">
        <v>27</v>
      </c>
      <c r="Q3460" t="b">
        <v>1</v>
      </c>
      <c r="R3460" t="s">
        <v>8271</v>
      </c>
      <c r="S3460" s="6">
        <f>Table1[[#This Row],[pledged]]/Table1[[#This Row],[goal]]</f>
        <v>1.2433537832310839</v>
      </c>
      <c r="T3460" s="8">
        <f>IF(Table1[[#This Row],[pledged]]=0,"no backers",Table1[[#This Row],[pledged]]/Table1[[#This Row],[backers_count]])</f>
        <v>45.037037037037038</v>
      </c>
      <c r="U3460" t="str">
        <f>LEFT(Table1[[#This Row],[Category and Sub-Category]],FIND("/",Table1[[#This Row],[Category and Sub-Category]])-1)</f>
        <v>theater</v>
      </c>
      <c r="V3460" t="str">
        <f>RIGHT(Table1[[#This Row],[Category and Sub-Category]],LEN(Table1[[#This Row],[Category and Sub-Category]])-FIND("/",Table1[[#This Row],[Category and Sub-Category]]))</f>
        <v>plays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 s="12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>((Table1[[#This Row],[deadline]]/60)/60/24)+DATE(1970,1,1)</f>
        <v>42510.479861111111</v>
      </c>
      <c r="K3461">
        <v>1461151860</v>
      </c>
      <c r="L3461" s="11">
        <f>((Table1[[#This Row],[launched_at]]/60)/60/24)+DATE(1970,1,1)</f>
        <v>42480.479861111111</v>
      </c>
      <c r="M3461">
        <f>MONTH(Table1[[#This Row],[Date Created Conversion]])</f>
        <v>4</v>
      </c>
      <c r="N3461">
        <f>YEAR(Table1[[#This Row],[Date Created Conversion]])</f>
        <v>2016</v>
      </c>
      <c r="O3461" t="b">
        <v>0</v>
      </c>
      <c r="P3461">
        <v>36</v>
      </c>
      <c r="Q3461" t="b">
        <v>1</v>
      </c>
      <c r="R3461" t="s">
        <v>8271</v>
      </c>
      <c r="S3461" s="6">
        <f>Table1[[#This Row],[pledged]]/Table1[[#This Row],[goal]]</f>
        <v>1.262</v>
      </c>
      <c r="T3461" s="8">
        <f>IF(Table1[[#This Row],[pledged]]=0,"no backers",Table1[[#This Row],[pledged]]/Table1[[#This Row],[backers_count]])</f>
        <v>17.527777777777779</v>
      </c>
      <c r="U3461" t="str">
        <f>LEFT(Table1[[#This Row],[Category and Sub-Category]],FIND("/",Table1[[#This Row],[Category and Sub-Category]])-1)</f>
        <v>theater</v>
      </c>
      <c r="V3461" t="str">
        <f>RIGHT(Table1[[#This Row],[Category and Sub-Category]],LEN(Table1[[#This Row],[Category and Sub-Category]])-FIND("/",Table1[[#This Row],[Category and Sub-Category]]))</f>
        <v>plays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 s="1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>((Table1[[#This Row],[deadline]]/60)/60/24)+DATE(1970,1,1)</f>
        <v>41866.527222222219</v>
      </c>
      <c r="K3462">
        <v>1406896752</v>
      </c>
      <c r="L3462" s="11">
        <f>((Table1[[#This Row],[launched_at]]/60)/60/24)+DATE(1970,1,1)</f>
        <v>41852.527222222219</v>
      </c>
      <c r="M3462">
        <f>MONTH(Table1[[#This Row],[Date Created Conversion]])</f>
        <v>8</v>
      </c>
      <c r="N3462">
        <f>YEAR(Table1[[#This Row],[Date Created Conversion]])</f>
        <v>2014</v>
      </c>
      <c r="O3462" t="b">
        <v>0</v>
      </c>
      <c r="P3462">
        <v>19</v>
      </c>
      <c r="Q3462" t="b">
        <v>1</v>
      </c>
      <c r="R3462" t="s">
        <v>8271</v>
      </c>
      <c r="S3462" s="6">
        <f>Table1[[#This Row],[pledged]]/Table1[[#This Row],[goal]]</f>
        <v>1.9</v>
      </c>
      <c r="T3462" s="8">
        <f>IF(Table1[[#This Row],[pledged]]=0,"no backers",Table1[[#This Row],[pledged]]/Table1[[#This Row],[backers_count]])</f>
        <v>50</v>
      </c>
      <c r="U3462" t="str">
        <f>LEFT(Table1[[#This Row],[Category and Sub-Category]],FIND("/",Table1[[#This Row],[Category and Sub-Category]])-1)</f>
        <v>theater</v>
      </c>
      <c r="V3462" t="str">
        <f>RIGHT(Table1[[#This Row],[Category and Sub-Category]],LEN(Table1[[#This Row],[Category and Sub-Category]])-FIND("/",Table1[[#This Row],[Category and Sub-Category]]))</f>
        <v>plays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 s="12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>((Table1[[#This Row],[deadline]]/60)/60/24)+DATE(1970,1,1)</f>
        <v>42672.125</v>
      </c>
      <c r="K3463">
        <v>1475248279</v>
      </c>
      <c r="L3463" s="11">
        <f>((Table1[[#This Row],[launched_at]]/60)/60/24)+DATE(1970,1,1)</f>
        <v>42643.632858796293</v>
      </c>
      <c r="M3463">
        <f>MONTH(Table1[[#This Row],[Date Created Conversion]])</f>
        <v>9</v>
      </c>
      <c r="N3463">
        <f>YEAR(Table1[[#This Row],[Date Created Conversion]])</f>
        <v>2016</v>
      </c>
      <c r="O3463" t="b">
        <v>0</v>
      </c>
      <c r="P3463">
        <v>12</v>
      </c>
      <c r="Q3463" t="b">
        <v>1</v>
      </c>
      <c r="R3463" t="s">
        <v>8271</v>
      </c>
      <c r="S3463" s="6">
        <f>Table1[[#This Row],[pledged]]/Table1[[#This Row],[goal]]</f>
        <v>1.39</v>
      </c>
      <c r="T3463" s="8">
        <f>IF(Table1[[#This Row],[pledged]]=0,"no backers",Table1[[#This Row],[pledged]]/Table1[[#This Row],[backers_count]])</f>
        <v>57.916666666666664</v>
      </c>
      <c r="U3463" t="str">
        <f>LEFT(Table1[[#This Row],[Category and Sub-Category]],FIND("/",Table1[[#This Row],[Category and Sub-Category]])-1)</f>
        <v>theater</v>
      </c>
      <c r="V3463" t="str">
        <f>RIGHT(Table1[[#This Row],[Category and Sub-Category]],LEN(Table1[[#This Row],[Category and Sub-Category]])-FIND("/",Table1[[#This Row],[Category and Sub-Category]]))</f>
        <v>plays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 s="12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>((Table1[[#This Row],[deadline]]/60)/60/24)+DATE(1970,1,1)</f>
        <v>42195.75</v>
      </c>
      <c r="K3464">
        <v>1435181628</v>
      </c>
      <c r="L3464" s="11">
        <f>((Table1[[#This Row],[launched_at]]/60)/60/24)+DATE(1970,1,1)</f>
        <v>42179.898472222223</v>
      </c>
      <c r="M3464">
        <f>MONTH(Table1[[#This Row],[Date Created Conversion]])</f>
        <v>6</v>
      </c>
      <c r="N3464">
        <f>YEAR(Table1[[#This Row],[Date Created Conversion]])</f>
        <v>2015</v>
      </c>
      <c r="O3464" t="b">
        <v>0</v>
      </c>
      <c r="P3464">
        <v>17</v>
      </c>
      <c r="Q3464" t="b">
        <v>1</v>
      </c>
      <c r="R3464" t="s">
        <v>8271</v>
      </c>
      <c r="S3464" s="6">
        <f>Table1[[#This Row],[pledged]]/Table1[[#This Row],[goal]]</f>
        <v>2.02</v>
      </c>
      <c r="T3464" s="8">
        <f>IF(Table1[[#This Row],[pledged]]=0,"no backers",Table1[[#This Row],[pledged]]/Table1[[#This Row],[backers_count]])</f>
        <v>29.705882352941178</v>
      </c>
      <c r="U3464" t="str">
        <f>LEFT(Table1[[#This Row],[Category and Sub-Category]],FIND("/",Table1[[#This Row],[Category and Sub-Category]])-1)</f>
        <v>theater</v>
      </c>
      <c r="V3464" t="str">
        <f>RIGHT(Table1[[#This Row],[Category and Sub-Category]],LEN(Table1[[#This Row],[Category and Sub-Category]])-FIND("/",Table1[[#This Row],[Category and Sub-Category]]))</f>
        <v>plays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 s="12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>((Table1[[#This Row],[deadline]]/60)/60/24)+DATE(1970,1,1)</f>
        <v>42654.165972222225</v>
      </c>
      <c r="K3465">
        <v>1472594585</v>
      </c>
      <c r="L3465" s="11">
        <f>((Table1[[#This Row],[launched_at]]/60)/60/24)+DATE(1970,1,1)</f>
        <v>42612.918807870374</v>
      </c>
      <c r="M3465">
        <f>MONTH(Table1[[#This Row],[Date Created Conversion]])</f>
        <v>8</v>
      </c>
      <c r="N3465">
        <f>YEAR(Table1[[#This Row],[Date Created Conversion]])</f>
        <v>2016</v>
      </c>
      <c r="O3465" t="b">
        <v>0</v>
      </c>
      <c r="P3465">
        <v>114</v>
      </c>
      <c r="Q3465" t="b">
        <v>1</v>
      </c>
      <c r="R3465" t="s">
        <v>8271</v>
      </c>
      <c r="S3465" s="6">
        <f>Table1[[#This Row],[pledged]]/Table1[[#This Row],[goal]]</f>
        <v>1.0338000000000001</v>
      </c>
      <c r="T3465" s="8">
        <f>IF(Table1[[#This Row],[pledged]]=0,"no backers",Table1[[#This Row],[pledged]]/Table1[[#This Row],[backers_count]])</f>
        <v>90.684210526315795</v>
      </c>
      <c r="U3465" t="str">
        <f>LEFT(Table1[[#This Row],[Category and Sub-Category]],FIND("/",Table1[[#This Row],[Category and Sub-Category]])-1)</f>
        <v>theater</v>
      </c>
      <c r="V3465" t="str">
        <f>RIGHT(Table1[[#This Row],[Category and Sub-Category]],LEN(Table1[[#This Row],[Category and Sub-Category]])-FIND("/",Table1[[#This Row],[Category and Sub-Category]]))</f>
        <v>plays</v>
      </c>
    </row>
    <row r="3466" spans="1:22" ht="57.6" x14ac:dyDescent="0.3">
      <c r="A3466">
        <v>3464</v>
      </c>
      <c r="B3466" s="3" t="s">
        <v>3463</v>
      </c>
      <c r="C3466" s="3" t="s">
        <v>7574</v>
      </c>
      <c r="D3466" s="12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>((Table1[[#This Row],[deadline]]/60)/60/24)+DATE(1970,1,1)</f>
        <v>42605.130057870367</v>
      </c>
      <c r="K3466">
        <v>1469329637</v>
      </c>
      <c r="L3466" s="11">
        <f>((Table1[[#This Row],[launched_at]]/60)/60/24)+DATE(1970,1,1)</f>
        <v>42575.130057870367</v>
      </c>
      <c r="M3466">
        <f>MONTH(Table1[[#This Row],[Date Created Conversion]])</f>
        <v>7</v>
      </c>
      <c r="N3466">
        <f>YEAR(Table1[[#This Row],[Date Created Conversion]])</f>
        <v>2016</v>
      </c>
      <c r="O3466" t="b">
        <v>0</v>
      </c>
      <c r="P3466">
        <v>93</v>
      </c>
      <c r="Q3466" t="b">
        <v>1</v>
      </c>
      <c r="R3466" t="s">
        <v>8271</v>
      </c>
      <c r="S3466" s="6">
        <f>Table1[[#This Row],[pledged]]/Table1[[#This Row],[goal]]</f>
        <v>1.023236</v>
      </c>
      <c r="T3466" s="8">
        <f>IF(Table1[[#This Row],[pledged]]=0,"no backers",Table1[[#This Row],[pledged]]/Table1[[#This Row],[backers_count]])</f>
        <v>55.012688172043013</v>
      </c>
      <c r="U3466" t="str">
        <f>LEFT(Table1[[#This Row],[Category and Sub-Category]],FIND("/",Table1[[#This Row],[Category and Sub-Category]])-1)</f>
        <v>theater</v>
      </c>
      <c r="V3466" t="str">
        <f>RIGHT(Table1[[#This Row],[Category and Sub-Category]],LEN(Table1[[#This Row],[Category and Sub-Category]])-FIND("/",Table1[[#This Row],[Category and Sub-Category]]))</f>
        <v>plays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 s="12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>((Table1[[#This Row],[deadline]]/60)/60/24)+DATE(1970,1,1)</f>
        <v>42225.666666666672</v>
      </c>
      <c r="K3467">
        <v>1436972472</v>
      </c>
      <c r="L3467" s="11">
        <f>((Table1[[#This Row],[launched_at]]/60)/60/24)+DATE(1970,1,1)</f>
        <v>42200.625833333332</v>
      </c>
      <c r="M3467">
        <f>MONTH(Table1[[#This Row],[Date Created Conversion]])</f>
        <v>7</v>
      </c>
      <c r="N3467">
        <f>YEAR(Table1[[#This Row],[Date Created Conversion]])</f>
        <v>2015</v>
      </c>
      <c r="O3467" t="b">
        <v>0</v>
      </c>
      <c r="P3467">
        <v>36</v>
      </c>
      <c r="Q3467" t="b">
        <v>1</v>
      </c>
      <c r="R3467" t="s">
        <v>8271</v>
      </c>
      <c r="S3467" s="6">
        <f>Table1[[#This Row],[pledged]]/Table1[[#This Row],[goal]]</f>
        <v>1.03</v>
      </c>
      <c r="T3467" s="8">
        <f>IF(Table1[[#This Row],[pledged]]=0,"no backers",Table1[[#This Row],[pledged]]/Table1[[#This Row],[backers_count]])</f>
        <v>57.222222222222221</v>
      </c>
      <c r="U3467" t="str">
        <f>LEFT(Table1[[#This Row],[Category and Sub-Category]],FIND("/",Table1[[#This Row],[Category and Sub-Category]])-1)</f>
        <v>theater</v>
      </c>
      <c r="V3467" t="str">
        <f>RIGHT(Table1[[#This Row],[Category and Sub-Category]],LEN(Table1[[#This Row],[Category and Sub-Category]])-FIND("/",Table1[[#This Row],[Category and Sub-Category]]))</f>
        <v>plays</v>
      </c>
    </row>
    <row r="3468" spans="1:22" ht="43.2" x14ac:dyDescent="0.3">
      <c r="A3468">
        <v>3466</v>
      </c>
      <c r="B3468" s="3" t="s">
        <v>3465</v>
      </c>
      <c r="C3468" s="3" t="s">
        <v>7576</v>
      </c>
      <c r="D3468" s="12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>((Table1[[#This Row],[deadline]]/60)/60/24)+DATE(1970,1,1)</f>
        <v>42479.977430555555</v>
      </c>
      <c r="K3468">
        <v>1455928050</v>
      </c>
      <c r="L3468" s="11">
        <f>((Table1[[#This Row],[launched_at]]/60)/60/24)+DATE(1970,1,1)</f>
        <v>42420.019097222219</v>
      </c>
      <c r="M3468">
        <f>MONTH(Table1[[#This Row],[Date Created Conversion]])</f>
        <v>2</v>
      </c>
      <c r="N3468">
        <f>YEAR(Table1[[#This Row],[Date Created Conversion]])</f>
        <v>2016</v>
      </c>
      <c r="O3468" t="b">
        <v>0</v>
      </c>
      <c r="P3468">
        <v>61</v>
      </c>
      <c r="Q3468" t="b">
        <v>1</v>
      </c>
      <c r="R3468" t="s">
        <v>8271</v>
      </c>
      <c r="S3468" s="6">
        <f>Table1[[#This Row],[pledged]]/Table1[[#This Row],[goal]]</f>
        <v>1.2714285714285714</v>
      </c>
      <c r="T3468" s="8">
        <f>IF(Table1[[#This Row],[pledged]]=0,"no backers",Table1[[#This Row],[pledged]]/Table1[[#This Row],[backers_count]])</f>
        <v>72.950819672131146</v>
      </c>
      <c r="U3468" t="str">
        <f>LEFT(Table1[[#This Row],[Category and Sub-Category]],FIND("/",Table1[[#This Row],[Category and Sub-Category]])-1)</f>
        <v>theater</v>
      </c>
      <c r="V3468" t="str">
        <f>RIGHT(Table1[[#This Row],[Category and Sub-Category]],LEN(Table1[[#This Row],[Category and Sub-Category]])-FIND("/",Table1[[#This Row],[Category and Sub-Category]]))</f>
        <v>plays</v>
      </c>
    </row>
    <row r="3469" spans="1:22" x14ac:dyDescent="0.3">
      <c r="A3469">
        <v>3467</v>
      </c>
      <c r="B3469" s="3" t="s">
        <v>3466</v>
      </c>
      <c r="C3469" s="3" t="s">
        <v>7577</v>
      </c>
      <c r="D3469" s="12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>((Table1[[#This Row],[deadline]]/60)/60/24)+DATE(1970,1,1)</f>
        <v>42083.630000000005</v>
      </c>
      <c r="K3469">
        <v>1424275632</v>
      </c>
      <c r="L3469" s="11">
        <f>((Table1[[#This Row],[launched_at]]/60)/60/24)+DATE(1970,1,1)</f>
        <v>42053.671666666662</v>
      </c>
      <c r="M3469">
        <f>MONTH(Table1[[#This Row],[Date Created Conversion]])</f>
        <v>2</v>
      </c>
      <c r="N3469">
        <f>YEAR(Table1[[#This Row],[Date Created Conversion]])</f>
        <v>2015</v>
      </c>
      <c r="O3469" t="b">
        <v>0</v>
      </c>
      <c r="P3469">
        <v>47</v>
      </c>
      <c r="Q3469" t="b">
        <v>1</v>
      </c>
      <c r="R3469" t="s">
        <v>8271</v>
      </c>
      <c r="S3469" s="6">
        <f>Table1[[#This Row],[pledged]]/Table1[[#This Row],[goal]]</f>
        <v>1.01</v>
      </c>
      <c r="T3469" s="8">
        <f>IF(Table1[[#This Row],[pledged]]=0,"no backers",Table1[[#This Row],[pledged]]/Table1[[#This Row],[backers_count]])</f>
        <v>64.468085106382972</v>
      </c>
      <c r="U3469" t="str">
        <f>LEFT(Table1[[#This Row],[Category and Sub-Category]],FIND("/",Table1[[#This Row],[Category and Sub-Category]])-1)</f>
        <v>theater</v>
      </c>
      <c r="V3469" t="str">
        <f>RIGHT(Table1[[#This Row],[Category and Sub-Category]],LEN(Table1[[#This Row],[Category and Sub-Category]])-FIND("/",Table1[[#This Row],[Category and Sub-Category]]))</f>
        <v>plays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 s="12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>((Table1[[#This Row],[deadline]]/60)/60/24)+DATE(1970,1,1)</f>
        <v>42634.125</v>
      </c>
      <c r="K3470">
        <v>1471976529</v>
      </c>
      <c r="L3470" s="11">
        <f>((Table1[[#This Row],[launched_at]]/60)/60/24)+DATE(1970,1,1)</f>
        <v>42605.765381944439</v>
      </c>
      <c r="M3470">
        <f>MONTH(Table1[[#This Row],[Date Created Conversion]])</f>
        <v>8</v>
      </c>
      <c r="N3470">
        <f>YEAR(Table1[[#This Row],[Date Created Conversion]])</f>
        <v>2016</v>
      </c>
      <c r="O3470" t="b">
        <v>0</v>
      </c>
      <c r="P3470">
        <v>17</v>
      </c>
      <c r="Q3470" t="b">
        <v>1</v>
      </c>
      <c r="R3470" t="s">
        <v>8271</v>
      </c>
      <c r="S3470" s="6">
        <f>Table1[[#This Row],[pledged]]/Table1[[#This Row],[goal]]</f>
        <v>1.2178</v>
      </c>
      <c r="T3470" s="8">
        <f>IF(Table1[[#This Row],[pledged]]=0,"no backers",Table1[[#This Row],[pledged]]/Table1[[#This Row],[backers_count]])</f>
        <v>716.35294117647061</v>
      </c>
      <c r="U3470" t="str">
        <f>LEFT(Table1[[#This Row],[Category and Sub-Category]],FIND("/",Table1[[#This Row],[Category and Sub-Category]])-1)</f>
        <v>theater</v>
      </c>
      <c r="V3470" t="str">
        <f>RIGHT(Table1[[#This Row],[Category and Sub-Category]],LEN(Table1[[#This Row],[Category and Sub-Category]])-FIND("/",Table1[[#This Row],[Category and Sub-Category]]))</f>
        <v>plays</v>
      </c>
    </row>
    <row r="3471" spans="1:22" ht="57.6" x14ac:dyDescent="0.3">
      <c r="A3471">
        <v>3469</v>
      </c>
      <c r="B3471" s="3" t="s">
        <v>3468</v>
      </c>
      <c r="C3471" s="3" t="s">
        <v>7579</v>
      </c>
      <c r="D3471" s="12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>((Table1[[#This Row],[deadline]]/60)/60/24)+DATE(1970,1,1)</f>
        <v>42488.641724537039</v>
      </c>
      <c r="K3471">
        <v>1459265045</v>
      </c>
      <c r="L3471" s="11">
        <f>((Table1[[#This Row],[launched_at]]/60)/60/24)+DATE(1970,1,1)</f>
        <v>42458.641724537039</v>
      </c>
      <c r="M3471">
        <f>MONTH(Table1[[#This Row],[Date Created Conversion]])</f>
        <v>3</v>
      </c>
      <c r="N3471">
        <f>YEAR(Table1[[#This Row],[Date Created Conversion]])</f>
        <v>2016</v>
      </c>
      <c r="O3471" t="b">
        <v>0</v>
      </c>
      <c r="P3471">
        <v>63</v>
      </c>
      <c r="Q3471" t="b">
        <v>1</v>
      </c>
      <c r="R3471" t="s">
        <v>8271</v>
      </c>
      <c r="S3471" s="6">
        <f>Table1[[#This Row],[pledged]]/Table1[[#This Row],[goal]]</f>
        <v>1.1339285714285714</v>
      </c>
      <c r="T3471" s="8">
        <f>IF(Table1[[#This Row],[pledged]]=0,"no backers",Table1[[#This Row],[pledged]]/Table1[[#This Row],[backers_count]])</f>
        <v>50.396825396825399</v>
      </c>
      <c r="U3471" t="str">
        <f>LEFT(Table1[[#This Row],[Category and Sub-Category]],FIND("/",Table1[[#This Row],[Category and Sub-Category]])-1)</f>
        <v>theater</v>
      </c>
      <c r="V3471" t="str">
        <f>RIGHT(Table1[[#This Row],[Category and Sub-Category]],LEN(Table1[[#This Row],[Category and Sub-Category]])-FIND("/",Table1[[#This Row],[Category and Sub-Category]]))</f>
        <v>plays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 s="1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>((Table1[[#This Row],[deadline]]/60)/60/24)+DATE(1970,1,1)</f>
        <v>42566.901388888888</v>
      </c>
      <c r="K3472">
        <v>1465345902</v>
      </c>
      <c r="L3472" s="11">
        <f>((Table1[[#This Row],[launched_at]]/60)/60/24)+DATE(1970,1,1)</f>
        <v>42529.022013888884</v>
      </c>
      <c r="M3472">
        <f>MONTH(Table1[[#This Row],[Date Created Conversion]])</f>
        <v>6</v>
      </c>
      <c r="N3472">
        <f>YEAR(Table1[[#This Row],[Date Created Conversion]])</f>
        <v>2016</v>
      </c>
      <c r="O3472" t="b">
        <v>0</v>
      </c>
      <c r="P3472">
        <v>9</v>
      </c>
      <c r="Q3472" t="b">
        <v>1</v>
      </c>
      <c r="R3472" t="s">
        <v>8271</v>
      </c>
      <c r="S3472" s="6">
        <f>Table1[[#This Row],[pledged]]/Table1[[#This Row],[goal]]</f>
        <v>1.5</v>
      </c>
      <c r="T3472" s="8">
        <f>IF(Table1[[#This Row],[pledged]]=0,"no backers",Table1[[#This Row],[pledged]]/Table1[[#This Row],[backers_count]])</f>
        <v>41.666666666666664</v>
      </c>
      <c r="U3472" t="str">
        <f>LEFT(Table1[[#This Row],[Category and Sub-Category]],FIND("/",Table1[[#This Row],[Category and Sub-Category]])-1)</f>
        <v>theater</v>
      </c>
      <c r="V3472" t="str">
        <f>RIGHT(Table1[[#This Row],[Category and Sub-Category]],LEN(Table1[[#This Row],[Category and Sub-Category]])-FIND("/",Table1[[#This Row],[Category and Sub-Category]]))</f>
        <v>plays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 s="12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>((Table1[[#This Row],[deadline]]/60)/60/24)+DATE(1970,1,1)</f>
        <v>41882.833333333336</v>
      </c>
      <c r="K3473">
        <v>1405971690</v>
      </c>
      <c r="L3473" s="11">
        <f>((Table1[[#This Row],[launched_at]]/60)/60/24)+DATE(1970,1,1)</f>
        <v>41841.820486111108</v>
      </c>
      <c r="M3473">
        <f>MONTH(Table1[[#This Row],[Date Created Conversion]])</f>
        <v>7</v>
      </c>
      <c r="N3473">
        <f>YEAR(Table1[[#This Row],[Date Created Conversion]])</f>
        <v>2014</v>
      </c>
      <c r="O3473" t="b">
        <v>0</v>
      </c>
      <c r="P3473">
        <v>30</v>
      </c>
      <c r="Q3473" t="b">
        <v>1</v>
      </c>
      <c r="R3473" t="s">
        <v>8271</v>
      </c>
      <c r="S3473" s="6">
        <f>Table1[[#This Row],[pledged]]/Table1[[#This Row],[goal]]</f>
        <v>2.1459999999999999</v>
      </c>
      <c r="T3473" s="8">
        <f>IF(Table1[[#This Row],[pledged]]=0,"no backers",Table1[[#This Row],[pledged]]/Table1[[#This Row],[backers_count]])</f>
        <v>35.766666666666666</v>
      </c>
      <c r="U3473" t="str">
        <f>LEFT(Table1[[#This Row],[Category and Sub-Category]],FIND("/",Table1[[#This Row],[Category and Sub-Category]])-1)</f>
        <v>theater</v>
      </c>
      <c r="V3473" t="str">
        <f>RIGHT(Table1[[#This Row],[Category and Sub-Category]],LEN(Table1[[#This Row],[Category and Sub-Category]])-FIND("/",Table1[[#This Row],[Category and Sub-Category]]))</f>
        <v>plays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 s="12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>((Table1[[#This Row],[deadline]]/60)/60/24)+DATE(1970,1,1)</f>
        <v>41949.249305555553</v>
      </c>
      <c r="K3474">
        <v>1413432331</v>
      </c>
      <c r="L3474" s="11">
        <f>((Table1[[#This Row],[launched_at]]/60)/60/24)+DATE(1970,1,1)</f>
        <v>41928.170497685183</v>
      </c>
      <c r="M3474">
        <f>MONTH(Table1[[#This Row],[Date Created Conversion]])</f>
        <v>10</v>
      </c>
      <c r="N3474">
        <f>YEAR(Table1[[#This Row],[Date Created Conversion]])</f>
        <v>2014</v>
      </c>
      <c r="O3474" t="b">
        <v>0</v>
      </c>
      <c r="P3474">
        <v>23</v>
      </c>
      <c r="Q3474" t="b">
        <v>1</v>
      </c>
      <c r="R3474" t="s">
        <v>8271</v>
      </c>
      <c r="S3474" s="6">
        <f>Table1[[#This Row],[pledged]]/Table1[[#This Row],[goal]]</f>
        <v>1.0205</v>
      </c>
      <c r="T3474" s="8">
        <f>IF(Table1[[#This Row],[pledged]]=0,"no backers",Table1[[#This Row],[pledged]]/Table1[[#This Row],[backers_count]])</f>
        <v>88.739130434782609</v>
      </c>
      <c r="U3474" t="str">
        <f>LEFT(Table1[[#This Row],[Category and Sub-Category]],FIND("/",Table1[[#This Row],[Category and Sub-Category]])-1)</f>
        <v>theater</v>
      </c>
      <c r="V3474" t="str">
        <f>RIGHT(Table1[[#This Row],[Category and Sub-Category]],LEN(Table1[[#This Row],[Category and Sub-Category]])-FIND("/",Table1[[#This Row],[Category and Sub-Category]]))</f>
        <v>plays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 s="12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>((Table1[[#This Row],[deadline]]/60)/60/24)+DATE(1970,1,1)</f>
        <v>42083.852083333331</v>
      </c>
      <c r="K3475">
        <v>1425067296</v>
      </c>
      <c r="L3475" s="11">
        <f>((Table1[[#This Row],[launched_at]]/60)/60/24)+DATE(1970,1,1)</f>
        <v>42062.834444444445</v>
      </c>
      <c r="M3475">
        <f>MONTH(Table1[[#This Row],[Date Created Conversion]])</f>
        <v>2</v>
      </c>
      <c r="N3475">
        <f>YEAR(Table1[[#This Row],[Date Created Conversion]])</f>
        <v>2015</v>
      </c>
      <c r="O3475" t="b">
        <v>0</v>
      </c>
      <c r="P3475">
        <v>33</v>
      </c>
      <c r="Q3475" t="b">
        <v>1</v>
      </c>
      <c r="R3475" t="s">
        <v>8271</v>
      </c>
      <c r="S3475" s="6">
        <f>Table1[[#This Row],[pledged]]/Table1[[#This Row],[goal]]</f>
        <v>1</v>
      </c>
      <c r="T3475" s="8">
        <f>IF(Table1[[#This Row],[pledged]]=0,"no backers",Table1[[#This Row],[pledged]]/Table1[[#This Row],[backers_count]])</f>
        <v>148.4848484848485</v>
      </c>
      <c r="U3475" t="str">
        <f>LEFT(Table1[[#This Row],[Category and Sub-Category]],FIND("/",Table1[[#This Row],[Category and Sub-Category]])-1)</f>
        <v>theater</v>
      </c>
      <c r="V3475" t="str">
        <f>RIGHT(Table1[[#This Row],[Category and Sub-Category]],LEN(Table1[[#This Row],[Category and Sub-Category]])-FIND("/",Table1[[#This Row],[Category and Sub-Category]]))</f>
        <v>plays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 s="12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>((Table1[[#This Row],[deadline]]/60)/60/24)+DATE(1970,1,1)</f>
        <v>42571.501516203702</v>
      </c>
      <c r="K3476">
        <v>1466424131</v>
      </c>
      <c r="L3476" s="11">
        <f>((Table1[[#This Row],[launched_at]]/60)/60/24)+DATE(1970,1,1)</f>
        <v>42541.501516203702</v>
      </c>
      <c r="M3476">
        <f>MONTH(Table1[[#This Row],[Date Created Conversion]])</f>
        <v>6</v>
      </c>
      <c r="N3476">
        <f>YEAR(Table1[[#This Row],[Date Created Conversion]])</f>
        <v>2016</v>
      </c>
      <c r="O3476" t="b">
        <v>0</v>
      </c>
      <c r="P3476">
        <v>39</v>
      </c>
      <c r="Q3476" t="b">
        <v>1</v>
      </c>
      <c r="R3476" t="s">
        <v>8271</v>
      </c>
      <c r="S3476" s="6">
        <f>Table1[[#This Row],[pledged]]/Table1[[#This Row],[goal]]</f>
        <v>1.01</v>
      </c>
      <c r="T3476" s="8">
        <f>IF(Table1[[#This Row],[pledged]]=0,"no backers",Table1[[#This Row],[pledged]]/Table1[[#This Row],[backers_count]])</f>
        <v>51.794871794871796</v>
      </c>
      <c r="U3476" t="str">
        <f>LEFT(Table1[[#This Row],[Category and Sub-Category]],FIND("/",Table1[[#This Row],[Category and Sub-Category]])-1)</f>
        <v>theater</v>
      </c>
      <c r="V3476" t="str">
        <f>RIGHT(Table1[[#This Row],[Category and Sub-Category]],LEN(Table1[[#This Row],[Category and Sub-Category]])-FIND("/",Table1[[#This Row],[Category and Sub-Category]]))</f>
        <v>plays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 s="12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>((Table1[[#This Row],[deadline]]/60)/60/24)+DATE(1970,1,1)</f>
        <v>41946</v>
      </c>
      <c r="K3477">
        <v>1412629704</v>
      </c>
      <c r="L3477" s="11">
        <f>((Table1[[#This Row],[launched_at]]/60)/60/24)+DATE(1970,1,1)</f>
        <v>41918.880833333329</v>
      </c>
      <c r="M3477">
        <f>MONTH(Table1[[#This Row],[Date Created Conversion]])</f>
        <v>10</v>
      </c>
      <c r="N3477">
        <f>YEAR(Table1[[#This Row],[Date Created Conversion]])</f>
        <v>2014</v>
      </c>
      <c r="O3477" t="b">
        <v>0</v>
      </c>
      <c r="P3477">
        <v>17</v>
      </c>
      <c r="Q3477" t="b">
        <v>1</v>
      </c>
      <c r="R3477" t="s">
        <v>8271</v>
      </c>
      <c r="S3477" s="6">
        <f>Table1[[#This Row],[pledged]]/Table1[[#This Row],[goal]]</f>
        <v>1.1333333333333333</v>
      </c>
      <c r="T3477" s="8">
        <f>IF(Table1[[#This Row],[pledged]]=0,"no backers",Table1[[#This Row],[pledged]]/Table1[[#This Row],[backers_count]])</f>
        <v>20</v>
      </c>
      <c r="U3477" t="str">
        <f>LEFT(Table1[[#This Row],[Category and Sub-Category]],FIND("/",Table1[[#This Row],[Category and Sub-Category]])-1)</f>
        <v>theater</v>
      </c>
      <c r="V3477" t="str">
        <f>RIGHT(Table1[[#This Row],[Category and Sub-Category]],LEN(Table1[[#This Row],[Category and Sub-Category]])-FIND("/",Table1[[#This Row],[Category and Sub-Category]]))</f>
        <v>plays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 s="12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>((Table1[[#This Row],[deadline]]/60)/60/24)+DATE(1970,1,1)</f>
        <v>41939.125</v>
      </c>
      <c r="K3478">
        <v>1412836990</v>
      </c>
      <c r="L3478" s="11">
        <f>((Table1[[#This Row],[launched_at]]/60)/60/24)+DATE(1970,1,1)</f>
        <v>41921.279976851853</v>
      </c>
      <c r="M3478">
        <f>MONTH(Table1[[#This Row],[Date Created Conversion]])</f>
        <v>10</v>
      </c>
      <c r="N3478">
        <f>YEAR(Table1[[#This Row],[Date Created Conversion]])</f>
        <v>2014</v>
      </c>
      <c r="O3478" t="b">
        <v>0</v>
      </c>
      <c r="P3478">
        <v>6</v>
      </c>
      <c r="Q3478" t="b">
        <v>1</v>
      </c>
      <c r="R3478" t="s">
        <v>8271</v>
      </c>
      <c r="S3478" s="6">
        <f>Table1[[#This Row],[pledged]]/Table1[[#This Row],[goal]]</f>
        <v>1.04</v>
      </c>
      <c r="T3478" s="8">
        <f>IF(Table1[[#This Row],[pledged]]=0,"no backers",Table1[[#This Row],[pledged]]/Table1[[#This Row],[backers_count]])</f>
        <v>52</v>
      </c>
      <c r="U3478" t="str">
        <f>LEFT(Table1[[#This Row],[Category and Sub-Category]],FIND("/",Table1[[#This Row],[Category and Sub-Category]])-1)</f>
        <v>theater</v>
      </c>
      <c r="V3478" t="str">
        <f>RIGHT(Table1[[#This Row],[Category and Sub-Category]],LEN(Table1[[#This Row],[Category and Sub-Category]])-FIND("/",Table1[[#This Row],[Category and Sub-Category]]))</f>
        <v>plays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 s="12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>((Table1[[#This Row],[deadline]]/60)/60/24)+DATE(1970,1,1)</f>
        <v>42141.125</v>
      </c>
      <c r="K3479">
        <v>1430761243</v>
      </c>
      <c r="L3479" s="11">
        <f>((Table1[[#This Row],[launched_at]]/60)/60/24)+DATE(1970,1,1)</f>
        <v>42128.736608796295</v>
      </c>
      <c r="M3479">
        <f>MONTH(Table1[[#This Row],[Date Created Conversion]])</f>
        <v>5</v>
      </c>
      <c r="N3479">
        <f>YEAR(Table1[[#This Row],[Date Created Conversion]])</f>
        <v>2015</v>
      </c>
      <c r="O3479" t="b">
        <v>0</v>
      </c>
      <c r="P3479">
        <v>39</v>
      </c>
      <c r="Q3479" t="b">
        <v>1</v>
      </c>
      <c r="R3479" t="s">
        <v>8271</v>
      </c>
      <c r="S3479" s="6">
        <f>Table1[[#This Row],[pledged]]/Table1[[#This Row],[goal]]</f>
        <v>1.1533333333333333</v>
      </c>
      <c r="T3479" s="8">
        <f>IF(Table1[[#This Row],[pledged]]=0,"no backers",Table1[[#This Row],[pledged]]/Table1[[#This Row],[backers_count]])</f>
        <v>53.230769230769234</v>
      </c>
      <c r="U3479" t="str">
        <f>LEFT(Table1[[#This Row],[Category and Sub-Category]],FIND("/",Table1[[#This Row],[Category and Sub-Category]])-1)</f>
        <v>theater</v>
      </c>
      <c r="V3479" t="str">
        <f>RIGHT(Table1[[#This Row],[Category and Sub-Category]],LEN(Table1[[#This Row],[Category and Sub-Category]])-FIND("/",Table1[[#This Row],[Category and Sub-Category]]))</f>
        <v>plays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 s="12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>((Table1[[#This Row],[deadline]]/60)/60/24)+DATE(1970,1,1)</f>
        <v>42079.875</v>
      </c>
      <c r="K3480">
        <v>1424296822</v>
      </c>
      <c r="L3480" s="11">
        <f>((Table1[[#This Row],[launched_at]]/60)/60/24)+DATE(1970,1,1)</f>
        <v>42053.916921296302</v>
      </c>
      <c r="M3480">
        <f>MONTH(Table1[[#This Row],[Date Created Conversion]])</f>
        <v>2</v>
      </c>
      <c r="N3480">
        <f>YEAR(Table1[[#This Row],[Date Created Conversion]])</f>
        <v>2015</v>
      </c>
      <c r="O3480" t="b">
        <v>0</v>
      </c>
      <c r="P3480">
        <v>57</v>
      </c>
      <c r="Q3480" t="b">
        <v>1</v>
      </c>
      <c r="R3480" t="s">
        <v>8271</v>
      </c>
      <c r="S3480" s="6">
        <f>Table1[[#This Row],[pledged]]/Table1[[#This Row],[goal]]</f>
        <v>1.1285000000000001</v>
      </c>
      <c r="T3480" s="8">
        <f>IF(Table1[[#This Row],[pledged]]=0,"no backers",Table1[[#This Row],[pledged]]/Table1[[#This Row],[backers_count]])</f>
        <v>39.596491228070178</v>
      </c>
      <c r="U3480" t="str">
        <f>LEFT(Table1[[#This Row],[Category and Sub-Category]],FIND("/",Table1[[#This Row],[Category and Sub-Category]])-1)</f>
        <v>theater</v>
      </c>
      <c r="V3480" t="str">
        <f>RIGHT(Table1[[#This Row],[Category and Sub-Category]],LEN(Table1[[#This Row],[Category and Sub-Category]])-FIND("/",Table1[[#This Row],[Category and Sub-Category]]))</f>
        <v>plays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 s="12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>((Table1[[#This Row],[deadline]]/60)/60/24)+DATE(1970,1,1)</f>
        <v>41811.855092592588</v>
      </c>
      <c r="K3481">
        <v>1400790680</v>
      </c>
      <c r="L3481" s="11">
        <f>((Table1[[#This Row],[launched_at]]/60)/60/24)+DATE(1970,1,1)</f>
        <v>41781.855092592588</v>
      </c>
      <c r="M3481">
        <f>MONTH(Table1[[#This Row],[Date Created Conversion]])</f>
        <v>5</v>
      </c>
      <c r="N3481">
        <f>YEAR(Table1[[#This Row],[Date Created Conversion]])</f>
        <v>2014</v>
      </c>
      <c r="O3481" t="b">
        <v>0</v>
      </c>
      <c r="P3481">
        <v>56</v>
      </c>
      <c r="Q3481" t="b">
        <v>1</v>
      </c>
      <c r="R3481" t="s">
        <v>8271</v>
      </c>
      <c r="S3481" s="6">
        <f>Table1[[#This Row],[pledged]]/Table1[[#This Row],[goal]]</f>
        <v>1.2786666666666666</v>
      </c>
      <c r="T3481" s="8">
        <f>IF(Table1[[#This Row],[pledged]]=0,"no backers",Table1[[#This Row],[pledged]]/Table1[[#This Row],[backers_count]])</f>
        <v>34.25</v>
      </c>
      <c r="U3481" t="str">
        <f>LEFT(Table1[[#This Row],[Category and Sub-Category]],FIND("/",Table1[[#This Row],[Category and Sub-Category]])-1)</f>
        <v>theater</v>
      </c>
      <c r="V3481" t="str">
        <f>RIGHT(Table1[[#This Row],[Category and Sub-Category]],LEN(Table1[[#This Row],[Category and Sub-Category]])-FIND("/",Table1[[#This Row],[Category and Sub-Category]]))</f>
        <v>plays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 s="1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>((Table1[[#This Row],[deadline]]/60)/60/24)+DATE(1970,1,1)</f>
        <v>42195.875</v>
      </c>
      <c r="K3482">
        <v>1434440227</v>
      </c>
      <c r="L3482" s="11">
        <f>((Table1[[#This Row],[launched_at]]/60)/60/24)+DATE(1970,1,1)</f>
        <v>42171.317442129628</v>
      </c>
      <c r="M3482">
        <f>MONTH(Table1[[#This Row],[Date Created Conversion]])</f>
        <v>6</v>
      </c>
      <c r="N3482">
        <f>YEAR(Table1[[#This Row],[Date Created Conversion]])</f>
        <v>2015</v>
      </c>
      <c r="O3482" t="b">
        <v>0</v>
      </c>
      <c r="P3482">
        <v>13</v>
      </c>
      <c r="Q3482" t="b">
        <v>1</v>
      </c>
      <c r="R3482" t="s">
        <v>8271</v>
      </c>
      <c r="S3482" s="6">
        <f>Table1[[#This Row],[pledged]]/Table1[[#This Row],[goal]]</f>
        <v>1.4266666666666667</v>
      </c>
      <c r="T3482" s="8">
        <f>IF(Table1[[#This Row],[pledged]]=0,"no backers",Table1[[#This Row],[pledged]]/Table1[[#This Row],[backers_count]])</f>
        <v>164.61538461538461</v>
      </c>
      <c r="U3482" t="str">
        <f>LEFT(Table1[[#This Row],[Category and Sub-Category]],FIND("/",Table1[[#This Row],[Category and Sub-Category]])-1)</f>
        <v>theater</v>
      </c>
      <c r="V3482" t="str">
        <f>RIGHT(Table1[[#This Row],[Category and Sub-Category]],LEN(Table1[[#This Row],[Category and Sub-Category]])-FIND("/",Table1[[#This Row],[Category and Sub-Category]]))</f>
        <v>plays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 s="12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>((Table1[[#This Row],[deadline]]/60)/60/24)+DATE(1970,1,1)</f>
        <v>42006.24754629629</v>
      </c>
      <c r="K3483">
        <v>1418709388</v>
      </c>
      <c r="L3483" s="11">
        <f>((Table1[[#This Row],[launched_at]]/60)/60/24)+DATE(1970,1,1)</f>
        <v>41989.24754629629</v>
      </c>
      <c r="M3483">
        <f>MONTH(Table1[[#This Row],[Date Created Conversion]])</f>
        <v>12</v>
      </c>
      <c r="N3483">
        <f>YEAR(Table1[[#This Row],[Date Created Conversion]])</f>
        <v>2014</v>
      </c>
      <c r="O3483" t="b">
        <v>0</v>
      </c>
      <c r="P3483">
        <v>95</v>
      </c>
      <c r="Q3483" t="b">
        <v>1</v>
      </c>
      <c r="R3483" t="s">
        <v>8271</v>
      </c>
      <c r="S3483" s="6">
        <f>Table1[[#This Row],[pledged]]/Table1[[#This Row],[goal]]</f>
        <v>1.1879999999999999</v>
      </c>
      <c r="T3483" s="8">
        <f>IF(Table1[[#This Row],[pledged]]=0,"no backers",Table1[[#This Row],[pledged]]/Table1[[#This Row],[backers_count]])</f>
        <v>125.05263157894737</v>
      </c>
      <c r="U3483" t="str">
        <f>LEFT(Table1[[#This Row],[Category and Sub-Category]],FIND("/",Table1[[#This Row],[Category and Sub-Category]])-1)</f>
        <v>theater</v>
      </c>
      <c r="V3483" t="str">
        <f>RIGHT(Table1[[#This Row],[Category and Sub-Category]],LEN(Table1[[#This Row],[Category and Sub-Category]])-FIND("/",Table1[[#This Row],[Category and Sub-Category]]))</f>
        <v>plays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 s="12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>((Table1[[#This Row],[deadline]]/60)/60/24)+DATE(1970,1,1)</f>
        <v>41826.771597222221</v>
      </c>
      <c r="K3484">
        <v>1402079466</v>
      </c>
      <c r="L3484" s="11">
        <f>((Table1[[#This Row],[launched_at]]/60)/60/24)+DATE(1970,1,1)</f>
        <v>41796.771597222221</v>
      </c>
      <c r="M3484">
        <f>MONTH(Table1[[#This Row],[Date Created Conversion]])</f>
        <v>6</v>
      </c>
      <c r="N3484">
        <f>YEAR(Table1[[#This Row],[Date Created Conversion]])</f>
        <v>2014</v>
      </c>
      <c r="O3484" t="b">
        <v>0</v>
      </c>
      <c r="P3484">
        <v>80</v>
      </c>
      <c r="Q3484" t="b">
        <v>1</v>
      </c>
      <c r="R3484" t="s">
        <v>8271</v>
      </c>
      <c r="S3484" s="6">
        <f>Table1[[#This Row],[pledged]]/Table1[[#This Row],[goal]]</f>
        <v>1.3833333333333333</v>
      </c>
      <c r="T3484" s="8">
        <f>IF(Table1[[#This Row],[pledged]]=0,"no backers",Table1[[#This Row],[pledged]]/Table1[[#This Row],[backers_count]])</f>
        <v>51.875</v>
      </c>
      <c r="U3484" t="str">
        <f>LEFT(Table1[[#This Row],[Category and Sub-Category]],FIND("/",Table1[[#This Row],[Category and Sub-Category]])-1)</f>
        <v>theater</v>
      </c>
      <c r="V3484" t="str">
        <f>RIGHT(Table1[[#This Row],[Category and Sub-Category]],LEN(Table1[[#This Row],[Category and Sub-Category]])-FIND("/",Table1[[#This Row],[Category and Sub-Category]]))</f>
        <v>plays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 s="12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>((Table1[[#This Row],[deadline]]/60)/60/24)+DATE(1970,1,1)</f>
        <v>41823.668761574074</v>
      </c>
      <c r="K3485">
        <v>1401811381</v>
      </c>
      <c r="L3485" s="11">
        <f>((Table1[[#This Row],[launched_at]]/60)/60/24)+DATE(1970,1,1)</f>
        <v>41793.668761574074</v>
      </c>
      <c r="M3485">
        <f>MONTH(Table1[[#This Row],[Date Created Conversion]])</f>
        <v>6</v>
      </c>
      <c r="N3485">
        <f>YEAR(Table1[[#This Row],[Date Created Conversion]])</f>
        <v>2014</v>
      </c>
      <c r="O3485" t="b">
        <v>0</v>
      </c>
      <c r="P3485">
        <v>133</v>
      </c>
      <c r="Q3485" t="b">
        <v>1</v>
      </c>
      <c r="R3485" t="s">
        <v>8271</v>
      </c>
      <c r="S3485" s="6">
        <f>Table1[[#This Row],[pledged]]/Table1[[#This Row],[goal]]</f>
        <v>1.599402985074627</v>
      </c>
      <c r="T3485" s="8">
        <f>IF(Table1[[#This Row],[pledged]]=0,"no backers",Table1[[#This Row],[pledged]]/Table1[[#This Row],[backers_count]])</f>
        <v>40.285714285714285</v>
      </c>
      <c r="U3485" t="str">
        <f>LEFT(Table1[[#This Row],[Category and Sub-Category]],FIND("/",Table1[[#This Row],[Category and Sub-Category]])-1)</f>
        <v>theater</v>
      </c>
      <c r="V3485" t="str">
        <f>RIGHT(Table1[[#This Row],[Category and Sub-Category]],LEN(Table1[[#This Row],[Category and Sub-Category]])-FIND("/",Table1[[#This Row],[Category and Sub-Category]]))</f>
        <v>plays</v>
      </c>
    </row>
    <row r="3486" spans="1:22" ht="57.6" x14ac:dyDescent="0.3">
      <c r="A3486">
        <v>3484</v>
      </c>
      <c r="B3486" s="3" t="s">
        <v>3483</v>
      </c>
      <c r="C3486" s="3" t="s">
        <v>7594</v>
      </c>
      <c r="D3486" s="12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>((Table1[[#This Row],[deadline]]/60)/60/24)+DATE(1970,1,1)</f>
        <v>42536.760405092587</v>
      </c>
      <c r="K3486">
        <v>1463422499</v>
      </c>
      <c r="L3486" s="11">
        <f>((Table1[[#This Row],[launched_at]]/60)/60/24)+DATE(1970,1,1)</f>
        <v>42506.760405092587</v>
      </c>
      <c r="M3486">
        <f>MONTH(Table1[[#This Row],[Date Created Conversion]])</f>
        <v>5</v>
      </c>
      <c r="N3486">
        <f>YEAR(Table1[[#This Row],[Date Created Conversion]])</f>
        <v>2016</v>
      </c>
      <c r="O3486" t="b">
        <v>0</v>
      </c>
      <c r="P3486">
        <v>44</v>
      </c>
      <c r="Q3486" t="b">
        <v>1</v>
      </c>
      <c r="R3486" t="s">
        <v>8271</v>
      </c>
      <c r="S3486" s="6">
        <f>Table1[[#This Row],[pledged]]/Table1[[#This Row],[goal]]</f>
        <v>1.1424000000000001</v>
      </c>
      <c r="T3486" s="8">
        <f>IF(Table1[[#This Row],[pledged]]=0,"no backers",Table1[[#This Row],[pledged]]/Table1[[#This Row],[backers_count]])</f>
        <v>64.909090909090907</v>
      </c>
      <c r="U3486" t="str">
        <f>LEFT(Table1[[#This Row],[Category and Sub-Category]],FIND("/",Table1[[#This Row],[Category and Sub-Category]])-1)</f>
        <v>theater</v>
      </c>
      <c r="V3486" t="str">
        <f>RIGHT(Table1[[#This Row],[Category and Sub-Category]],LEN(Table1[[#This Row],[Category and Sub-Category]])-FIND("/",Table1[[#This Row],[Category and Sub-Category]]))</f>
        <v>plays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 s="12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>((Table1[[#This Row],[deadline]]/60)/60/24)+DATE(1970,1,1)</f>
        <v>42402.693055555559</v>
      </c>
      <c r="K3487">
        <v>1451839080</v>
      </c>
      <c r="L3487" s="11">
        <f>((Table1[[#This Row],[launched_at]]/60)/60/24)+DATE(1970,1,1)</f>
        <v>42372.693055555559</v>
      </c>
      <c r="M3487">
        <f>MONTH(Table1[[#This Row],[Date Created Conversion]])</f>
        <v>1</v>
      </c>
      <c r="N3487">
        <f>YEAR(Table1[[#This Row],[Date Created Conversion]])</f>
        <v>2016</v>
      </c>
      <c r="O3487" t="b">
        <v>0</v>
      </c>
      <c r="P3487">
        <v>30</v>
      </c>
      <c r="Q3487" t="b">
        <v>1</v>
      </c>
      <c r="R3487" t="s">
        <v>8271</v>
      </c>
      <c r="S3487" s="6">
        <f>Table1[[#This Row],[pledged]]/Table1[[#This Row],[goal]]</f>
        <v>1.0060606060606061</v>
      </c>
      <c r="T3487" s="8">
        <f>IF(Table1[[#This Row],[pledged]]=0,"no backers",Table1[[#This Row],[pledged]]/Table1[[#This Row],[backers_count]])</f>
        <v>55.333333333333336</v>
      </c>
      <c r="U3487" t="str">
        <f>LEFT(Table1[[#This Row],[Category and Sub-Category]],FIND("/",Table1[[#This Row],[Category and Sub-Category]])-1)</f>
        <v>theater</v>
      </c>
      <c r="V3487" t="str">
        <f>RIGHT(Table1[[#This Row],[Category and Sub-Category]],LEN(Table1[[#This Row],[Category and Sub-Category]])-FIND("/",Table1[[#This Row],[Category and Sub-Category]]))</f>
        <v>plays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 s="12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>((Table1[[#This Row],[deadline]]/60)/60/24)+DATE(1970,1,1)</f>
        <v>42158.290972222225</v>
      </c>
      <c r="K3488">
        <v>1430600401</v>
      </c>
      <c r="L3488" s="11">
        <f>((Table1[[#This Row],[launched_at]]/60)/60/24)+DATE(1970,1,1)</f>
        <v>42126.87501157407</v>
      </c>
      <c r="M3488">
        <f>MONTH(Table1[[#This Row],[Date Created Conversion]])</f>
        <v>5</v>
      </c>
      <c r="N3488">
        <f>YEAR(Table1[[#This Row],[Date Created Conversion]])</f>
        <v>2015</v>
      </c>
      <c r="O3488" t="b">
        <v>0</v>
      </c>
      <c r="P3488">
        <v>56</v>
      </c>
      <c r="Q3488" t="b">
        <v>1</v>
      </c>
      <c r="R3488" t="s">
        <v>8271</v>
      </c>
      <c r="S3488" s="6">
        <f>Table1[[#This Row],[pledged]]/Table1[[#This Row],[goal]]</f>
        <v>1.552</v>
      </c>
      <c r="T3488" s="8">
        <f>IF(Table1[[#This Row],[pledged]]=0,"no backers",Table1[[#This Row],[pledged]]/Table1[[#This Row],[backers_count]])</f>
        <v>83.142857142857139</v>
      </c>
      <c r="U3488" t="str">
        <f>LEFT(Table1[[#This Row],[Category and Sub-Category]],FIND("/",Table1[[#This Row],[Category and Sub-Category]])-1)</f>
        <v>theater</v>
      </c>
      <c r="V3488" t="str">
        <f>RIGHT(Table1[[#This Row],[Category and Sub-Category]],LEN(Table1[[#This Row],[Category and Sub-Category]])-FIND("/",Table1[[#This Row],[Category and Sub-Category]]))</f>
        <v>plays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 s="12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>((Table1[[#This Row],[deadline]]/60)/60/24)+DATE(1970,1,1)</f>
        <v>42179.940416666665</v>
      </c>
      <c r="K3489">
        <v>1432593252</v>
      </c>
      <c r="L3489" s="11">
        <f>((Table1[[#This Row],[launched_at]]/60)/60/24)+DATE(1970,1,1)</f>
        <v>42149.940416666665</v>
      </c>
      <c r="M3489">
        <f>MONTH(Table1[[#This Row],[Date Created Conversion]])</f>
        <v>5</v>
      </c>
      <c r="N3489">
        <f>YEAR(Table1[[#This Row],[Date Created Conversion]])</f>
        <v>2015</v>
      </c>
      <c r="O3489" t="b">
        <v>0</v>
      </c>
      <c r="P3489">
        <v>66</v>
      </c>
      <c r="Q3489" t="b">
        <v>1</v>
      </c>
      <c r="R3489" t="s">
        <v>8271</v>
      </c>
      <c r="S3489" s="6">
        <f>Table1[[#This Row],[pledged]]/Table1[[#This Row],[goal]]</f>
        <v>1.2775000000000001</v>
      </c>
      <c r="T3489" s="8">
        <f>IF(Table1[[#This Row],[pledged]]=0,"no backers",Table1[[#This Row],[pledged]]/Table1[[#This Row],[backers_count]])</f>
        <v>38.712121212121211</v>
      </c>
      <c r="U3489" t="str">
        <f>LEFT(Table1[[#This Row],[Category and Sub-Category]],FIND("/",Table1[[#This Row],[Category and Sub-Category]])-1)</f>
        <v>theater</v>
      </c>
      <c r="V3489" t="str">
        <f>RIGHT(Table1[[#This Row],[Category and Sub-Category]],LEN(Table1[[#This Row],[Category and Sub-Category]])-FIND("/",Table1[[#This Row],[Category and Sub-Category]]))</f>
        <v>plays</v>
      </c>
    </row>
    <row r="3490" spans="1:22" ht="57.6" x14ac:dyDescent="0.3">
      <c r="A3490">
        <v>3488</v>
      </c>
      <c r="B3490" s="3" t="s">
        <v>3487</v>
      </c>
      <c r="C3490" s="3" t="s">
        <v>7598</v>
      </c>
      <c r="D3490" s="12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>((Table1[[#This Row],[deadline]]/60)/60/24)+DATE(1970,1,1)</f>
        <v>42111.666666666672</v>
      </c>
      <c r="K3490">
        <v>1427221560</v>
      </c>
      <c r="L3490" s="11">
        <f>((Table1[[#This Row],[launched_at]]/60)/60/24)+DATE(1970,1,1)</f>
        <v>42087.768055555556</v>
      </c>
      <c r="M3490">
        <f>MONTH(Table1[[#This Row],[Date Created Conversion]])</f>
        <v>3</v>
      </c>
      <c r="N3490">
        <f>YEAR(Table1[[#This Row],[Date Created Conversion]])</f>
        <v>2015</v>
      </c>
      <c r="O3490" t="b">
        <v>0</v>
      </c>
      <c r="P3490">
        <v>29</v>
      </c>
      <c r="Q3490" t="b">
        <v>1</v>
      </c>
      <c r="R3490" t="s">
        <v>8271</v>
      </c>
      <c r="S3490" s="6">
        <f>Table1[[#This Row],[pledged]]/Table1[[#This Row],[goal]]</f>
        <v>1.212</v>
      </c>
      <c r="T3490" s="8">
        <f>IF(Table1[[#This Row],[pledged]]=0,"no backers",Table1[[#This Row],[pledged]]/Table1[[#This Row],[backers_count]])</f>
        <v>125.37931034482759</v>
      </c>
      <c r="U3490" t="str">
        <f>LEFT(Table1[[#This Row],[Category and Sub-Category]],FIND("/",Table1[[#This Row],[Category and Sub-Category]])-1)</f>
        <v>theater</v>
      </c>
      <c r="V3490" t="str">
        <f>RIGHT(Table1[[#This Row],[Category and Sub-Category]],LEN(Table1[[#This Row],[Category and Sub-Category]])-FIND("/",Table1[[#This Row],[Category and Sub-Category]]))</f>
        <v>plays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 s="12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>((Table1[[#This Row],[deadline]]/60)/60/24)+DATE(1970,1,1)</f>
        <v>41783.875</v>
      </c>
      <c r="K3491">
        <v>1398352531</v>
      </c>
      <c r="L3491" s="11">
        <f>((Table1[[#This Row],[launched_at]]/60)/60/24)+DATE(1970,1,1)</f>
        <v>41753.635775462964</v>
      </c>
      <c r="M3491">
        <f>MONTH(Table1[[#This Row],[Date Created Conversion]])</f>
        <v>4</v>
      </c>
      <c r="N3491">
        <f>YEAR(Table1[[#This Row],[Date Created Conversion]])</f>
        <v>2014</v>
      </c>
      <c r="O3491" t="b">
        <v>0</v>
      </c>
      <c r="P3491">
        <v>72</v>
      </c>
      <c r="Q3491" t="b">
        <v>1</v>
      </c>
      <c r="R3491" t="s">
        <v>8271</v>
      </c>
      <c r="S3491" s="6">
        <f>Table1[[#This Row],[pledged]]/Table1[[#This Row],[goal]]</f>
        <v>1.127</v>
      </c>
      <c r="T3491" s="8">
        <f>IF(Table1[[#This Row],[pledged]]=0,"no backers",Table1[[#This Row],[pledged]]/Table1[[#This Row],[backers_count]])</f>
        <v>78.263888888888886</v>
      </c>
      <c r="U3491" t="str">
        <f>LEFT(Table1[[#This Row],[Category and Sub-Category]],FIND("/",Table1[[#This Row],[Category and Sub-Category]])-1)</f>
        <v>theater</v>
      </c>
      <c r="V3491" t="str">
        <f>RIGHT(Table1[[#This Row],[Category and Sub-Category]],LEN(Table1[[#This Row],[Category and Sub-Category]])-FIND("/",Table1[[#This Row],[Category and Sub-Category]]))</f>
        <v>plays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 s="1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>((Table1[[#This Row],[deadline]]/60)/60/24)+DATE(1970,1,1)</f>
        <v>42473.802361111113</v>
      </c>
      <c r="K3492">
        <v>1457982924</v>
      </c>
      <c r="L3492" s="11">
        <f>((Table1[[#This Row],[launched_at]]/60)/60/24)+DATE(1970,1,1)</f>
        <v>42443.802361111113</v>
      </c>
      <c r="M3492">
        <f>MONTH(Table1[[#This Row],[Date Created Conversion]])</f>
        <v>3</v>
      </c>
      <c r="N3492">
        <f>YEAR(Table1[[#This Row],[Date Created Conversion]])</f>
        <v>2016</v>
      </c>
      <c r="O3492" t="b">
        <v>0</v>
      </c>
      <c r="P3492">
        <v>27</v>
      </c>
      <c r="Q3492" t="b">
        <v>1</v>
      </c>
      <c r="R3492" t="s">
        <v>8271</v>
      </c>
      <c r="S3492" s="6">
        <f>Table1[[#This Row],[pledged]]/Table1[[#This Row],[goal]]</f>
        <v>1.2749999999999999</v>
      </c>
      <c r="T3492" s="8">
        <f>IF(Table1[[#This Row],[pledged]]=0,"no backers",Table1[[#This Row],[pledged]]/Table1[[#This Row],[backers_count]])</f>
        <v>47.222222222222221</v>
      </c>
      <c r="U3492" t="str">
        <f>LEFT(Table1[[#This Row],[Category and Sub-Category]],FIND("/",Table1[[#This Row],[Category and Sub-Category]])-1)</f>
        <v>theater</v>
      </c>
      <c r="V3492" t="str">
        <f>RIGHT(Table1[[#This Row],[Category and Sub-Category]],LEN(Table1[[#This Row],[Category and Sub-Category]])-FIND("/",Table1[[#This Row],[Category and Sub-Category]]))</f>
        <v>plays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 s="12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>((Table1[[#This Row],[deadline]]/60)/60/24)+DATE(1970,1,1)</f>
        <v>42142.249814814815</v>
      </c>
      <c r="K3493">
        <v>1430114384</v>
      </c>
      <c r="L3493" s="11">
        <f>((Table1[[#This Row],[launched_at]]/60)/60/24)+DATE(1970,1,1)</f>
        <v>42121.249814814815</v>
      </c>
      <c r="M3493">
        <f>MONTH(Table1[[#This Row],[Date Created Conversion]])</f>
        <v>4</v>
      </c>
      <c r="N3493">
        <f>YEAR(Table1[[#This Row],[Date Created Conversion]])</f>
        <v>2015</v>
      </c>
      <c r="O3493" t="b">
        <v>0</v>
      </c>
      <c r="P3493">
        <v>10</v>
      </c>
      <c r="Q3493" t="b">
        <v>1</v>
      </c>
      <c r="R3493" t="s">
        <v>8271</v>
      </c>
      <c r="S3493" s="6">
        <f>Table1[[#This Row],[pledged]]/Table1[[#This Row],[goal]]</f>
        <v>1.5820000000000001</v>
      </c>
      <c r="T3493" s="8">
        <f>IF(Table1[[#This Row],[pledged]]=0,"no backers",Table1[[#This Row],[pledged]]/Table1[[#This Row],[backers_count]])</f>
        <v>79.099999999999994</v>
      </c>
      <c r="U3493" t="str">
        <f>LEFT(Table1[[#This Row],[Category and Sub-Category]],FIND("/",Table1[[#This Row],[Category and Sub-Category]])-1)</f>
        <v>theater</v>
      </c>
      <c r="V3493" t="str">
        <f>RIGHT(Table1[[#This Row],[Category and Sub-Category]],LEN(Table1[[#This Row],[Category and Sub-Category]])-FIND("/",Table1[[#This Row],[Category and Sub-Category]]))</f>
        <v>plays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 s="12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>((Table1[[#This Row],[deadline]]/60)/60/24)+DATE(1970,1,1)</f>
        <v>42303.009224537032</v>
      </c>
      <c r="K3494">
        <v>1442794397</v>
      </c>
      <c r="L3494" s="11">
        <f>((Table1[[#This Row],[launched_at]]/60)/60/24)+DATE(1970,1,1)</f>
        <v>42268.009224537032</v>
      </c>
      <c r="M3494">
        <f>MONTH(Table1[[#This Row],[Date Created Conversion]])</f>
        <v>9</v>
      </c>
      <c r="N3494">
        <f>YEAR(Table1[[#This Row],[Date Created Conversion]])</f>
        <v>2015</v>
      </c>
      <c r="O3494" t="b">
        <v>0</v>
      </c>
      <c r="P3494">
        <v>35</v>
      </c>
      <c r="Q3494" t="b">
        <v>1</v>
      </c>
      <c r="R3494" t="s">
        <v>8271</v>
      </c>
      <c r="S3494" s="6">
        <f>Table1[[#This Row],[pledged]]/Table1[[#This Row],[goal]]</f>
        <v>1.0526894736842105</v>
      </c>
      <c r="T3494" s="8">
        <f>IF(Table1[[#This Row],[pledged]]=0,"no backers",Table1[[#This Row],[pledged]]/Table1[[#This Row],[backers_count]])</f>
        <v>114.29199999999999</v>
      </c>
      <c r="U3494" t="str">
        <f>LEFT(Table1[[#This Row],[Category and Sub-Category]],FIND("/",Table1[[#This Row],[Category and Sub-Category]])-1)</f>
        <v>theater</v>
      </c>
      <c r="V3494" t="str">
        <f>RIGHT(Table1[[#This Row],[Category and Sub-Category]],LEN(Table1[[#This Row],[Category and Sub-Category]])-FIND("/",Table1[[#This Row],[Category and Sub-Category]]))</f>
        <v>plays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 s="12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>((Table1[[#This Row],[deadline]]/60)/60/24)+DATE(1970,1,1)</f>
        <v>41868.21597222222</v>
      </c>
      <c r="K3495">
        <v>1406580436</v>
      </c>
      <c r="L3495" s="11">
        <f>((Table1[[#This Row],[launched_at]]/60)/60/24)+DATE(1970,1,1)</f>
        <v>41848.866157407407</v>
      </c>
      <c r="M3495">
        <f>MONTH(Table1[[#This Row],[Date Created Conversion]])</f>
        <v>7</v>
      </c>
      <c r="N3495">
        <f>YEAR(Table1[[#This Row],[Date Created Conversion]])</f>
        <v>2014</v>
      </c>
      <c r="O3495" t="b">
        <v>0</v>
      </c>
      <c r="P3495">
        <v>29</v>
      </c>
      <c r="Q3495" t="b">
        <v>1</v>
      </c>
      <c r="R3495" t="s">
        <v>8271</v>
      </c>
      <c r="S3495" s="6">
        <f>Table1[[#This Row],[pledged]]/Table1[[#This Row],[goal]]</f>
        <v>1</v>
      </c>
      <c r="T3495" s="8">
        <f>IF(Table1[[#This Row],[pledged]]=0,"no backers",Table1[[#This Row],[pledged]]/Table1[[#This Row],[backers_count]])</f>
        <v>51.724137931034484</v>
      </c>
      <c r="U3495" t="str">
        <f>LEFT(Table1[[#This Row],[Category and Sub-Category]],FIND("/",Table1[[#This Row],[Category and Sub-Category]])-1)</f>
        <v>theater</v>
      </c>
      <c r="V3495" t="str">
        <f>RIGHT(Table1[[#This Row],[Category and Sub-Category]],LEN(Table1[[#This Row],[Category and Sub-Category]])-FIND("/",Table1[[#This Row],[Category and Sub-Category]]))</f>
        <v>plays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 s="12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>((Table1[[#This Row],[deadline]]/60)/60/24)+DATE(1970,1,1)</f>
        <v>42700.25</v>
      </c>
      <c r="K3496">
        <v>1479186575</v>
      </c>
      <c r="L3496" s="11">
        <f>((Table1[[#This Row],[launched_at]]/60)/60/24)+DATE(1970,1,1)</f>
        <v>42689.214988425927</v>
      </c>
      <c r="M3496">
        <f>MONTH(Table1[[#This Row],[Date Created Conversion]])</f>
        <v>11</v>
      </c>
      <c r="N3496">
        <f>YEAR(Table1[[#This Row],[Date Created Conversion]])</f>
        <v>2016</v>
      </c>
      <c r="O3496" t="b">
        <v>0</v>
      </c>
      <c r="P3496">
        <v>13</v>
      </c>
      <c r="Q3496" t="b">
        <v>1</v>
      </c>
      <c r="R3496" t="s">
        <v>8271</v>
      </c>
      <c r="S3496" s="6">
        <f>Table1[[#This Row],[pledged]]/Table1[[#This Row],[goal]]</f>
        <v>1</v>
      </c>
      <c r="T3496" s="8">
        <f>IF(Table1[[#This Row],[pledged]]=0,"no backers",Table1[[#This Row],[pledged]]/Table1[[#This Row],[backers_count]])</f>
        <v>30.76923076923077</v>
      </c>
      <c r="U3496" t="str">
        <f>LEFT(Table1[[#This Row],[Category and Sub-Category]],FIND("/",Table1[[#This Row],[Category and Sub-Category]])-1)</f>
        <v>theater</v>
      </c>
      <c r="V3496" t="str">
        <f>RIGHT(Table1[[#This Row],[Category and Sub-Category]],LEN(Table1[[#This Row],[Category and Sub-Category]])-FIND("/",Table1[[#This Row],[Category and Sub-Category]]))</f>
        <v>plays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 s="12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>((Table1[[#This Row],[deadline]]/60)/60/24)+DATE(1970,1,1)</f>
        <v>41944.720833333333</v>
      </c>
      <c r="K3497">
        <v>1412360309</v>
      </c>
      <c r="L3497" s="11">
        <f>((Table1[[#This Row],[launched_at]]/60)/60/24)+DATE(1970,1,1)</f>
        <v>41915.762835648151</v>
      </c>
      <c r="M3497">
        <f>MONTH(Table1[[#This Row],[Date Created Conversion]])</f>
        <v>10</v>
      </c>
      <c r="N3497">
        <f>YEAR(Table1[[#This Row],[Date Created Conversion]])</f>
        <v>2014</v>
      </c>
      <c r="O3497" t="b">
        <v>0</v>
      </c>
      <c r="P3497">
        <v>72</v>
      </c>
      <c r="Q3497" t="b">
        <v>1</v>
      </c>
      <c r="R3497" t="s">
        <v>8271</v>
      </c>
      <c r="S3497" s="6">
        <f>Table1[[#This Row],[pledged]]/Table1[[#This Row],[goal]]</f>
        <v>1.0686</v>
      </c>
      <c r="T3497" s="8">
        <f>IF(Table1[[#This Row],[pledged]]=0,"no backers",Table1[[#This Row],[pledged]]/Table1[[#This Row],[backers_count]])</f>
        <v>74.208333333333329</v>
      </c>
      <c r="U3497" t="str">
        <f>LEFT(Table1[[#This Row],[Category and Sub-Category]],FIND("/",Table1[[#This Row],[Category and Sub-Category]])-1)</f>
        <v>theater</v>
      </c>
      <c r="V3497" t="str">
        <f>RIGHT(Table1[[#This Row],[Category and Sub-Category]],LEN(Table1[[#This Row],[Category and Sub-Category]])-FIND("/",Table1[[#This Row],[Category and Sub-Category]]))</f>
        <v>plays</v>
      </c>
    </row>
    <row r="3498" spans="1:22" ht="57.6" x14ac:dyDescent="0.3">
      <c r="A3498">
        <v>3496</v>
      </c>
      <c r="B3498" s="3" t="s">
        <v>3495</v>
      </c>
      <c r="C3498" s="3" t="s">
        <v>7606</v>
      </c>
      <c r="D3498" s="12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>((Table1[[#This Row],[deadline]]/60)/60/24)+DATE(1970,1,1)</f>
        <v>42624.846828703703</v>
      </c>
      <c r="K3498">
        <v>1470169166</v>
      </c>
      <c r="L3498" s="11">
        <f>((Table1[[#This Row],[launched_at]]/60)/60/24)+DATE(1970,1,1)</f>
        <v>42584.846828703703</v>
      </c>
      <c r="M3498">
        <f>MONTH(Table1[[#This Row],[Date Created Conversion]])</f>
        <v>8</v>
      </c>
      <c r="N3498">
        <f>YEAR(Table1[[#This Row],[Date Created Conversion]])</f>
        <v>2016</v>
      </c>
      <c r="O3498" t="b">
        <v>0</v>
      </c>
      <c r="P3498">
        <v>78</v>
      </c>
      <c r="Q3498" t="b">
        <v>1</v>
      </c>
      <c r="R3498" t="s">
        <v>8271</v>
      </c>
      <c r="S3498" s="6">
        <f>Table1[[#This Row],[pledged]]/Table1[[#This Row],[goal]]</f>
        <v>1.244</v>
      </c>
      <c r="T3498" s="8">
        <f>IF(Table1[[#This Row],[pledged]]=0,"no backers",Table1[[#This Row],[pledged]]/Table1[[#This Row],[backers_count]])</f>
        <v>47.846153846153847</v>
      </c>
      <c r="U3498" t="str">
        <f>LEFT(Table1[[#This Row],[Category and Sub-Category]],FIND("/",Table1[[#This Row],[Category and Sub-Category]])-1)</f>
        <v>theater</v>
      </c>
      <c r="V3498" t="str">
        <f>RIGHT(Table1[[#This Row],[Category and Sub-Category]],LEN(Table1[[#This Row],[Category and Sub-Category]])-FIND("/",Table1[[#This Row],[Category and Sub-Category]]))</f>
        <v>plays</v>
      </c>
    </row>
    <row r="3499" spans="1:22" ht="57.6" x14ac:dyDescent="0.3">
      <c r="A3499">
        <v>3497</v>
      </c>
      <c r="B3499" s="3" t="s">
        <v>3496</v>
      </c>
      <c r="C3499" s="3" t="s">
        <v>7607</v>
      </c>
      <c r="D3499" s="12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>((Table1[[#This Row],[deadline]]/60)/60/24)+DATE(1970,1,1)</f>
        <v>42523.916666666672</v>
      </c>
      <c r="K3499">
        <v>1463852904</v>
      </c>
      <c r="L3499" s="11">
        <f>((Table1[[#This Row],[launched_at]]/60)/60/24)+DATE(1970,1,1)</f>
        <v>42511.741944444439</v>
      </c>
      <c r="M3499">
        <f>MONTH(Table1[[#This Row],[Date Created Conversion]])</f>
        <v>5</v>
      </c>
      <c r="N3499">
        <f>YEAR(Table1[[#This Row],[Date Created Conversion]])</f>
        <v>2016</v>
      </c>
      <c r="O3499" t="b">
        <v>0</v>
      </c>
      <c r="P3499">
        <v>49</v>
      </c>
      <c r="Q3499" t="b">
        <v>1</v>
      </c>
      <c r="R3499" t="s">
        <v>8271</v>
      </c>
      <c r="S3499" s="6">
        <f>Table1[[#This Row],[pledged]]/Table1[[#This Row],[goal]]</f>
        <v>1.0870406189555126</v>
      </c>
      <c r="T3499" s="8">
        <f>IF(Table1[[#This Row],[pledged]]=0,"no backers",Table1[[#This Row],[pledged]]/Table1[[#This Row],[backers_count]])</f>
        <v>34.408163265306122</v>
      </c>
      <c r="U3499" t="str">
        <f>LEFT(Table1[[#This Row],[Category and Sub-Category]],FIND("/",Table1[[#This Row],[Category and Sub-Category]])-1)</f>
        <v>theater</v>
      </c>
      <c r="V3499" t="str">
        <f>RIGHT(Table1[[#This Row],[Category and Sub-Category]],LEN(Table1[[#This Row],[Category and Sub-Category]])-FIND("/",Table1[[#This Row],[Category and Sub-Category]]))</f>
        <v>plays</v>
      </c>
    </row>
    <row r="3500" spans="1:22" ht="57.6" x14ac:dyDescent="0.3">
      <c r="A3500">
        <v>3498</v>
      </c>
      <c r="B3500" s="3" t="s">
        <v>3497</v>
      </c>
      <c r="C3500" s="3" t="s">
        <v>7608</v>
      </c>
      <c r="D3500" s="12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>((Table1[[#This Row],[deadline]]/60)/60/24)+DATE(1970,1,1)</f>
        <v>42518.905555555553</v>
      </c>
      <c r="K3500">
        <v>1459309704</v>
      </c>
      <c r="L3500" s="11">
        <f>((Table1[[#This Row],[launched_at]]/60)/60/24)+DATE(1970,1,1)</f>
        <v>42459.15861111111</v>
      </c>
      <c r="M3500">
        <f>MONTH(Table1[[#This Row],[Date Created Conversion]])</f>
        <v>3</v>
      </c>
      <c r="N3500">
        <f>YEAR(Table1[[#This Row],[Date Created Conversion]])</f>
        <v>2016</v>
      </c>
      <c r="O3500" t="b">
        <v>0</v>
      </c>
      <c r="P3500">
        <v>42</v>
      </c>
      <c r="Q3500" t="b">
        <v>1</v>
      </c>
      <c r="R3500" t="s">
        <v>8271</v>
      </c>
      <c r="S3500" s="6">
        <f>Table1[[#This Row],[pledged]]/Table1[[#This Row],[goal]]</f>
        <v>1.0242424242424242</v>
      </c>
      <c r="T3500" s="8">
        <f>IF(Table1[[#This Row],[pledged]]=0,"no backers",Table1[[#This Row],[pledged]]/Table1[[#This Row],[backers_count]])</f>
        <v>40.238095238095241</v>
      </c>
      <c r="U3500" t="str">
        <f>LEFT(Table1[[#This Row],[Category and Sub-Category]],FIND("/",Table1[[#This Row],[Category and Sub-Category]])-1)</f>
        <v>theater</v>
      </c>
      <c r="V3500" t="str">
        <f>RIGHT(Table1[[#This Row],[Category and Sub-Category]],LEN(Table1[[#This Row],[Category and Sub-Category]])-FIND("/",Table1[[#This Row],[Category and Sub-Category]]))</f>
        <v>plays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 s="12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>((Table1[[#This Row],[deadline]]/60)/60/24)+DATE(1970,1,1)</f>
        <v>42186.290972222225</v>
      </c>
      <c r="K3501">
        <v>1431046325</v>
      </c>
      <c r="L3501" s="11">
        <f>((Table1[[#This Row],[launched_at]]/60)/60/24)+DATE(1970,1,1)</f>
        <v>42132.036168981482</v>
      </c>
      <c r="M3501">
        <f>MONTH(Table1[[#This Row],[Date Created Conversion]])</f>
        <v>5</v>
      </c>
      <c r="N3501">
        <f>YEAR(Table1[[#This Row],[Date Created Conversion]])</f>
        <v>2015</v>
      </c>
      <c r="O3501" t="b">
        <v>0</v>
      </c>
      <c r="P3501">
        <v>35</v>
      </c>
      <c r="Q3501" t="b">
        <v>1</v>
      </c>
      <c r="R3501" t="s">
        <v>8271</v>
      </c>
      <c r="S3501" s="6">
        <f>Table1[[#This Row],[pledged]]/Table1[[#This Row],[goal]]</f>
        <v>1.0549999999999999</v>
      </c>
      <c r="T3501" s="8">
        <f>IF(Table1[[#This Row],[pledged]]=0,"no backers",Table1[[#This Row],[pledged]]/Table1[[#This Row],[backers_count]])</f>
        <v>60.285714285714285</v>
      </c>
      <c r="U3501" t="str">
        <f>LEFT(Table1[[#This Row],[Category and Sub-Category]],FIND("/",Table1[[#This Row],[Category and Sub-Category]])-1)</f>
        <v>theater</v>
      </c>
      <c r="V3501" t="str">
        <f>RIGHT(Table1[[#This Row],[Category and Sub-Category]],LEN(Table1[[#This Row],[Category and Sub-Category]])-FIND("/",Table1[[#This Row],[Category and Sub-Category]]))</f>
        <v>plays</v>
      </c>
    </row>
    <row r="3502" spans="1:22" ht="57.6" x14ac:dyDescent="0.3">
      <c r="A3502">
        <v>3500</v>
      </c>
      <c r="B3502" s="3" t="s">
        <v>3499</v>
      </c>
      <c r="C3502" s="3" t="s">
        <v>7610</v>
      </c>
      <c r="D3502" s="1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>((Table1[[#This Row],[deadline]]/60)/60/24)+DATE(1970,1,1)</f>
        <v>42436.207638888889</v>
      </c>
      <c r="K3502">
        <v>1455919438</v>
      </c>
      <c r="L3502" s="11">
        <f>((Table1[[#This Row],[launched_at]]/60)/60/24)+DATE(1970,1,1)</f>
        <v>42419.91942129629</v>
      </c>
      <c r="M3502">
        <f>MONTH(Table1[[#This Row],[Date Created Conversion]])</f>
        <v>2</v>
      </c>
      <c r="N3502">
        <f>YEAR(Table1[[#This Row],[Date Created Conversion]])</f>
        <v>2016</v>
      </c>
      <c r="O3502" t="b">
        <v>0</v>
      </c>
      <c r="P3502">
        <v>42</v>
      </c>
      <c r="Q3502" t="b">
        <v>1</v>
      </c>
      <c r="R3502" t="s">
        <v>8271</v>
      </c>
      <c r="S3502" s="6">
        <f>Table1[[#This Row],[pledged]]/Table1[[#This Row],[goal]]</f>
        <v>1.0629999999999999</v>
      </c>
      <c r="T3502" s="8">
        <f>IF(Table1[[#This Row],[pledged]]=0,"no backers",Table1[[#This Row],[pledged]]/Table1[[#This Row],[backers_count]])</f>
        <v>25.30952380952381</v>
      </c>
      <c r="U3502" t="str">
        <f>LEFT(Table1[[#This Row],[Category and Sub-Category]],FIND("/",Table1[[#This Row],[Category and Sub-Category]])-1)</f>
        <v>theater</v>
      </c>
      <c r="V3502" t="str">
        <f>RIGHT(Table1[[#This Row],[Category and Sub-Category]],LEN(Table1[[#This Row],[Category and Sub-Category]])-FIND("/",Table1[[#This Row],[Category and Sub-Category]]))</f>
        <v>plays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 s="12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>((Table1[[#This Row],[deadline]]/60)/60/24)+DATE(1970,1,1)</f>
        <v>42258.763831018514</v>
      </c>
      <c r="K3503">
        <v>1439835595</v>
      </c>
      <c r="L3503" s="11">
        <f>((Table1[[#This Row],[launched_at]]/60)/60/24)+DATE(1970,1,1)</f>
        <v>42233.763831018514</v>
      </c>
      <c r="M3503">
        <f>MONTH(Table1[[#This Row],[Date Created Conversion]])</f>
        <v>8</v>
      </c>
      <c r="N3503">
        <f>YEAR(Table1[[#This Row],[Date Created Conversion]])</f>
        <v>2015</v>
      </c>
      <c r="O3503" t="b">
        <v>0</v>
      </c>
      <c r="P3503">
        <v>42</v>
      </c>
      <c r="Q3503" t="b">
        <v>1</v>
      </c>
      <c r="R3503" t="s">
        <v>8271</v>
      </c>
      <c r="S3503" s="6">
        <f>Table1[[#This Row],[pledged]]/Table1[[#This Row],[goal]]</f>
        <v>1.0066666666666666</v>
      </c>
      <c r="T3503" s="8">
        <f>IF(Table1[[#This Row],[pledged]]=0,"no backers",Table1[[#This Row],[pledged]]/Table1[[#This Row],[backers_count]])</f>
        <v>35.952380952380949</v>
      </c>
      <c r="U3503" t="str">
        <f>LEFT(Table1[[#This Row],[Category and Sub-Category]],FIND("/",Table1[[#This Row],[Category and Sub-Category]])-1)</f>
        <v>theater</v>
      </c>
      <c r="V3503" t="str">
        <f>RIGHT(Table1[[#This Row],[Category and Sub-Category]],LEN(Table1[[#This Row],[Category and Sub-Category]])-FIND("/",Table1[[#This Row],[Category and Sub-Category]]))</f>
        <v>plays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 s="12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>((Table1[[#This Row],[deadline]]/60)/60/24)+DATE(1970,1,1)</f>
        <v>42445.165972222225</v>
      </c>
      <c r="K3504">
        <v>1456862924</v>
      </c>
      <c r="L3504" s="11">
        <f>((Table1[[#This Row],[launched_at]]/60)/60/24)+DATE(1970,1,1)</f>
        <v>42430.839398148149</v>
      </c>
      <c r="M3504">
        <f>MONTH(Table1[[#This Row],[Date Created Conversion]])</f>
        <v>3</v>
      </c>
      <c r="N3504">
        <f>YEAR(Table1[[#This Row],[Date Created Conversion]])</f>
        <v>2016</v>
      </c>
      <c r="O3504" t="b">
        <v>0</v>
      </c>
      <c r="P3504">
        <v>31</v>
      </c>
      <c r="Q3504" t="b">
        <v>1</v>
      </c>
      <c r="R3504" t="s">
        <v>8271</v>
      </c>
      <c r="S3504" s="6">
        <f>Table1[[#This Row],[pledged]]/Table1[[#This Row],[goal]]</f>
        <v>1.054</v>
      </c>
      <c r="T3504" s="8">
        <f>IF(Table1[[#This Row],[pledged]]=0,"no backers",Table1[[#This Row],[pledged]]/Table1[[#This Row],[backers_count]])</f>
        <v>136</v>
      </c>
      <c r="U3504" t="str">
        <f>LEFT(Table1[[#This Row],[Category and Sub-Category]],FIND("/",Table1[[#This Row],[Category and Sub-Category]])-1)</f>
        <v>theater</v>
      </c>
      <c r="V3504" t="str">
        <f>RIGHT(Table1[[#This Row],[Category and Sub-Category]],LEN(Table1[[#This Row],[Category and Sub-Category]])-FIND("/",Table1[[#This Row],[Category and Sub-Category]]))</f>
        <v>plays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 s="12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>((Table1[[#This Row],[deadline]]/60)/60/24)+DATE(1970,1,1)</f>
        <v>42575.478333333333</v>
      </c>
      <c r="K3505">
        <v>1466767728</v>
      </c>
      <c r="L3505" s="11">
        <f>((Table1[[#This Row],[launched_at]]/60)/60/24)+DATE(1970,1,1)</f>
        <v>42545.478333333333</v>
      </c>
      <c r="M3505">
        <f>MONTH(Table1[[#This Row],[Date Created Conversion]])</f>
        <v>6</v>
      </c>
      <c r="N3505">
        <f>YEAR(Table1[[#This Row],[Date Created Conversion]])</f>
        <v>2016</v>
      </c>
      <c r="O3505" t="b">
        <v>0</v>
      </c>
      <c r="P3505">
        <v>38</v>
      </c>
      <c r="Q3505" t="b">
        <v>1</v>
      </c>
      <c r="R3505" t="s">
        <v>8271</v>
      </c>
      <c r="S3505" s="6">
        <f>Table1[[#This Row],[pledged]]/Table1[[#This Row],[goal]]</f>
        <v>1.0755999999999999</v>
      </c>
      <c r="T3505" s="8">
        <f>IF(Table1[[#This Row],[pledged]]=0,"no backers",Table1[[#This Row],[pledged]]/Table1[[#This Row],[backers_count]])</f>
        <v>70.763157894736835</v>
      </c>
      <c r="U3505" t="str">
        <f>LEFT(Table1[[#This Row],[Category and Sub-Category]],FIND("/",Table1[[#This Row],[Category and Sub-Category]])-1)</f>
        <v>theater</v>
      </c>
      <c r="V3505" t="str">
        <f>RIGHT(Table1[[#This Row],[Category and Sub-Category]],LEN(Table1[[#This Row],[Category and Sub-Category]])-FIND("/",Table1[[#This Row],[Category and Sub-Category]]))</f>
        <v>plays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 s="12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>((Table1[[#This Row],[deadline]]/60)/60/24)+DATE(1970,1,1)</f>
        <v>42327.790405092594</v>
      </c>
      <c r="K3506">
        <v>1445363891</v>
      </c>
      <c r="L3506" s="11">
        <f>((Table1[[#This Row],[launched_at]]/60)/60/24)+DATE(1970,1,1)</f>
        <v>42297.748738425929</v>
      </c>
      <c r="M3506">
        <f>MONTH(Table1[[#This Row],[Date Created Conversion]])</f>
        <v>10</v>
      </c>
      <c r="N3506">
        <f>YEAR(Table1[[#This Row],[Date Created Conversion]])</f>
        <v>2015</v>
      </c>
      <c r="O3506" t="b">
        <v>0</v>
      </c>
      <c r="P3506">
        <v>8</v>
      </c>
      <c r="Q3506" t="b">
        <v>1</v>
      </c>
      <c r="R3506" t="s">
        <v>8271</v>
      </c>
      <c r="S3506" s="6">
        <f>Table1[[#This Row],[pledged]]/Table1[[#This Row],[goal]]</f>
        <v>1</v>
      </c>
      <c r="T3506" s="8">
        <f>IF(Table1[[#This Row],[pledged]]=0,"no backers",Table1[[#This Row],[pledged]]/Table1[[#This Row],[backers_count]])</f>
        <v>125</v>
      </c>
      <c r="U3506" t="str">
        <f>LEFT(Table1[[#This Row],[Category and Sub-Category]],FIND("/",Table1[[#This Row],[Category and Sub-Category]])-1)</f>
        <v>theater</v>
      </c>
      <c r="V3506" t="str">
        <f>RIGHT(Table1[[#This Row],[Category and Sub-Category]],LEN(Table1[[#This Row],[Category and Sub-Category]])-FIND("/",Table1[[#This Row],[Category and Sub-Category]]))</f>
        <v>plays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 s="12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>((Table1[[#This Row],[deadline]]/60)/60/24)+DATE(1970,1,1)</f>
        <v>41772.166666666664</v>
      </c>
      <c r="K3507">
        <v>1398983245</v>
      </c>
      <c r="L3507" s="11">
        <f>((Table1[[#This Row],[launched_at]]/60)/60/24)+DATE(1970,1,1)</f>
        <v>41760.935706018521</v>
      </c>
      <c r="M3507">
        <f>MONTH(Table1[[#This Row],[Date Created Conversion]])</f>
        <v>5</v>
      </c>
      <c r="N3507">
        <f>YEAR(Table1[[#This Row],[Date Created Conversion]])</f>
        <v>2014</v>
      </c>
      <c r="O3507" t="b">
        <v>0</v>
      </c>
      <c r="P3507">
        <v>39</v>
      </c>
      <c r="Q3507" t="b">
        <v>1</v>
      </c>
      <c r="R3507" t="s">
        <v>8271</v>
      </c>
      <c r="S3507" s="6">
        <f>Table1[[#This Row],[pledged]]/Table1[[#This Row],[goal]]</f>
        <v>1.0376000000000001</v>
      </c>
      <c r="T3507" s="8">
        <f>IF(Table1[[#This Row],[pledged]]=0,"no backers",Table1[[#This Row],[pledged]]/Table1[[#This Row],[backers_count]])</f>
        <v>66.512820512820511</v>
      </c>
      <c r="U3507" t="str">
        <f>LEFT(Table1[[#This Row],[Category and Sub-Category]],FIND("/",Table1[[#This Row],[Category and Sub-Category]])-1)</f>
        <v>theater</v>
      </c>
      <c r="V3507" t="str">
        <f>RIGHT(Table1[[#This Row],[Category and Sub-Category]],LEN(Table1[[#This Row],[Category and Sub-Category]])-FIND("/",Table1[[#This Row],[Category and Sub-Category]]))</f>
        <v>plays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 s="12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>((Table1[[#This Row],[deadline]]/60)/60/24)+DATE(1970,1,1)</f>
        <v>41874.734259259261</v>
      </c>
      <c r="K3508">
        <v>1404927440</v>
      </c>
      <c r="L3508" s="11">
        <f>((Table1[[#This Row],[launched_at]]/60)/60/24)+DATE(1970,1,1)</f>
        <v>41829.734259259261</v>
      </c>
      <c r="M3508">
        <f>MONTH(Table1[[#This Row],[Date Created Conversion]])</f>
        <v>7</v>
      </c>
      <c r="N3508">
        <f>YEAR(Table1[[#This Row],[Date Created Conversion]])</f>
        <v>2014</v>
      </c>
      <c r="O3508" t="b">
        <v>0</v>
      </c>
      <c r="P3508">
        <v>29</v>
      </c>
      <c r="Q3508" t="b">
        <v>1</v>
      </c>
      <c r="R3508" t="s">
        <v>8271</v>
      </c>
      <c r="S3508" s="6">
        <f>Table1[[#This Row],[pledged]]/Table1[[#This Row],[goal]]</f>
        <v>1.0149999999999999</v>
      </c>
      <c r="T3508" s="8">
        <f>IF(Table1[[#This Row],[pledged]]=0,"no backers",Table1[[#This Row],[pledged]]/Table1[[#This Row],[backers_count]])</f>
        <v>105</v>
      </c>
      <c r="U3508" t="str">
        <f>LEFT(Table1[[#This Row],[Category and Sub-Category]],FIND("/",Table1[[#This Row],[Category and Sub-Category]])-1)</f>
        <v>theater</v>
      </c>
      <c r="V3508" t="str">
        <f>RIGHT(Table1[[#This Row],[Category and Sub-Category]],LEN(Table1[[#This Row],[Category and Sub-Category]])-FIND("/",Table1[[#This Row],[Category and Sub-Category]]))</f>
        <v>plays</v>
      </c>
    </row>
    <row r="3509" spans="1:22" ht="43.2" x14ac:dyDescent="0.3">
      <c r="A3509">
        <v>3507</v>
      </c>
      <c r="B3509" s="3" t="s">
        <v>3506</v>
      </c>
      <c r="C3509" s="3" t="s">
        <v>7617</v>
      </c>
      <c r="D3509" s="12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>((Table1[[#This Row],[deadline]]/60)/60/24)+DATE(1970,1,1)</f>
        <v>42521.92288194444</v>
      </c>
      <c r="K3509">
        <v>1462140537</v>
      </c>
      <c r="L3509" s="11">
        <f>((Table1[[#This Row],[launched_at]]/60)/60/24)+DATE(1970,1,1)</f>
        <v>42491.92288194444</v>
      </c>
      <c r="M3509">
        <f>MONTH(Table1[[#This Row],[Date Created Conversion]])</f>
        <v>5</v>
      </c>
      <c r="N3509">
        <f>YEAR(Table1[[#This Row],[Date Created Conversion]])</f>
        <v>2016</v>
      </c>
      <c r="O3509" t="b">
        <v>0</v>
      </c>
      <c r="P3509">
        <v>72</v>
      </c>
      <c r="Q3509" t="b">
        <v>1</v>
      </c>
      <c r="R3509" t="s">
        <v>8271</v>
      </c>
      <c r="S3509" s="6">
        <f>Table1[[#This Row],[pledged]]/Table1[[#This Row],[goal]]</f>
        <v>1.044</v>
      </c>
      <c r="T3509" s="8">
        <f>IF(Table1[[#This Row],[pledged]]=0,"no backers",Table1[[#This Row],[pledged]]/Table1[[#This Row],[backers_count]])</f>
        <v>145</v>
      </c>
      <c r="U3509" t="str">
        <f>LEFT(Table1[[#This Row],[Category and Sub-Category]],FIND("/",Table1[[#This Row],[Category and Sub-Category]])-1)</f>
        <v>theater</v>
      </c>
      <c r="V3509" t="str">
        <f>RIGHT(Table1[[#This Row],[Category and Sub-Category]],LEN(Table1[[#This Row],[Category and Sub-Category]])-FIND("/",Table1[[#This Row],[Category and Sub-Category]]))</f>
        <v>plays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 s="12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>((Table1[[#This Row],[deadline]]/60)/60/24)+DATE(1970,1,1)</f>
        <v>42500.875</v>
      </c>
      <c r="K3510">
        <v>1460914253</v>
      </c>
      <c r="L3510" s="11">
        <f>((Table1[[#This Row],[launched_at]]/60)/60/24)+DATE(1970,1,1)</f>
        <v>42477.729780092588</v>
      </c>
      <c r="M3510">
        <f>MONTH(Table1[[#This Row],[Date Created Conversion]])</f>
        <v>4</v>
      </c>
      <c r="N3510">
        <f>YEAR(Table1[[#This Row],[Date Created Conversion]])</f>
        <v>2016</v>
      </c>
      <c r="O3510" t="b">
        <v>0</v>
      </c>
      <c r="P3510">
        <v>15</v>
      </c>
      <c r="Q3510" t="b">
        <v>1</v>
      </c>
      <c r="R3510" t="s">
        <v>8271</v>
      </c>
      <c r="S3510" s="6">
        <f>Table1[[#This Row],[pledged]]/Table1[[#This Row],[goal]]</f>
        <v>1.8</v>
      </c>
      <c r="T3510" s="8">
        <f>IF(Table1[[#This Row],[pledged]]=0,"no backers",Table1[[#This Row],[pledged]]/Table1[[#This Row],[backers_count]])</f>
        <v>12</v>
      </c>
      <c r="U3510" t="str">
        <f>LEFT(Table1[[#This Row],[Category and Sub-Category]],FIND("/",Table1[[#This Row],[Category and Sub-Category]])-1)</f>
        <v>theater</v>
      </c>
      <c r="V3510" t="str">
        <f>RIGHT(Table1[[#This Row],[Category and Sub-Category]],LEN(Table1[[#This Row],[Category and Sub-Category]])-FIND("/",Table1[[#This Row],[Category and Sub-Category]]))</f>
        <v>plays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 s="12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>((Table1[[#This Row],[deadline]]/60)/60/24)+DATE(1970,1,1)</f>
        <v>41964.204861111109</v>
      </c>
      <c r="K3511">
        <v>1415392666</v>
      </c>
      <c r="L3511" s="11">
        <f>((Table1[[#This Row],[launched_at]]/60)/60/24)+DATE(1970,1,1)</f>
        <v>41950.859560185185</v>
      </c>
      <c r="M3511">
        <f>MONTH(Table1[[#This Row],[Date Created Conversion]])</f>
        <v>11</v>
      </c>
      <c r="N3511">
        <f>YEAR(Table1[[#This Row],[Date Created Conversion]])</f>
        <v>2014</v>
      </c>
      <c r="O3511" t="b">
        <v>0</v>
      </c>
      <c r="P3511">
        <v>33</v>
      </c>
      <c r="Q3511" t="b">
        <v>1</v>
      </c>
      <c r="R3511" t="s">
        <v>8271</v>
      </c>
      <c r="S3511" s="6">
        <f>Table1[[#This Row],[pledged]]/Table1[[#This Row],[goal]]</f>
        <v>1.0633333333333332</v>
      </c>
      <c r="T3511" s="8">
        <f>IF(Table1[[#This Row],[pledged]]=0,"no backers",Table1[[#This Row],[pledged]]/Table1[[#This Row],[backers_count]])</f>
        <v>96.666666666666671</v>
      </c>
      <c r="U3511" t="str">
        <f>LEFT(Table1[[#This Row],[Category and Sub-Category]],FIND("/",Table1[[#This Row],[Category and Sub-Category]])-1)</f>
        <v>theater</v>
      </c>
      <c r="V3511" t="str">
        <f>RIGHT(Table1[[#This Row],[Category and Sub-Category]],LEN(Table1[[#This Row],[Category and Sub-Category]])-FIND("/",Table1[[#This Row],[Category and Sub-Category]]))</f>
        <v>plays</v>
      </c>
    </row>
    <row r="3512" spans="1:22" ht="57.6" x14ac:dyDescent="0.3">
      <c r="A3512">
        <v>3510</v>
      </c>
      <c r="B3512" s="3" t="s">
        <v>3509</v>
      </c>
      <c r="C3512" s="3" t="s">
        <v>7620</v>
      </c>
      <c r="D3512" s="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>((Table1[[#This Row],[deadline]]/60)/60/24)+DATE(1970,1,1)</f>
        <v>41822.62090277778</v>
      </c>
      <c r="K3512">
        <v>1402584846</v>
      </c>
      <c r="L3512" s="11">
        <f>((Table1[[#This Row],[launched_at]]/60)/60/24)+DATE(1970,1,1)</f>
        <v>41802.62090277778</v>
      </c>
      <c r="M3512">
        <f>MONTH(Table1[[#This Row],[Date Created Conversion]])</f>
        <v>6</v>
      </c>
      <c r="N3512">
        <f>YEAR(Table1[[#This Row],[Date Created Conversion]])</f>
        <v>2014</v>
      </c>
      <c r="O3512" t="b">
        <v>0</v>
      </c>
      <c r="P3512">
        <v>15</v>
      </c>
      <c r="Q3512" t="b">
        <v>1</v>
      </c>
      <c r="R3512" t="s">
        <v>8271</v>
      </c>
      <c r="S3512" s="6">
        <f>Table1[[#This Row],[pledged]]/Table1[[#This Row],[goal]]</f>
        <v>1.0055555555555555</v>
      </c>
      <c r="T3512" s="8">
        <f>IF(Table1[[#This Row],[pledged]]=0,"no backers",Table1[[#This Row],[pledged]]/Table1[[#This Row],[backers_count]])</f>
        <v>60.333333333333336</v>
      </c>
      <c r="U3512" t="str">
        <f>LEFT(Table1[[#This Row],[Category and Sub-Category]],FIND("/",Table1[[#This Row],[Category and Sub-Category]])-1)</f>
        <v>theater</v>
      </c>
      <c r="V3512" t="str">
        <f>RIGHT(Table1[[#This Row],[Category and Sub-Category]],LEN(Table1[[#This Row],[Category and Sub-Category]])-FIND("/",Table1[[#This Row],[Category and Sub-Category]]))</f>
        <v>plays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 s="12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>((Table1[[#This Row],[deadline]]/60)/60/24)+DATE(1970,1,1)</f>
        <v>41950.770833333336</v>
      </c>
      <c r="K3513">
        <v>1413406695</v>
      </c>
      <c r="L3513" s="11">
        <f>((Table1[[#This Row],[launched_at]]/60)/60/24)+DATE(1970,1,1)</f>
        <v>41927.873784722222</v>
      </c>
      <c r="M3513">
        <f>MONTH(Table1[[#This Row],[Date Created Conversion]])</f>
        <v>10</v>
      </c>
      <c r="N3513">
        <f>YEAR(Table1[[#This Row],[Date Created Conversion]])</f>
        <v>2014</v>
      </c>
      <c r="O3513" t="b">
        <v>0</v>
      </c>
      <c r="P3513">
        <v>19</v>
      </c>
      <c r="Q3513" t="b">
        <v>1</v>
      </c>
      <c r="R3513" t="s">
        <v>8271</v>
      </c>
      <c r="S3513" s="6">
        <f>Table1[[#This Row],[pledged]]/Table1[[#This Row],[goal]]</f>
        <v>1.012</v>
      </c>
      <c r="T3513" s="8">
        <f>IF(Table1[[#This Row],[pledged]]=0,"no backers",Table1[[#This Row],[pledged]]/Table1[[#This Row],[backers_count]])</f>
        <v>79.89473684210526</v>
      </c>
      <c r="U3513" t="str">
        <f>LEFT(Table1[[#This Row],[Category and Sub-Category]],FIND("/",Table1[[#This Row],[Category and Sub-Category]])-1)</f>
        <v>theater</v>
      </c>
      <c r="V3513" t="str">
        <f>RIGHT(Table1[[#This Row],[Category and Sub-Category]],LEN(Table1[[#This Row],[Category and Sub-Category]])-FIND("/",Table1[[#This Row],[Category and Sub-Category]]))</f>
        <v>plays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 s="12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>((Table1[[#This Row],[deadline]]/60)/60/24)+DATE(1970,1,1)</f>
        <v>42117.49527777778</v>
      </c>
      <c r="K3514">
        <v>1424609592</v>
      </c>
      <c r="L3514" s="11">
        <f>((Table1[[#This Row],[launched_at]]/60)/60/24)+DATE(1970,1,1)</f>
        <v>42057.536944444444</v>
      </c>
      <c r="M3514">
        <f>MONTH(Table1[[#This Row],[Date Created Conversion]])</f>
        <v>2</v>
      </c>
      <c r="N3514">
        <f>YEAR(Table1[[#This Row],[Date Created Conversion]])</f>
        <v>2015</v>
      </c>
      <c r="O3514" t="b">
        <v>0</v>
      </c>
      <c r="P3514">
        <v>17</v>
      </c>
      <c r="Q3514" t="b">
        <v>1</v>
      </c>
      <c r="R3514" t="s">
        <v>8271</v>
      </c>
      <c r="S3514" s="6">
        <f>Table1[[#This Row],[pledged]]/Table1[[#This Row],[goal]]</f>
        <v>1</v>
      </c>
      <c r="T3514" s="8">
        <f>IF(Table1[[#This Row],[pledged]]=0,"no backers",Table1[[#This Row],[pledged]]/Table1[[#This Row],[backers_count]])</f>
        <v>58.823529411764703</v>
      </c>
      <c r="U3514" t="str">
        <f>LEFT(Table1[[#This Row],[Category and Sub-Category]],FIND("/",Table1[[#This Row],[Category and Sub-Category]])-1)</f>
        <v>theater</v>
      </c>
      <c r="V3514" t="str">
        <f>RIGHT(Table1[[#This Row],[Category and Sub-Category]],LEN(Table1[[#This Row],[Category and Sub-Category]])-FIND("/",Table1[[#This Row],[Category and Sub-Category]]))</f>
        <v>plays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 s="12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>((Table1[[#This Row],[deadline]]/60)/60/24)+DATE(1970,1,1)</f>
        <v>41794.207638888889</v>
      </c>
      <c r="K3515">
        <v>1400725112</v>
      </c>
      <c r="L3515" s="11">
        <f>((Table1[[#This Row],[launched_at]]/60)/60/24)+DATE(1970,1,1)</f>
        <v>41781.096203703702</v>
      </c>
      <c r="M3515">
        <f>MONTH(Table1[[#This Row],[Date Created Conversion]])</f>
        <v>5</v>
      </c>
      <c r="N3515">
        <f>YEAR(Table1[[#This Row],[Date Created Conversion]])</f>
        <v>2014</v>
      </c>
      <c r="O3515" t="b">
        <v>0</v>
      </c>
      <c r="P3515">
        <v>44</v>
      </c>
      <c r="Q3515" t="b">
        <v>1</v>
      </c>
      <c r="R3515" t="s">
        <v>8271</v>
      </c>
      <c r="S3515" s="6">
        <f>Table1[[#This Row],[pledged]]/Table1[[#This Row],[goal]]</f>
        <v>1.1839285714285714</v>
      </c>
      <c r="T3515" s="8">
        <f>IF(Table1[[#This Row],[pledged]]=0,"no backers",Table1[[#This Row],[pledged]]/Table1[[#This Row],[backers_count]])</f>
        <v>75.340909090909093</v>
      </c>
      <c r="U3515" t="str">
        <f>LEFT(Table1[[#This Row],[Category and Sub-Category]],FIND("/",Table1[[#This Row],[Category and Sub-Category]])-1)</f>
        <v>theater</v>
      </c>
      <c r="V3515" t="str">
        <f>RIGHT(Table1[[#This Row],[Category and Sub-Category]],LEN(Table1[[#This Row],[Category and Sub-Category]])-FIND("/",Table1[[#This Row],[Category and Sub-Category]]))</f>
        <v>plays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 s="12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>((Table1[[#This Row],[deadline]]/60)/60/24)+DATE(1970,1,1)</f>
        <v>42037.207638888889</v>
      </c>
      <c r="K3516">
        <v>1421439552</v>
      </c>
      <c r="L3516" s="11">
        <f>((Table1[[#This Row],[launched_at]]/60)/60/24)+DATE(1970,1,1)</f>
        <v>42020.846666666665</v>
      </c>
      <c r="M3516">
        <f>MONTH(Table1[[#This Row],[Date Created Conversion]])</f>
        <v>1</v>
      </c>
      <c r="N3516">
        <f>YEAR(Table1[[#This Row],[Date Created Conversion]])</f>
        <v>2015</v>
      </c>
      <c r="O3516" t="b">
        <v>0</v>
      </c>
      <c r="P3516">
        <v>10</v>
      </c>
      <c r="Q3516" t="b">
        <v>1</v>
      </c>
      <c r="R3516" t="s">
        <v>8271</v>
      </c>
      <c r="S3516" s="6">
        <f>Table1[[#This Row],[pledged]]/Table1[[#This Row],[goal]]</f>
        <v>1.1000000000000001</v>
      </c>
      <c r="T3516" s="8">
        <f>IF(Table1[[#This Row],[pledged]]=0,"no backers",Table1[[#This Row],[pledged]]/Table1[[#This Row],[backers_count]])</f>
        <v>55</v>
      </c>
      <c r="U3516" t="str">
        <f>LEFT(Table1[[#This Row],[Category and Sub-Category]],FIND("/",Table1[[#This Row],[Category and Sub-Category]])-1)</f>
        <v>theater</v>
      </c>
      <c r="V3516" t="str">
        <f>RIGHT(Table1[[#This Row],[Category and Sub-Category]],LEN(Table1[[#This Row],[Category and Sub-Category]])-FIND("/",Table1[[#This Row],[Category and Sub-Category]]))</f>
        <v>plays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 s="12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>((Table1[[#This Row],[deadline]]/60)/60/24)+DATE(1970,1,1)</f>
        <v>42155.772812499999</v>
      </c>
      <c r="K3517">
        <v>1430505171</v>
      </c>
      <c r="L3517" s="11">
        <f>((Table1[[#This Row],[launched_at]]/60)/60/24)+DATE(1970,1,1)</f>
        <v>42125.772812499999</v>
      </c>
      <c r="M3517">
        <f>MONTH(Table1[[#This Row],[Date Created Conversion]])</f>
        <v>5</v>
      </c>
      <c r="N3517">
        <f>YEAR(Table1[[#This Row],[Date Created Conversion]])</f>
        <v>2015</v>
      </c>
      <c r="O3517" t="b">
        <v>0</v>
      </c>
      <c r="P3517">
        <v>46</v>
      </c>
      <c r="Q3517" t="b">
        <v>1</v>
      </c>
      <c r="R3517" t="s">
        <v>8271</v>
      </c>
      <c r="S3517" s="6">
        <f>Table1[[#This Row],[pledged]]/Table1[[#This Row],[goal]]</f>
        <v>1.0266666666666666</v>
      </c>
      <c r="T3517" s="8">
        <f>IF(Table1[[#This Row],[pledged]]=0,"no backers",Table1[[#This Row],[pledged]]/Table1[[#This Row],[backers_count]])</f>
        <v>66.956521739130437</v>
      </c>
      <c r="U3517" t="str">
        <f>LEFT(Table1[[#This Row],[Category and Sub-Category]],FIND("/",Table1[[#This Row],[Category and Sub-Category]])-1)</f>
        <v>theater</v>
      </c>
      <c r="V3517" t="str">
        <f>RIGHT(Table1[[#This Row],[Category and Sub-Category]],LEN(Table1[[#This Row],[Category and Sub-Category]])-FIND("/",Table1[[#This Row],[Category and Sub-Category]]))</f>
        <v>plays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 s="12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>((Table1[[#This Row],[deadline]]/60)/60/24)+DATE(1970,1,1)</f>
        <v>41890.125</v>
      </c>
      <c r="K3518">
        <v>1407197670</v>
      </c>
      <c r="L3518" s="11">
        <f>((Table1[[#This Row],[launched_at]]/60)/60/24)+DATE(1970,1,1)</f>
        <v>41856.010069444441</v>
      </c>
      <c r="M3518">
        <f>MONTH(Table1[[#This Row],[Date Created Conversion]])</f>
        <v>8</v>
      </c>
      <c r="N3518">
        <f>YEAR(Table1[[#This Row],[Date Created Conversion]])</f>
        <v>2014</v>
      </c>
      <c r="O3518" t="b">
        <v>0</v>
      </c>
      <c r="P3518">
        <v>11</v>
      </c>
      <c r="Q3518" t="b">
        <v>1</v>
      </c>
      <c r="R3518" t="s">
        <v>8271</v>
      </c>
      <c r="S3518" s="6">
        <f>Table1[[#This Row],[pledged]]/Table1[[#This Row],[goal]]</f>
        <v>1</v>
      </c>
      <c r="T3518" s="8">
        <f>IF(Table1[[#This Row],[pledged]]=0,"no backers",Table1[[#This Row],[pledged]]/Table1[[#This Row],[backers_count]])</f>
        <v>227.27272727272728</v>
      </c>
      <c r="U3518" t="str">
        <f>LEFT(Table1[[#This Row],[Category and Sub-Category]],FIND("/",Table1[[#This Row],[Category and Sub-Category]])-1)</f>
        <v>theater</v>
      </c>
      <c r="V3518" t="str">
        <f>RIGHT(Table1[[#This Row],[Category and Sub-Category]],LEN(Table1[[#This Row],[Category and Sub-Category]])-FIND("/",Table1[[#This Row],[Category and Sub-Category]]))</f>
        <v>plays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 s="12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>((Table1[[#This Row],[deadline]]/60)/60/24)+DATE(1970,1,1)</f>
        <v>41824.458333333336</v>
      </c>
      <c r="K3519">
        <v>1401910634</v>
      </c>
      <c r="L3519" s="11">
        <f>((Table1[[#This Row],[launched_at]]/60)/60/24)+DATE(1970,1,1)</f>
        <v>41794.817523148151</v>
      </c>
      <c r="M3519">
        <f>MONTH(Table1[[#This Row],[Date Created Conversion]])</f>
        <v>6</v>
      </c>
      <c r="N3519">
        <f>YEAR(Table1[[#This Row],[Date Created Conversion]])</f>
        <v>2014</v>
      </c>
      <c r="O3519" t="b">
        <v>0</v>
      </c>
      <c r="P3519">
        <v>13</v>
      </c>
      <c r="Q3519" t="b">
        <v>1</v>
      </c>
      <c r="R3519" t="s">
        <v>8271</v>
      </c>
      <c r="S3519" s="6">
        <f>Table1[[#This Row],[pledged]]/Table1[[#This Row],[goal]]</f>
        <v>1</v>
      </c>
      <c r="T3519" s="8">
        <f>IF(Table1[[#This Row],[pledged]]=0,"no backers",Table1[[#This Row],[pledged]]/Table1[[#This Row],[backers_count]])</f>
        <v>307.69230769230768</v>
      </c>
      <c r="U3519" t="str">
        <f>LEFT(Table1[[#This Row],[Category and Sub-Category]],FIND("/",Table1[[#This Row],[Category and Sub-Category]])-1)</f>
        <v>theater</v>
      </c>
      <c r="V3519" t="str">
        <f>RIGHT(Table1[[#This Row],[Category and Sub-Category]],LEN(Table1[[#This Row],[Category and Sub-Category]])-FIND("/",Table1[[#This Row],[Category and Sub-Category]]))</f>
        <v>plays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 s="12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>((Table1[[#This Row],[deadline]]/60)/60/24)+DATE(1970,1,1)</f>
        <v>41914.597916666666</v>
      </c>
      <c r="K3520">
        <v>1410461299</v>
      </c>
      <c r="L3520" s="11">
        <f>((Table1[[#This Row],[launched_at]]/60)/60/24)+DATE(1970,1,1)</f>
        <v>41893.783553240741</v>
      </c>
      <c r="M3520">
        <f>MONTH(Table1[[#This Row],[Date Created Conversion]])</f>
        <v>9</v>
      </c>
      <c r="N3520">
        <f>YEAR(Table1[[#This Row],[Date Created Conversion]])</f>
        <v>2014</v>
      </c>
      <c r="O3520" t="b">
        <v>0</v>
      </c>
      <c r="P3520">
        <v>33</v>
      </c>
      <c r="Q3520" t="b">
        <v>1</v>
      </c>
      <c r="R3520" t="s">
        <v>8271</v>
      </c>
      <c r="S3520" s="6">
        <f>Table1[[#This Row],[pledged]]/Table1[[#This Row],[goal]]</f>
        <v>1.10046</v>
      </c>
      <c r="T3520" s="8">
        <f>IF(Table1[[#This Row],[pledged]]=0,"no backers",Table1[[#This Row],[pledged]]/Table1[[#This Row],[backers_count]])</f>
        <v>50.020909090909093</v>
      </c>
      <c r="U3520" t="str">
        <f>LEFT(Table1[[#This Row],[Category and Sub-Category]],FIND("/",Table1[[#This Row],[Category and Sub-Category]])-1)</f>
        <v>theater</v>
      </c>
      <c r="V3520" t="str">
        <f>RIGHT(Table1[[#This Row],[Category and Sub-Category]],LEN(Table1[[#This Row],[Category and Sub-Category]])-FIND("/",Table1[[#This Row],[Category and Sub-Category]]))</f>
        <v>plays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 s="12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>((Table1[[#This Row],[deadline]]/60)/60/24)+DATE(1970,1,1)</f>
        <v>42067.598958333328</v>
      </c>
      <c r="K3521">
        <v>1422886950</v>
      </c>
      <c r="L3521" s="11">
        <f>((Table1[[#This Row],[launched_at]]/60)/60/24)+DATE(1970,1,1)</f>
        <v>42037.598958333328</v>
      </c>
      <c r="M3521">
        <f>MONTH(Table1[[#This Row],[Date Created Conversion]])</f>
        <v>2</v>
      </c>
      <c r="N3521">
        <f>YEAR(Table1[[#This Row],[Date Created Conversion]])</f>
        <v>2015</v>
      </c>
      <c r="O3521" t="b">
        <v>0</v>
      </c>
      <c r="P3521">
        <v>28</v>
      </c>
      <c r="Q3521" t="b">
        <v>1</v>
      </c>
      <c r="R3521" t="s">
        <v>8271</v>
      </c>
      <c r="S3521" s="6">
        <f>Table1[[#This Row],[pledged]]/Table1[[#This Row],[goal]]</f>
        <v>1.0135000000000001</v>
      </c>
      <c r="T3521" s="8">
        <f>IF(Table1[[#This Row],[pledged]]=0,"no backers",Table1[[#This Row],[pledged]]/Table1[[#This Row],[backers_count]])</f>
        <v>72.392857142857139</v>
      </c>
      <c r="U3521" t="str">
        <f>LEFT(Table1[[#This Row],[Category and Sub-Category]],FIND("/",Table1[[#This Row],[Category and Sub-Category]])-1)</f>
        <v>theater</v>
      </c>
      <c r="V3521" t="str">
        <f>RIGHT(Table1[[#This Row],[Category and Sub-Category]],LEN(Table1[[#This Row],[Category and Sub-Category]])-FIND("/",Table1[[#This Row],[Category and Sub-Category]]))</f>
        <v>plays</v>
      </c>
    </row>
    <row r="3522" spans="1:22" ht="43.2" x14ac:dyDescent="0.3">
      <c r="A3522">
        <v>3520</v>
      </c>
      <c r="B3522" s="3" t="s">
        <v>3519</v>
      </c>
      <c r="C3522" s="3" t="s">
        <v>7630</v>
      </c>
      <c r="D3522" s="1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>((Table1[[#This Row],[deadline]]/60)/60/24)+DATE(1970,1,1)</f>
        <v>42253.57430555555</v>
      </c>
      <c r="K3522">
        <v>1439322412</v>
      </c>
      <c r="L3522" s="11">
        <f>((Table1[[#This Row],[launched_at]]/60)/60/24)+DATE(1970,1,1)</f>
        <v>42227.824212962965</v>
      </c>
      <c r="M3522">
        <f>MONTH(Table1[[#This Row],[Date Created Conversion]])</f>
        <v>8</v>
      </c>
      <c r="N3522">
        <f>YEAR(Table1[[#This Row],[Date Created Conversion]])</f>
        <v>2015</v>
      </c>
      <c r="O3522" t="b">
        <v>0</v>
      </c>
      <c r="P3522">
        <v>21</v>
      </c>
      <c r="Q3522" t="b">
        <v>1</v>
      </c>
      <c r="R3522" t="s">
        <v>8271</v>
      </c>
      <c r="S3522" s="6">
        <f>Table1[[#This Row],[pledged]]/Table1[[#This Row],[goal]]</f>
        <v>1.0075000000000001</v>
      </c>
      <c r="T3522" s="8">
        <f>IF(Table1[[#This Row],[pledged]]=0,"no backers",Table1[[#This Row],[pledged]]/Table1[[#This Row],[backers_count]])</f>
        <v>95.952380952380949</v>
      </c>
      <c r="U3522" t="str">
        <f>LEFT(Table1[[#This Row],[Category and Sub-Category]],FIND("/",Table1[[#This Row],[Category and Sub-Category]])-1)</f>
        <v>theater</v>
      </c>
      <c r="V3522" t="str">
        <f>RIGHT(Table1[[#This Row],[Category and Sub-Category]],LEN(Table1[[#This Row],[Category and Sub-Category]])-FIND("/",Table1[[#This Row],[Category and Sub-Category]]))</f>
        <v>plays</v>
      </c>
    </row>
    <row r="3523" spans="1:22" ht="57.6" x14ac:dyDescent="0.3">
      <c r="A3523">
        <v>3521</v>
      </c>
      <c r="B3523" s="3" t="s">
        <v>3520</v>
      </c>
      <c r="C3523" s="3" t="s">
        <v>7631</v>
      </c>
      <c r="D3523" s="12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>((Table1[[#This Row],[deadline]]/60)/60/24)+DATE(1970,1,1)</f>
        <v>41911.361342592594</v>
      </c>
      <c r="K3523">
        <v>1409388020</v>
      </c>
      <c r="L3523" s="11">
        <f>((Table1[[#This Row],[launched_at]]/60)/60/24)+DATE(1970,1,1)</f>
        <v>41881.361342592594</v>
      </c>
      <c r="M3523">
        <f>MONTH(Table1[[#This Row],[Date Created Conversion]])</f>
        <v>8</v>
      </c>
      <c r="N3523">
        <f>YEAR(Table1[[#This Row],[Date Created Conversion]])</f>
        <v>2014</v>
      </c>
      <c r="O3523" t="b">
        <v>0</v>
      </c>
      <c r="P3523">
        <v>13</v>
      </c>
      <c r="Q3523" t="b">
        <v>1</v>
      </c>
      <c r="R3523" t="s">
        <v>8271</v>
      </c>
      <c r="S3523" s="6">
        <f>Table1[[#This Row],[pledged]]/Table1[[#This Row],[goal]]</f>
        <v>1.6942857142857144</v>
      </c>
      <c r="T3523" s="8">
        <f>IF(Table1[[#This Row],[pledged]]=0,"no backers",Table1[[#This Row],[pledged]]/Table1[[#This Row],[backers_count]])</f>
        <v>45.615384615384613</v>
      </c>
      <c r="U3523" t="str">
        <f>LEFT(Table1[[#This Row],[Category and Sub-Category]],FIND("/",Table1[[#This Row],[Category and Sub-Category]])-1)</f>
        <v>theater</v>
      </c>
      <c r="V3523" t="str">
        <f>RIGHT(Table1[[#This Row],[Category and Sub-Category]],LEN(Table1[[#This Row],[Category and Sub-Category]])-FIND("/",Table1[[#This Row],[Category and Sub-Category]]))</f>
        <v>plays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 s="12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>((Table1[[#This Row],[deadline]]/60)/60/24)+DATE(1970,1,1)</f>
        <v>42262.420833333337</v>
      </c>
      <c r="K3524">
        <v>1439924246</v>
      </c>
      <c r="L3524" s="11">
        <f>((Table1[[#This Row],[launched_at]]/60)/60/24)+DATE(1970,1,1)</f>
        <v>42234.789884259255</v>
      </c>
      <c r="M3524">
        <f>MONTH(Table1[[#This Row],[Date Created Conversion]])</f>
        <v>8</v>
      </c>
      <c r="N3524">
        <f>YEAR(Table1[[#This Row],[Date Created Conversion]])</f>
        <v>2015</v>
      </c>
      <c r="O3524" t="b">
        <v>0</v>
      </c>
      <c r="P3524">
        <v>34</v>
      </c>
      <c r="Q3524" t="b">
        <v>1</v>
      </c>
      <c r="R3524" t="s">
        <v>8271</v>
      </c>
      <c r="S3524" s="6">
        <f>Table1[[#This Row],[pledged]]/Table1[[#This Row],[goal]]</f>
        <v>1</v>
      </c>
      <c r="T3524" s="8">
        <f>IF(Table1[[#This Row],[pledged]]=0,"no backers",Table1[[#This Row],[pledged]]/Table1[[#This Row],[backers_count]])</f>
        <v>41.029411764705884</v>
      </c>
      <c r="U3524" t="str">
        <f>LEFT(Table1[[#This Row],[Category and Sub-Category]],FIND("/",Table1[[#This Row],[Category and Sub-Category]])-1)</f>
        <v>theater</v>
      </c>
      <c r="V3524" t="str">
        <f>RIGHT(Table1[[#This Row],[Category and Sub-Category]],LEN(Table1[[#This Row],[Category and Sub-Category]])-FIND("/",Table1[[#This Row],[Category and Sub-Category]]))</f>
        <v>plays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 s="12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>((Table1[[#This Row],[deadline]]/60)/60/24)+DATE(1970,1,1)</f>
        <v>42638.958333333328</v>
      </c>
      <c r="K3525">
        <v>1469871148</v>
      </c>
      <c r="L3525" s="11">
        <f>((Table1[[#This Row],[launched_at]]/60)/60/24)+DATE(1970,1,1)</f>
        <v>42581.397546296299</v>
      </c>
      <c r="M3525">
        <f>MONTH(Table1[[#This Row],[Date Created Conversion]])</f>
        <v>7</v>
      </c>
      <c r="N3525">
        <f>YEAR(Table1[[#This Row],[Date Created Conversion]])</f>
        <v>2016</v>
      </c>
      <c r="O3525" t="b">
        <v>0</v>
      </c>
      <c r="P3525">
        <v>80</v>
      </c>
      <c r="Q3525" t="b">
        <v>1</v>
      </c>
      <c r="R3525" t="s">
        <v>8271</v>
      </c>
      <c r="S3525" s="6">
        <f>Table1[[#This Row],[pledged]]/Table1[[#This Row],[goal]]</f>
        <v>1.1365000000000001</v>
      </c>
      <c r="T3525" s="8">
        <f>IF(Table1[[#This Row],[pledged]]=0,"no backers",Table1[[#This Row],[pledged]]/Table1[[#This Row],[backers_count]])</f>
        <v>56.825000000000003</v>
      </c>
      <c r="U3525" t="str">
        <f>LEFT(Table1[[#This Row],[Category and Sub-Category]],FIND("/",Table1[[#This Row],[Category and Sub-Category]])-1)</f>
        <v>theater</v>
      </c>
      <c r="V3525" t="str">
        <f>RIGHT(Table1[[#This Row],[Category and Sub-Category]],LEN(Table1[[#This Row],[Category and Sub-Category]])-FIND("/",Table1[[#This Row],[Category and Sub-Category]]))</f>
        <v>plays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 s="12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>((Table1[[#This Row],[deadline]]/60)/60/24)+DATE(1970,1,1)</f>
        <v>41895.166666666664</v>
      </c>
      <c r="K3526">
        <v>1409336373</v>
      </c>
      <c r="L3526" s="11">
        <f>((Table1[[#This Row],[launched_at]]/60)/60/24)+DATE(1970,1,1)</f>
        <v>41880.76357638889</v>
      </c>
      <c r="M3526">
        <f>MONTH(Table1[[#This Row],[Date Created Conversion]])</f>
        <v>8</v>
      </c>
      <c r="N3526">
        <f>YEAR(Table1[[#This Row],[Date Created Conversion]])</f>
        <v>2014</v>
      </c>
      <c r="O3526" t="b">
        <v>0</v>
      </c>
      <c r="P3526">
        <v>74</v>
      </c>
      <c r="Q3526" t="b">
        <v>1</v>
      </c>
      <c r="R3526" t="s">
        <v>8271</v>
      </c>
      <c r="S3526" s="6">
        <f>Table1[[#This Row],[pledged]]/Table1[[#This Row],[goal]]</f>
        <v>1.0156000000000001</v>
      </c>
      <c r="T3526" s="8">
        <f>IF(Table1[[#This Row],[pledged]]=0,"no backers",Table1[[#This Row],[pledged]]/Table1[[#This Row],[backers_count]])</f>
        <v>137.24324324324326</v>
      </c>
      <c r="U3526" t="str">
        <f>LEFT(Table1[[#This Row],[Category and Sub-Category]],FIND("/",Table1[[#This Row],[Category and Sub-Category]])-1)</f>
        <v>theater</v>
      </c>
      <c r="V3526" t="str">
        <f>RIGHT(Table1[[#This Row],[Category and Sub-Category]],LEN(Table1[[#This Row],[Category and Sub-Category]])-FIND("/",Table1[[#This Row],[Category and Sub-Category]]))</f>
        <v>plays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 s="12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>((Table1[[#This Row],[deadline]]/60)/60/24)+DATE(1970,1,1)</f>
        <v>42225.666666666672</v>
      </c>
      <c r="K3527">
        <v>1438188106</v>
      </c>
      <c r="L3527" s="11">
        <f>((Table1[[#This Row],[launched_at]]/60)/60/24)+DATE(1970,1,1)</f>
        <v>42214.6956712963</v>
      </c>
      <c r="M3527">
        <f>MONTH(Table1[[#This Row],[Date Created Conversion]])</f>
        <v>7</v>
      </c>
      <c r="N3527">
        <f>YEAR(Table1[[#This Row],[Date Created Conversion]])</f>
        <v>2015</v>
      </c>
      <c r="O3527" t="b">
        <v>0</v>
      </c>
      <c r="P3527">
        <v>7</v>
      </c>
      <c r="Q3527" t="b">
        <v>1</v>
      </c>
      <c r="R3527" t="s">
        <v>8271</v>
      </c>
      <c r="S3527" s="6">
        <f>Table1[[#This Row],[pledged]]/Table1[[#This Row],[goal]]</f>
        <v>1.06</v>
      </c>
      <c r="T3527" s="8">
        <f>IF(Table1[[#This Row],[pledged]]=0,"no backers",Table1[[#This Row],[pledged]]/Table1[[#This Row],[backers_count]])</f>
        <v>75.714285714285708</v>
      </c>
      <c r="U3527" t="str">
        <f>LEFT(Table1[[#This Row],[Category and Sub-Category]],FIND("/",Table1[[#This Row],[Category and Sub-Category]])-1)</f>
        <v>theater</v>
      </c>
      <c r="V3527" t="str">
        <f>RIGHT(Table1[[#This Row],[Category and Sub-Category]],LEN(Table1[[#This Row],[Category and Sub-Category]])-FIND("/",Table1[[#This Row],[Category and Sub-Category]]))</f>
        <v>plays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 s="12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>((Table1[[#This Row],[deadline]]/60)/60/24)+DATE(1970,1,1)</f>
        <v>42488.249305555553</v>
      </c>
      <c r="K3528">
        <v>1459411371</v>
      </c>
      <c r="L3528" s="11">
        <f>((Table1[[#This Row],[launched_at]]/60)/60/24)+DATE(1970,1,1)</f>
        <v>42460.335312499999</v>
      </c>
      <c r="M3528">
        <f>MONTH(Table1[[#This Row],[Date Created Conversion]])</f>
        <v>3</v>
      </c>
      <c r="N3528">
        <f>YEAR(Table1[[#This Row],[Date Created Conversion]])</f>
        <v>2016</v>
      </c>
      <c r="O3528" t="b">
        <v>0</v>
      </c>
      <c r="P3528">
        <v>34</v>
      </c>
      <c r="Q3528" t="b">
        <v>1</v>
      </c>
      <c r="R3528" t="s">
        <v>8271</v>
      </c>
      <c r="S3528" s="6">
        <f>Table1[[#This Row],[pledged]]/Table1[[#This Row],[goal]]</f>
        <v>1.02</v>
      </c>
      <c r="T3528" s="8">
        <f>IF(Table1[[#This Row],[pledged]]=0,"no backers",Table1[[#This Row],[pledged]]/Table1[[#This Row],[backers_count]])</f>
        <v>99</v>
      </c>
      <c r="U3528" t="str">
        <f>LEFT(Table1[[#This Row],[Category and Sub-Category]],FIND("/",Table1[[#This Row],[Category and Sub-Category]])-1)</f>
        <v>theater</v>
      </c>
      <c r="V3528" t="str">
        <f>RIGHT(Table1[[#This Row],[Category and Sub-Category]],LEN(Table1[[#This Row],[Category and Sub-Category]])-FIND("/",Table1[[#This Row],[Category and Sub-Category]]))</f>
        <v>plays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 s="12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>((Table1[[#This Row],[deadline]]/60)/60/24)+DATE(1970,1,1)</f>
        <v>42196.165972222225</v>
      </c>
      <c r="K3529">
        <v>1434069205</v>
      </c>
      <c r="L3529" s="11">
        <f>((Table1[[#This Row],[launched_at]]/60)/60/24)+DATE(1970,1,1)</f>
        <v>42167.023206018523</v>
      </c>
      <c r="M3529">
        <f>MONTH(Table1[[#This Row],[Date Created Conversion]])</f>
        <v>6</v>
      </c>
      <c r="N3529">
        <f>YEAR(Table1[[#This Row],[Date Created Conversion]])</f>
        <v>2015</v>
      </c>
      <c r="O3529" t="b">
        <v>0</v>
      </c>
      <c r="P3529">
        <v>86</v>
      </c>
      <c r="Q3529" t="b">
        <v>1</v>
      </c>
      <c r="R3529" t="s">
        <v>8271</v>
      </c>
      <c r="S3529" s="6">
        <f>Table1[[#This Row],[pledged]]/Table1[[#This Row],[goal]]</f>
        <v>1.1691666666666667</v>
      </c>
      <c r="T3529" s="8">
        <f>IF(Table1[[#This Row],[pledged]]=0,"no backers",Table1[[#This Row],[pledged]]/Table1[[#This Row],[backers_count]])</f>
        <v>81.569767441860463</v>
      </c>
      <c r="U3529" t="str">
        <f>LEFT(Table1[[#This Row],[Category and Sub-Category]],FIND("/",Table1[[#This Row],[Category and Sub-Category]])-1)</f>
        <v>theater</v>
      </c>
      <c r="V3529" t="str">
        <f>RIGHT(Table1[[#This Row],[Category and Sub-Category]],LEN(Table1[[#This Row],[Category and Sub-Category]])-FIND("/",Table1[[#This Row],[Category and Sub-Category]]))</f>
        <v>plays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 s="12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>((Table1[[#This Row],[deadline]]/60)/60/24)+DATE(1970,1,1)</f>
        <v>42753.50136574074</v>
      </c>
      <c r="K3530">
        <v>1483012918</v>
      </c>
      <c r="L3530" s="11">
        <f>((Table1[[#This Row],[launched_at]]/60)/60/24)+DATE(1970,1,1)</f>
        <v>42733.50136574074</v>
      </c>
      <c r="M3530">
        <f>MONTH(Table1[[#This Row],[Date Created Conversion]])</f>
        <v>12</v>
      </c>
      <c r="N3530">
        <f>YEAR(Table1[[#This Row],[Date Created Conversion]])</f>
        <v>2016</v>
      </c>
      <c r="O3530" t="b">
        <v>0</v>
      </c>
      <c r="P3530">
        <v>37</v>
      </c>
      <c r="Q3530" t="b">
        <v>1</v>
      </c>
      <c r="R3530" t="s">
        <v>8271</v>
      </c>
      <c r="S3530" s="6">
        <f>Table1[[#This Row],[pledged]]/Table1[[#This Row],[goal]]</f>
        <v>1.0115151515151515</v>
      </c>
      <c r="T3530" s="8">
        <f>IF(Table1[[#This Row],[pledged]]=0,"no backers",Table1[[#This Row],[pledged]]/Table1[[#This Row],[backers_count]])</f>
        <v>45.108108108108105</v>
      </c>
      <c r="U3530" t="str">
        <f>LEFT(Table1[[#This Row],[Category and Sub-Category]],FIND("/",Table1[[#This Row],[Category and Sub-Category]])-1)</f>
        <v>theater</v>
      </c>
      <c r="V3530" t="str">
        <f>RIGHT(Table1[[#This Row],[Category and Sub-Category]],LEN(Table1[[#This Row],[Category and Sub-Category]])-FIND("/",Table1[[#This Row],[Category and Sub-Category]]))</f>
        <v>plays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 s="12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>((Table1[[#This Row],[deadline]]/60)/60/24)+DATE(1970,1,1)</f>
        <v>42198.041666666672</v>
      </c>
      <c r="K3531">
        <v>1434997018</v>
      </c>
      <c r="L3531" s="11">
        <f>((Table1[[#This Row],[launched_at]]/60)/60/24)+DATE(1970,1,1)</f>
        <v>42177.761782407411</v>
      </c>
      <c r="M3531">
        <f>MONTH(Table1[[#This Row],[Date Created Conversion]])</f>
        <v>6</v>
      </c>
      <c r="N3531">
        <f>YEAR(Table1[[#This Row],[Date Created Conversion]])</f>
        <v>2015</v>
      </c>
      <c r="O3531" t="b">
        <v>0</v>
      </c>
      <c r="P3531">
        <v>18</v>
      </c>
      <c r="Q3531" t="b">
        <v>1</v>
      </c>
      <c r="R3531" t="s">
        <v>8271</v>
      </c>
      <c r="S3531" s="6">
        <f>Table1[[#This Row],[pledged]]/Table1[[#This Row],[goal]]</f>
        <v>1.32</v>
      </c>
      <c r="T3531" s="8">
        <f>IF(Table1[[#This Row],[pledged]]=0,"no backers",Table1[[#This Row],[pledged]]/Table1[[#This Row],[backers_count]])</f>
        <v>36.666666666666664</v>
      </c>
      <c r="U3531" t="str">
        <f>LEFT(Table1[[#This Row],[Category and Sub-Category]],FIND("/",Table1[[#This Row],[Category and Sub-Category]])-1)</f>
        <v>theater</v>
      </c>
      <c r="V3531" t="str">
        <f>RIGHT(Table1[[#This Row],[Category and Sub-Category]],LEN(Table1[[#This Row],[Category and Sub-Category]])-FIND("/",Table1[[#This Row],[Category and Sub-Category]]))</f>
        <v>plays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 s="1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>((Table1[[#This Row],[deadline]]/60)/60/24)+DATE(1970,1,1)</f>
        <v>42470.833333333328</v>
      </c>
      <c r="K3532">
        <v>1457881057</v>
      </c>
      <c r="L3532" s="11">
        <f>((Table1[[#This Row],[launched_at]]/60)/60/24)+DATE(1970,1,1)</f>
        <v>42442.623344907406</v>
      </c>
      <c r="M3532">
        <f>MONTH(Table1[[#This Row],[Date Created Conversion]])</f>
        <v>3</v>
      </c>
      <c r="N3532">
        <f>YEAR(Table1[[#This Row],[Date Created Conversion]])</f>
        <v>2016</v>
      </c>
      <c r="O3532" t="b">
        <v>0</v>
      </c>
      <c r="P3532">
        <v>22</v>
      </c>
      <c r="Q3532" t="b">
        <v>1</v>
      </c>
      <c r="R3532" t="s">
        <v>8271</v>
      </c>
      <c r="S3532" s="6">
        <f>Table1[[#This Row],[pledged]]/Table1[[#This Row],[goal]]</f>
        <v>1</v>
      </c>
      <c r="T3532" s="8">
        <f>IF(Table1[[#This Row],[pledged]]=0,"no backers",Table1[[#This Row],[pledged]]/Table1[[#This Row],[backers_count]])</f>
        <v>125</v>
      </c>
      <c r="U3532" t="str">
        <f>LEFT(Table1[[#This Row],[Category and Sub-Category]],FIND("/",Table1[[#This Row],[Category and Sub-Category]])-1)</f>
        <v>theater</v>
      </c>
      <c r="V3532" t="str">
        <f>RIGHT(Table1[[#This Row],[Category and Sub-Category]],LEN(Table1[[#This Row],[Category and Sub-Category]])-FIND("/",Table1[[#This Row],[Category and Sub-Category]]))</f>
        <v>plays</v>
      </c>
    </row>
    <row r="3533" spans="1:22" x14ac:dyDescent="0.3">
      <c r="A3533">
        <v>3531</v>
      </c>
      <c r="B3533" s="3" t="s">
        <v>3530</v>
      </c>
      <c r="C3533" s="3" t="s">
        <v>7641</v>
      </c>
      <c r="D3533" s="12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>((Table1[[#This Row],[deadline]]/60)/60/24)+DATE(1970,1,1)</f>
        <v>42551.654328703706</v>
      </c>
      <c r="K3533">
        <v>1464709334</v>
      </c>
      <c r="L3533" s="11">
        <f>((Table1[[#This Row],[launched_at]]/60)/60/24)+DATE(1970,1,1)</f>
        <v>42521.654328703706</v>
      </c>
      <c r="M3533">
        <f>MONTH(Table1[[#This Row],[Date Created Conversion]])</f>
        <v>5</v>
      </c>
      <c r="N3533">
        <f>YEAR(Table1[[#This Row],[Date Created Conversion]])</f>
        <v>2016</v>
      </c>
      <c r="O3533" t="b">
        <v>0</v>
      </c>
      <c r="P3533">
        <v>26</v>
      </c>
      <c r="Q3533" t="b">
        <v>1</v>
      </c>
      <c r="R3533" t="s">
        <v>8271</v>
      </c>
      <c r="S3533" s="6">
        <f>Table1[[#This Row],[pledged]]/Table1[[#This Row],[goal]]</f>
        <v>1.28</v>
      </c>
      <c r="T3533" s="8">
        <f>IF(Table1[[#This Row],[pledged]]=0,"no backers",Table1[[#This Row],[pledged]]/Table1[[#This Row],[backers_count]])</f>
        <v>49.230769230769234</v>
      </c>
      <c r="U3533" t="str">
        <f>LEFT(Table1[[#This Row],[Category and Sub-Category]],FIND("/",Table1[[#This Row],[Category and Sub-Category]])-1)</f>
        <v>theater</v>
      </c>
      <c r="V3533" t="str">
        <f>RIGHT(Table1[[#This Row],[Category and Sub-Category]],LEN(Table1[[#This Row],[Category and Sub-Category]])-FIND("/",Table1[[#This Row],[Category and Sub-Category]]))</f>
        <v>plays</v>
      </c>
    </row>
    <row r="3534" spans="1:22" ht="57.6" x14ac:dyDescent="0.3">
      <c r="A3534">
        <v>3532</v>
      </c>
      <c r="B3534" s="3" t="s">
        <v>3531</v>
      </c>
      <c r="C3534" s="3" t="s">
        <v>7642</v>
      </c>
      <c r="D3534" s="12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>((Table1[[#This Row],[deadline]]/60)/60/24)+DATE(1970,1,1)</f>
        <v>41900.165972222225</v>
      </c>
      <c r="K3534">
        <v>1409667827</v>
      </c>
      <c r="L3534" s="11">
        <f>((Table1[[#This Row],[launched_at]]/60)/60/24)+DATE(1970,1,1)</f>
        <v>41884.599849537037</v>
      </c>
      <c r="M3534">
        <f>MONTH(Table1[[#This Row],[Date Created Conversion]])</f>
        <v>9</v>
      </c>
      <c r="N3534">
        <f>YEAR(Table1[[#This Row],[Date Created Conversion]])</f>
        <v>2014</v>
      </c>
      <c r="O3534" t="b">
        <v>0</v>
      </c>
      <c r="P3534">
        <v>27</v>
      </c>
      <c r="Q3534" t="b">
        <v>1</v>
      </c>
      <c r="R3534" t="s">
        <v>8271</v>
      </c>
      <c r="S3534" s="6">
        <f>Table1[[#This Row],[pledged]]/Table1[[#This Row],[goal]]</f>
        <v>1.1895833333333334</v>
      </c>
      <c r="T3534" s="8">
        <f>IF(Table1[[#This Row],[pledged]]=0,"no backers",Table1[[#This Row],[pledged]]/Table1[[#This Row],[backers_count]])</f>
        <v>42.296296296296298</v>
      </c>
      <c r="U3534" t="str">
        <f>LEFT(Table1[[#This Row],[Category and Sub-Category]],FIND("/",Table1[[#This Row],[Category and Sub-Category]])-1)</f>
        <v>theater</v>
      </c>
      <c r="V3534" t="str">
        <f>RIGHT(Table1[[#This Row],[Category and Sub-Category]],LEN(Table1[[#This Row],[Category and Sub-Category]])-FIND("/",Table1[[#This Row],[Category and Sub-Category]]))</f>
        <v>plays</v>
      </c>
    </row>
    <row r="3535" spans="1:22" ht="57.6" x14ac:dyDescent="0.3">
      <c r="A3535">
        <v>3533</v>
      </c>
      <c r="B3535" s="3" t="s">
        <v>3532</v>
      </c>
      <c r="C3535" s="3" t="s">
        <v>7643</v>
      </c>
      <c r="D3535" s="12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>((Table1[[#This Row],[deadline]]/60)/60/24)+DATE(1970,1,1)</f>
        <v>42319.802858796291</v>
      </c>
      <c r="K3535">
        <v>1444673767</v>
      </c>
      <c r="L3535" s="11">
        <f>((Table1[[#This Row],[launched_at]]/60)/60/24)+DATE(1970,1,1)</f>
        <v>42289.761192129634</v>
      </c>
      <c r="M3535">
        <f>MONTH(Table1[[#This Row],[Date Created Conversion]])</f>
        <v>10</v>
      </c>
      <c r="N3535">
        <f>YEAR(Table1[[#This Row],[Date Created Conversion]])</f>
        <v>2015</v>
      </c>
      <c r="O3535" t="b">
        <v>0</v>
      </c>
      <c r="P3535">
        <v>8</v>
      </c>
      <c r="Q3535" t="b">
        <v>1</v>
      </c>
      <c r="R3535" t="s">
        <v>8271</v>
      </c>
      <c r="S3535" s="6">
        <f>Table1[[#This Row],[pledged]]/Table1[[#This Row],[goal]]</f>
        <v>1.262</v>
      </c>
      <c r="T3535" s="8">
        <f>IF(Table1[[#This Row],[pledged]]=0,"no backers",Table1[[#This Row],[pledged]]/Table1[[#This Row],[backers_count]])</f>
        <v>78.875</v>
      </c>
      <c r="U3535" t="str">
        <f>LEFT(Table1[[#This Row],[Category and Sub-Category]],FIND("/",Table1[[#This Row],[Category and Sub-Category]])-1)</f>
        <v>theater</v>
      </c>
      <c r="V3535" t="str">
        <f>RIGHT(Table1[[#This Row],[Category and Sub-Category]],LEN(Table1[[#This Row],[Category and Sub-Category]])-FIND("/",Table1[[#This Row],[Category and Sub-Category]]))</f>
        <v>plays</v>
      </c>
    </row>
    <row r="3536" spans="1:22" ht="43.2" x14ac:dyDescent="0.3">
      <c r="A3536">
        <v>3534</v>
      </c>
      <c r="B3536" s="3" t="s">
        <v>3533</v>
      </c>
      <c r="C3536" s="3" t="s">
        <v>7644</v>
      </c>
      <c r="D3536" s="12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>((Table1[[#This Row],[deadline]]/60)/60/24)+DATE(1970,1,1)</f>
        <v>42278.6252662037</v>
      </c>
      <c r="K3536">
        <v>1440687623</v>
      </c>
      <c r="L3536" s="11">
        <f>((Table1[[#This Row],[launched_at]]/60)/60/24)+DATE(1970,1,1)</f>
        <v>42243.6252662037</v>
      </c>
      <c r="M3536">
        <f>MONTH(Table1[[#This Row],[Date Created Conversion]])</f>
        <v>8</v>
      </c>
      <c r="N3536">
        <f>YEAR(Table1[[#This Row],[Date Created Conversion]])</f>
        <v>2015</v>
      </c>
      <c r="O3536" t="b">
        <v>0</v>
      </c>
      <c r="P3536">
        <v>204</v>
      </c>
      <c r="Q3536" t="b">
        <v>1</v>
      </c>
      <c r="R3536" t="s">
        <v>8271</v>
      </c>
      <c r="S3536" s="6">
        <f>Table1[[#This Row],[pledged]]/Table1[[#This Row],[goal]]</f>
        <v>1.5620000000000001</v>
      </c>
      <c r="T3536" s="8">
        <f>IF(Table1[[#This Row],[pledged]]=0,"no backers",Table1[[#This Row],[pledged]]/Table1[[#This Row],[backers_count]])</f>
        <v>38.284313725490193</v>
      </c>
      <c r="U3536" t="str">
        <f>LEFT(Table1[[#This Row],[Category and Sub-Category]],FIND("/",Table1[[#This Row],[Category and Sub-Category]])-1)</f>
        <v>theater</v>
      </c>
      <c r="V3536" t="str">
        <f>RIGHT(Table1[[#This Row],[Category and Sub-Category]],LEN(Table1[[#This Row],[Category and Sub-Category]])-FIND("/",Table1[[#This Row],[Category and Sub-Category]]))</f>
        <v>plays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 s="12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>((Table1[[#This Row],[deadline]]/60)/60/24)+DATE(1970,1,1)</f>
        <v>42279.75</v>
      </c>
      <c r="K3537">
        <v>1441120910</v>
      </c>
      <c r="L3537" s="11">
        <f>((Table1[[#This Row],[launched_at]]/60)/60/24)+DATE(1970,1,1)</f>
        <v>42248.640162037031</v>
      </c>
      <c r="M3537">
        <f>MONTH(Table1[[#This Row],[Date Created Conversion]])</f>
        <v>9</v>
      </c>
      <c r="N3537">
        <f>YEAR(Table1[[#This Row],[Date Created Conversion]])</f>
        <v>2015</v>
      </c>
      <c r="O3537" t="b">
        <v>0</v>
      </c>
      <c r="P3537">
        <v>46</v>
      </c>
      <c r="Q3537" t="b">
        <v>1</v>
      </c>
      <c r="R3537" t="s">
        <v>8271</v>
      </c>
      <c r="S3537" s="6">
        <f>Table1[[#This Row],[pledged]]/Table1[[#This Row],[goal]]</f>
        <v>1.0315000000000001</v>
      </c>
      <c r="T3537" s="8">
        <f>IF(Table1[[#This Row],[pledged]]=0,"no backers",Table1[[#This Row],[pledged]]/Table1[[#This Row],[backers_count]])</f>
        <v>44.847826086956523</v>
      </c>
      <c r="U3537" t="str">
        <f>LEFT(Table1[[#This Row],[Category and Sub-Category]],FIND("/",Table1[[#This Row],[Category and Sub-Category]])-1)</f>
        <v>theater</v>
      </c>
      <c r="V3537" t="str">
        <f>RIGHT(Table1[[#This Row],[Category and Sub-Category]],LEN(Table1[[#This Row],[Category and Sub-Category]])-FIND("/",Table1[[#This Row],[Category and Sub-Category]]))</f>
        <v>plays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 s="12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>((Table1[[#This Row],[deadline]]/60)/60/24)+DATE(1970,1,1)</f>
        <v>42358.499305555553</v>
      </c>
      <c r="K3538">
        <v>1448040425</v>
      </c>
      <c r="L3538" s="11">
        <f>((Table1[[#This Row],[launched_at]]/60)/60/24)+DATE(1970,1,1)</f>
        <v>42328.727141203708</v>
      </c>
      <c r="M3538">
        <f>MONTH(Table1[[#This Row],[Date Created Conversion]])</f>
        <v>11</v>
      </c>
      <c r="N3538">
        <f>YEAR(Table1[[#This Row],[Date Created Conversion]])</f>
        <v>2015</v>
      </c>
      <c r="O3538" t="b">
        <v>0</v>
      </c>
      <c r="P3538">
        <v>17</v>
      </c>
      <c r="Q3538" t="b">
        <v>1</v>
      </c>
      <c r="R3538" t="s">
        <v>8271</v>
      </c>
      <c r="S3538" s="6">
        <f>Table1[[#This Row],[pledged]]/Table1[[#This Row],[goal]]</f>
        <v>1.5333333333333334</v>
      </c>
      <c r="T3538" s="8">
        <f>IF(Table1[[#This Row],[pledged]]=0,"no backers",Table1[[#This Row],[pledged]]/Table1[[#This Row],[backers_count]])</f>
        <v>13.529411764705882</v>
      </c>
      <c r="U3538" t="str">
        <f>LEFT(Table1[[#This Row],[Category and Sub-Category]],FIND("/",Table1[[#This Row],[Category and Sub-Category]])-1)</f>
        <v>theater</v>
      </c>
      <c r="V3538" t="str">
        <f>RIGHT(Table1[[#This Row],[Category and Sub-Category]],LEN(Table1[[#This Row],[Category and Sub-Category]])-FIND("/",Table1[[#This Row],[Category and Sub-Category]]))</f>
        <v>plays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 s="12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>((Table1[[#This Row],[deadline]]/60)/60/24)+DATE(1970,1,1)</f>
        <v>41960.332638888889</v>
      </c>
      <c r="K3539">
        <v>1413016216</v>
      </c>
      <c r="L3539" s="11">
        <f>((Table1[[#This Row],[launched_at]]/60)/60/24)+DATE(1970,1,1)</f>
        <v>41923.354351851849</v>
      </c>
      <c r="M3539">
        <f>MONTH(Table1[[#This Row],[Date Created Conversion]])</f>
        <v>10</v>
      </c>
      <c r="N3539">
        <f>YEAR(Table1[[#This Row],[Date Created Conversion]])</f>
        <v>2014</v>
      </c>
      <c r="O3539" t="b">
        <v>0</v>
      </c>
      <c r="P3539">
        <v>28</v>
      </c>
      <c r="Q3539" t="b">
        <v>1</v>
      </c>
      <c r="R3539" t="s">
        <v>8271</v>
      </c>
      <c r="S3539" s="6">
        <f>Table1[[#This Row],[pledged]]/Table1[[#This Row],[goal]]</f>
        <v>1.8044444444444445</v>
      </c>
      <c r="T3539" s="8">
        <f>IF(Table1[[#This Row],[pledged]]=0,"no backers",Table1[[#This Row],[pledged]]/Table1[[#This Row],[backers_count]])</f>
        <v>43.5</v>
      </c>
      <c r="U3539" t="str">
        <f>LEFT(Table1[[#This Row],[Category and Sub-Category]],FIND("/",Table1[[#This Row],[Category and Sub-Category]])-1)</f>
        <v>theater</v>
      </c>
      <c r="V3539" t="str">
        <f>RIGHT(Table1[[#This Row],[Category and Sub-Category]],LEN(Table1[[#This Row],[Category and Sub-Category]])-FIND("/",Table1[[#This Row],[Category and Sub-Category]]))</f>
        <v>plays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 s="12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>((Table1[[#This Row],[deadline]]/60)/60/24)+DATE(1970,1,1)</f>
        <v>42599.420601851853</v>
      </c>
      <c r="K3540">
        <v>1469009140</v>
      </c>
      <c r="L3540" s="11">
        <f>((Table1[[#This Row],[launched_at]]/60)/60/24)+DATE(1970,1,1)</f>
        <v>42571.420601851853</v>
      </c>
      <c r="M3540">
        <f>MONTH(Table1[[#This Row],[Date Created Conversion]])</f>
        <v>7</v>
      </c>
      <c r="N3540">
        <f>YEAR(Table1[[#This Row],[Date Created Conversion]])</f>
        <v>2016</v>
      </c>
      <c r="O3540" t="b">
        <v>0</v>
      </c>
      <c r="P3540">
        <v>83</v>
      </c>
      <c r="Q3540" t="b">
        <v>1</v>
      </c>
      <c r="R3540" t="s">
        <v>8271</v>
      </c>
      <c r="S3540" s="6">
        <f>Table1[[#This Row],[pledged]]/Table1[[#This Row],[goal]]</f>
        <v>1.2845</v>
      </c>
      <c r="T3540" s="8">
        <f>IF(Table1[[#This Row],[pledged]]=0,"no backers",Table1[[#This Row],[pledged]]/Table1[[#This Row],[backers_count]])</f>
        <v>30.951807228915662</v>
      </c>
      <c r="U3540" t="str">
        <f>LEFT(Table1[[#This Row],[Category and Sub-Category]],FIND("/",Table1[[#This Row],[Category and Sub-Category]])-1)</f>
        <v>theater</v>
      </c>
      <c r="V3540" t="str">
        <f>RIGHT(Table1[[#This Row],[Category and Sub-Category]],LEN(Table1[[#This Row],[Category and Sub-Category]])-FIND("/",Table1[[#This Row],[Category and Sub-Category]]))</f>
        <v>plays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 s="12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>((Table1[[#This Row],[deadline]]/60)/60/24)+DATE(1970,1,1)</f>
        <v>42621.756041666667</v>
      </c>
      <c r="K3541">
        <v>1471543722</v>
      </c>
      <c r="L3541" s="11">
        <f>((Table1[[#This Row],[launched_at]]/60)/60/24)+DATE(1970,1,1)</f>
        <v>42600.756041666667</v>
      </c>
      <c r="M3541">
        <f>MONTH(Table1[[#This Row],[Date Created Conversion]])</f>
        <v>8</v>
      </c>
      <c r="N3541">
        <f>YEAR(Table1[[#This Row],[Date Created Conversion]])</f>
        <v>2016</v>
      </c>
      <c r="O3541" t="b">
        <v>0</v>
      </c>
      <c r="P3541">
        <v>13</v>
      </c>
      <c r="Q3541" t="b">
        <v>1</v>
      </c>
      <c r="R3541" t="s">
        <v>8271</v>
      </c>
      <c r="S3541" s="6">
        <f>Table1[[#This Row],[pledged]]/Table1[[#This Row],[goal]]</f>
        <v>1.1966666666666668</v>
      </c>
      <c r="T3541" s="8">
        <f>IF(Table1[[#This Row],[pledged]]=0,"no backers",Table1[[#This Row],[pledged]]/Table1[[#This Row],[backers_count]])</f>
        <v>55.230769230769234</v>
      </c>
      <c r="U3541" t="str">
        <f>LEFT(Table1[[#This Row],[Category and Sub-Category]],FIND("/",Table1[[#This Row],[Category and Sub-Category]])-1)</f>
        <v>theater</v>
      </c>
      <c r="V3541" t="str">
        <f>RIGHT(Table1[[#This Row],[Category and Sub-Category]],LEN(Table1[[#This Row],[Category and Sub-Category]])-FIND("/",Table1[[#This Row],[Category and Sub-Category]]))</f>
        <v>plays</v>
      </c>
    </row>
    <row r="3542" spans="1:22" ht="57.6" x14ac:dyDescent="0.3">
      <c r="A3542">
        <v>3540</v>
      </c>
      <c r="B3542" s="3" t="s">
        <v>3539</v>
      </c>
      <c r="C3542" s="3" t="s">
        <v>7650</v>
      </c>
      <c r="D3542" s="1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>((Table1[[#This Row],[deadline]]/60)/60/24)+DATE(1970,1,1)</f>
        <v>42547.003368055557</v>
      </c>
      <c r="K3542">
        <v>1464307491</v>
      </c>
      <c r="L3542" s="11">
        <f>((Table1[[#This Row],[launched_at]]/60)/60/24)+DATE(1970,1,1)</f>
        <v>42517.003368055557</v>
      </c>
      <c r="M3542">
        <f>MONTH(Table1[[#This Row],[Date Created Conversion]])</f>
        <v>5</v>
      </c>
      <c r="N3542">
        <f>YEAR(Table1[[#This Row],[Date Created Conversion]])</f>
        <v>2016</v>
      </c>
      <c r="O3542" t="b">
        <v>0</v>
      </c>
      <c r="P3542">
        <v>8</v>
      </c>
      <c r="Q3542" t="b">
        <v>1</v>
      </c>
      <c r="R3542" t="s">
        <v>8271</v>
      </c>
      <c r="S3542" s="6">
        <f>Table1[[#This Row],[pledged]]/Table1[[#This Row],[goal]]</f>
        <v>1.23</v>
      </c>
      <c r="T3542" s="8">
        <f>IF(Table1[[#This Row],[pledged]]=0,"no backers",Table1[[#This Row],[pledged]]/Table1[[#This Row],[backers_count]])</f>
        <v>46.125</v>
      </c>
      <c r="U3542" t="str">
        <f>LEFT(Table1[[#This Row],[Category and Sub-Category]],FIND("/",Table1[[#This Row],[Category and Sub-Category]])-1)</f>
        <v>theater</v>
      </c>
      <c r="V3542" t="str">
        <f>RIGHT(Table1[[#This Row],[Category and Sub-Category]],LEN(Table1[[#This Row],[Category and Sub-Category]])-FIND("/",Table1[[#This Row],[Category and Sub-Category]]))</f>
        <v>plays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 s="12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>((Table1[[#This Row],[deadline]]/60)/60/24)+DATE(1970,1,1)</f>
        <v>42247.730034722219</v>
      </c>
      <c r="K3543">
        <v>1438882275</v>
      </c>
      <c r="L3543" s="11">
        <f>((Table1[[#This Row],[launched_at]]/60)/60/24)+DATE(1970,1,1)</f>
        <v>42222.730034722219</v>
      </c>
      <c r="M3543">
        <f>MONTH(Table1[[#This Row],[Date Created Conversion]])</f>
        <v>8</v>
      </c>
      <c r="N3543">
        <f>YEAR(Table1[[#This Row],[Date Created Conversion]])</f>
        <v>2015</v>
      </c>
      <c r="O3543" t="b">
        <v>0</v>
      </c>
      <c r="P3543">
        <v>32</v>
      </c>
      <c r="Q3543" t="b">
        <v>1</v>
      </c>
      <c r="R3543" t="s">
        <v>8271</v>
      </c>
      <c r="S3543" s="6">
        <f>Table1[[#This Row],[pledged]]/Table1[[#This Row],[goal]]</f>
        <v>1.05</v>
      </c>
      <c r="T3543" s="8">
        <f>IF(Table1[[#This Row],[pledged]]=0,"no backers",Table1[[#This Row],[pledged]]/Table1[[#This Row],[backers_count]])</f>
        <v>39.375</v>
      </c>
      <c r="U3543" t="str">
        <f>LEFT(Table1[[#This Row],[Category and Sub-Category]],FIND("/",Table1[[#This Row],[Category and Sub-Category]])-1)</f>
        <v>theater</v>
      </c>
      <c r="V3543" t="str">
        <f>RIGHT(Table1[[#This Row],[Category and Sub-Category]],LEN(Table1[[#This Row],[Category and Sub-Category]])-FIND("/",Table1[[#This Row],[Category and Sub-Category]]))</f>
        <v>plays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 s="12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>((Table1[[#This Row],[deadline]]/60)/60/24)+DATE(1970,1,1)</f>
        <v>41889.599791666667</v>
      </c>
      <c r="K3544">
        <v>1404915822</v>
      </c>
      <c r="L3544" s="11">
        <f>((Table1[[#This Row],[launched_at]]/60)/60/24)+DATE(1970,1,1)</f>
        <v>41829.599791666667</v>
      </c>
      <c r="M3544">
        <f>MONTH(Table1[[#This Row],[Date Created Conversion]])</f>
        <v>7</v>
      </c>
      <c r="N3544">
        <f>YEAR(Table1[[#This Row],[Date Created Conversion]])</f>
        <v>2014</v>
      </c>
      <c r="O3544" t="b">
        <v>0</v>
      </c>
      <c r="P3544">
        <v>85</v>
      </c>
      <c r="Q3544" t="b">
        <v>1</v>
      </c>
      <c r="R3544" t="s">
        <v>8271</v>
      </c>
      <c r="S3544" s="6">
        <f>Table1[[#This Row],[pledged]]/Table1[[#This Row],[goal]]</f>
        <v>1.0223636363636364</v>
      </c>
      <c r="T3544" s="8">
        <f>IF(Table1[[#This Row],[pledged]]=0,"no backers",Table1[[#This Row],[pledged]]/Table1[[#This Row],[backers_count]])</f>
        <v>66.152941176470591</v>
      </c>
      <c r="U3544" t="str">
        <f>LEFT(Table1[[#This Row],[Category and Sub-Category]],FIND("/",Table1[[#This Row],[Category and Sub-Category]])-1)</f>
        <v>theater</v>
      </c>
      <c r="V3544" t="str">
        <f>RIGHT(Table1[[#This Row],[Category and Sub-Category]],LEN(Table1[[#This Row],[Category and Sub-Category]])-FIND("/",Table1[[#This Row],[Category and Sub-Category]]))</f>
        <v>plays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 s="12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>((Table1[[#This Row],[deadline]]/60)/60/24)+DATE(1970,1,1)</f>
        <v>42180.755312499998</v>
      </c>
      <c r="K3545">
        <v>1432663659</v>
      </c>
      <c r="L3545" s="11">
        <f>((Table1[[#This Row],[launched_at]]/60)/60/24)+DATE(1970,1,1)</f>
        <v>42150.755312499998</v>
      </c>
      <c r="M3545">
        <f>MONTH(Table1[[#This Row],[Date Created Conversion]])</f>
        <v>5</v>
      </c>
      <c r="N3545">
        <f>YEAR(Table1[[#This Row],[Date Created Conversion]])</f>
        <v>2015</v>
      </c>
      <c r="O3545" t="b">
        <v>0</v>
      </c>
      <c r="P3545">
        <v>29</v>
      </c>
      <c r="Q3545" t="b">
        <v>1</v>
      </c>
      <c r="R3545" t="s">
        <v>8271</v>
      </c>
      <c r="S3545" s="6">
        <f>Table1[[#This Row],[pledged]]/Table1[[#This Row],[goal]]</f>
        <v>1.0466666666666666</v>
      </c>
      <c r="T3545" s="8">
        <f>IF(Table1[[#This Row],[pledged]]=0,"no backers",Table1[[#This Row],[pledged]]/Table1[[#This Row],[backers_count]])</f>
        <v>54.137931034482762</v>
      </c>
      <c r="U3545" t="str">
        <f>LEFT(Table1[[#This Row],[Category and Sub-Category]],FIND("/",Table1[[#This Row],[Category and Sub-Category]])-1)</f>
        <v>theater</v>
      </c>
      <c r="V3545" t="str">
        <f>RIGHT(Table1[[#This Row],[Category and Sub-Category]],LEN(Table1[[#This Row],[Category and Sub-Category]])-FIND("/",Table1[[#This Row],[Category and Sub-Category]]))</f>
        <v>plays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 s="12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>((Table1[[#This Row],[deadline]]/60)/60/24)+DATE(1970,1,1)</f>
        <v>42070.831678240742</v>
      </c>
      <c r="K3546">
        <v>1423166257</v>
      </c>
      <c r="L3546" s="11">
        <f>((Table1[[#This Row],[launched_at]]/60)/60/24)+DATE(1970,1,1)</f>
        <v>42040.831678240742</v>
      </c>
      <c r="M3546">
        <f>MONTH(Table1[[#This Row],[Date Created Conversion]])</f>
        <v>2</v>
      </c>
      <c r="N3546">
        <f>YEAR(Table1[[#This Row],[Date Created Conversion]])</f>
        <v>2015</v>
      </c>
      <c r="O3546" t="b">
        <v>0</v>
      </c>
      <c r="P3546">
        <v>24</v>
      </c>
      <c r="Q3546" t="b">
        <v>1</v>
      </c>
      <c r="R3546" t="s">
        <v>8271</v>
      </c>
      <c r="S3546" s="6">
        <f>Table1[[#This Row],[pledged]]/Table1[[#This Row],[goal]]</f>
        <v>1</v>
      </c>
      <c r="T3546" s="8">
        <f>IF(Table1[[#This Row],[pledged]]=0,"no backers",Table1[[#This Row],[pledged]]/Table1[[#This Row],[backers_count]])</f>
        <v>104.16666666666667</v>
      </c>
      <c r="U3546" t="str">
        <f>LEFT(Table1[[#This Row],[Category and Sub-Category]],FIND("/",Table1[[#This Row],[Category and Sub-Category]])-1)</f>
        <v>theater</v>
      </c>
      <c r="V3546" t="str">
        <f>RIGHT(Table1[[#This Row],[Category and Sub-Category]],LEN(Table1[[#This Row],[Category and Sub-Category]])-FIND("/",Table1[[#This Row],[Category and Sub-Category]]))</f>
        <v>plays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 s="12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>((Table1[[#This Row],[deadline]]/60)/60/24)+DATE(1970,1,1)</f>
        <v>42105.807395833333</v>
      </c>
      <c r="K3547">
        <v>1426188159</v>
      </c>
      <c r="L3547" s="11">
        <f>((Table1[[#This Row],[launched_at]]/60)/60/24)+DATE(1970,1,1)</f>
        <v>42075.807395833333</v>
      </c>
      <c r="M3547">
        <f>MONTH(Table1[[#This Row],[Date Created Conversion]])</f>
        <v>3</v>
      </c>
      <c r="N3547">
        <f>YEAR(Table1[[#This Row],[Date Created Conversion]])</f>
        <v>2015</v>
      </c>
      <c r="O3547" t="b">
        <v>0</v>
      </c>
      <c r="P3547">
        <v>8</v>
      </c>
      <c r="Q3547" t="b">
        <v>1</v>
      </c>
      <c r="R3547" t="s">
        <v>8271</v>
      </c>
      <c r="S3547" s="6">
        <f>Table1[[#This Row],[pledged]]/Table1[[#This Row],[goal]]</f>
        <v>1.004</v>
      </c>
      <c r="T3547" s="8">
        <f>IF(Table1[[#This Row],[pledged]]=0,"no backers",Table1[[#This Row],[pledged]]/Table1[[#This Row],[backers_count]])</f>
        <v>31.375</v>
      </c>
      <c r="U3547" t="str">
        <f>LEFT(Table1[[#This Row],[Category and Sub-Category]],FIND("/",Table1[[#This Row],[Category and Sub-Category]])-1)</f>
        <v>theater</v>
      </c>
      <c r="V3547" t="str">
        <f>RIGHT(Table1[[#This Row],[Category and Sub-Category]],LEN(Table1[[#This Row],[Category and Sub-Category]])-FIND("/",Table1[[#This Row],[Category and Sub-Category]]))</f>
        <v>plays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 s="12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>((Table1[[#This Row],[deadline]]/60)/60/24)+DATE(1970,1,1)</f>
        <v>42095.165972222225</v>
      </c>
      <c r="K3548">
        <v>1426002684</v>
      </c>
      <c r="L3548" s="11">
        <f>((Table1[[#This Row],[launched_at]]/60)/60/24)+DATE(1970,1,1)</f>
        <v>42073.660694444443</v>
      </c>
      <c r="M3548">
        <f>MONTH(Table1[[#This Row],[Date Created Conversion]])</f>
        <v>3</v>
      </c>
      <c r="N3548">
        <f>YEAR(Table1[[#This Row],[Date Created Conversion]])</f>
        <v>2015</v>
      </c>
      <c r="O3548" t="b">
        <v>0</v>
      </c>
      <c r="P3548">
        <v>19</v>
      </c>
      <c r="Q3548" t="b">
        <v>1</v>
      </c>
      <c r="R3548" t="s">
        <v>8271</v>
      </c>
      <c r="S3548" s="6">
        <f>Table1[[#This Row],[pledged]]/Table1[[#This Row],[goal]]</f>
        <v>1.0227272727272727</v>
      </c>
      <c r="T3548" s="8">
        <f>IF(Table1[[#This Row],[pledged]]=0,"no backers",Table1[[#This Row],[pledged]]/Table1[[#This Row],[backers_count]])</f>
        <v>59.210526315789473</v>
      </c>
      <c r="U3548" t="str">
        <f>LEFT(Table1[[#This Row],[Category and Sub-Category]],FIND("/",Table1[[#This Row],[Category and Sub-Category]])-1)</f>
        <v>theater</v>
      </c>
      <c r="V3548" t="str">
        <f>RIGHT(Table1[[#This Row],[Category and Sub-Category]],LEN(Table1[[#This Row],[Category and Sub-Category]])-FIND("/",Table1[[#This Row],[Category and Sub-Category]]))</f>
        <v>plays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 s="12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>((Table1[[#This Row],[deadline]]/60)/60/24)+DATE(1970,1,1)</f>
        <v>42504.165972222225</v>
      </c>
      <c r="K3549">
        <v>1461117201</v>
      </c>
      <c r="L3549" s="11">
        <f>((Table1[[#This Row],[launched_at]]/60)/60/24)+DATE(1970,1,1)</f>
        <v>42480.078715277778</v>
      </c>
      <c r="M3549">
        <f>MONTH(Table1[[#This Row],[Date Created Conversion]])</f>
        <v>4</v>
      </c>
      <c r="N3549">
        <f>YEAR(Table1[[#This Row],[Date Created Conversion]])</f>
        <v>2016</v>
      </c>
      <c r="O3549" t="b">
        <v>0</v>
      </c>
      <c r="P3549">
        <v>336</v>
      </c>
      <c r="Q3549" t="b">
        <v>1</v>
      </c>
      <c r="R3549" t="s">
        <v>8271</v>
      </c>
      <c r="S3549" s="6">
        <f>Table1[[#This Row],[pledged]]/Table1[[#This Row],[goal]]</f>
        <v>1.1440928571428572</v>
      </c>
      <c r="T3549" s="8">
        <f>IF(Table1[[#This Row],[pledged]]=0,"no backers",Table1[[#This Row],[pledged]]/Table1[[#This Row],[backers_count]])</f>
        <v>119.17633928571429</v>
      </c>
      <c r="U3549" t="str">
        <f>LEFT(Table1[[#This Row],[Category and Sub-Category]],FIND("/",Table1[[#This Row],[Category and Sub-Category]])-1)</f>
        <v>theater</v>
      </c>
      <c r="V3549" t="str">
        <f>RIGHT(Table1[[#This Row],[Category and Sub-Category]],LEN(Table1[[#This Row],[Category and Sub-Category]])-FIND("/",Table1[[#This Row],[Category and Sub-Category]]))</f>
        <v>plays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 s="12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>((Table1[[#This Row],[deadline]]/60)/60/24)+DATE(1970,1,1)</f>
        <v>42434.041666666672</v>
      </c>
      <c r="K3550">
        <v>1455230214</v>
      </c>
      <c r="L3550" s="11">
        <f>((Table1[[#This Row],[launched_at]]/60)/60/24)+DATE(1970,1,1)</f>
        <v>42411.942291666666</v>
      </c>
      <c r="M3550">
        <f>MONTH(Table1[[#This Row],[Date Created Conversion]])</f>
        <v>2</v>
      </c>
      <c r="N3550">
        <f>YEAR(Table1[[#This Row],[Date Created Conversion]])</f>
        <v>2016</v>
      </c>
      <c r="O3550" t="b">
        <v>0</v>
      </c>
      <c r="P3550">
        <v>13</v>
      </c>
      <c r="Q3550" t="b">
        <v>1</v>
      </c>
      <c r="R3550" t="s">
        <v>8271</v>
      </c>
      <c r="S3550" s="6">
        <f>Table1[[#This Row],[pledged]]/Table1[[#This Row],[goal]]</f>
        <v>1.019047619047619</v>
      </c>
      <c r="T3550" s="8">
        <f>IF(Table1[[#This Row],[pledged]]=0,"no backers",Table1[[#This Row],[pledged]]/Table1[[#This Row],[backers_count]])</f>
        <v>164.61538461538461</v>
      </c>
      <c r="U3550" t="str">
        <f>LEFT(Table1[[#This Row],[Category and Sub-Category]],FIND("/",Table1[[#This Row],[Category and Sub-Category]])-1)</f>
        <v>theater</v>
      </c>
      <c r="V3550" t="str">
        <f>RIGHT(Table1[[#This Row],[Category and Sub-Category]],LEN(Table1[[#This Row],[Category and Sub-Category]])-FIND("/",Table1[[#This Row],[Category and Sub-Category]]))</f>
        <v>plays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 s="12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>((Table1[[#This Row],[deadline]]/60)/60/24)+DATE(1970,1,1)</f>
        <v>42251.394363425927</v>
      </c>
      <c r="K3551">
        <v>1438939673</v>
      </c>
      <c r="L3551" s="11">
        <f>((Table1[[#This Row],[launched_at]]/60)/60/24)+DATE(1970,1,1)</f>
        <v>42223.394363425927</v>
      </c>
      <c r="M3551">
        <f>MONTH(Table1[[#This Row],[Date Created Conversion]])</f>
        <v>8</v>
      </c>
      <c r="N3551">
        <f>YEAR(Table1[[#This Row],[Date Created Conversion]])</f>
        <v>2015</v>
      </c>
      <c r="O3551" t="b">
        <v>0</v>
      </c>
      <c r="P3551">
        <v>42</v>
      </c>
      <c r="Q3551" t="b">
        <v>1</v>
      </c>
      <c r="R3551" t="s">
        <v>8271</v>
      </c>
      <c r="S3551" s="6">
        <f>Table1[[#This Row],[pledged]]/Table1[[#This Row],[goal]]</f>
        <v>1.02</v>
      </c>
      <c r="T3551" s="8">
        <f>IF(Table1[[#This Row],[pledged]]=0,"no backers",Table1[[#This Row],[pledged]]/Table1[[#This Row],[backers_count]])</f>
        <v>24.285714285714285</v>
      </c>
      <c r="U3551" t="str">
        <f>LEFT(Table1[[#This Row],[Category and Sub-Category]],FIND("/",Table1[[#This Row],[Category and Sub-Category]])-1)</f>
        <v>theater</v>
      </c>
      <c r="V3551" t="str">
        <f>RIGHT(Table1[[#This Row],[Category and Sub-Category]],LEN(Table1[[#This Row],[Category and Sub-Category]])-FIND("/",Table1[[#This Row],[Category and Sub-Category]]))</f>
        <v>plays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 s="1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>((Table1[[#This Row],[deadline]]/60)/60/24)+DATE(1970,1,1)</f>
        <v>42492.893495370372</v>
      </c>
      <c r="K3552">
        <v>1459632398</v>
      </c>
      <c r="L3552" s="11">
        <f>((Table1[[#This Row],[launched_at]]/60)/60/24)+DATE(1970,1,1)</f>
        <v>42462.893495370372</v>
      </c>
      <c r="M3552">
        <f>MONTH(Table1[[#This Row],[Date Created Conversion]])</f>
        <v>4</v>
      </c>
      <c r="N3552">
        <f>YEAR(Table1[[#This Row],[Date Created Conversion]])</f>
        <v>2016</v>
      </c>
      <c r="O3552" t="b">
        <v>0</v>
      </c>
      <c r="P3552">
        <v>64</v>
      </c>
      <c r="Q3552" t="b">
        <v>1</v>
      </c>
      <c r="R3552" t="s">
        <v>8271</v>
      </c>
      <c r="S3552" s="6">
        <f>Table1[[#This Row],[pledged]]/Table1[[#This Row],[goal]]</f>
        <v>1.048</v>
      </c>
      <c r="T3552" s="8">
        <f>IF(Table1[[#This Row],[pledged]]=0,"no backers",Table1[[#This Row],[pledged]]/Table1[[#This Row],[backers_count]])</f>
        <v>40.9375</v>
      </c>
      <c r="U3552" t="str">
        <f>LEFT(Table1[[#This Row],[Category and Sub-Category]],FIND("/",Table1[[#This Row],[Category and Sub-Category]])-1)</f>
        <v>theater</v>
      </c>
      <c r="V3552" t="str">
        <f>RIGHT(Table1[[#This Row],[Category and Sub-Category]],LEN(Table1[[#This Row],[Category and Sub-Category]])-FIND("/",Table1[[#This Row],[Category and Sub-Category]]))</f>
        <v>plays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 s="12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>((Table1[[#This Row],[deadline]]/60)/60/24)+DATE(1970,1,1)</f>
        <v>41781.921527777777</v>
      </c>
      <c r="K3553">
        <v>1398342170</v>
      </c>
      <c r="L3553" s="11">
        <f>((Table1[[#This Row],[launched_at]]/60)/60/24)+DATE(1970,1,1)</f>
        <v>41753.515856481477</v>
      </c>
      <c r="M3553">
        <f>MONTH(Table1[[#This Row],[Date Created Conversion]])</f>
        <v>4</v>
      </c>
      <c r="N3553">
        <f>YEAR(Table1[[#This Row],[Date Created Conversion]])</f>
        <v>2014</v>
      </c>
      <c r="O3553" t="b">
        <v>0</v>
      </c>
      <c r="P3553">
        <v>25</v>
      </c>
      <c r="Q3553" t="b">
        <v>1</v>
      </c>
      <c r="R3553" t="s">
        <v>8271</v>
      </c>
      <c r="S3553" s="6">
        <f>Table1[[#This Row],[pledged]]/Table1[[#This Row],[goal]]</f>
        <v>1.0183333333333333</v>
      </c>
      <c r="T3553" s="8">
        <f>IF(Table1[[#This Row],[pledged]]=0,"no backers",Table1[[#This Row],[pledged]]/Table1[[#This Row],[backers_count]])</f>
        <v>61.1</v>
      </c>
      <c r="U3553" t="str">
        <f>LEFT(Table1[[#This Row],[Category and Sub-Category]],FIND("/",Table1[[#This Row],[Category and Sub-Category]])-1)</f>
        <v>theater</v>
      </c>
      <c r="V3553" t="str">
        <f>RIGHT(Table1[[#This Row],[Category and Sub-Category]],LEN(Table1[[#This Row],[Category and Sub-Category]])-FIND("/",Table1[[#This Row],[Category and Sub-Category]]))</f>
        <v>plays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 s="12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>((Table1[[#This Row],[deadline]]/60)/60/24)+DATE(1970,1,1)</f>
        <v>41818.587083333332</v>
      </c>
      <c r="K3554">
        <v>1401372324</v>
      </c>
      <c r="L3554" s="11">
        <f>((Table1[[#This Row],[launched_at]]/60)/60/24)+DATE(1970,1,1)</f>
        <v>41788.587083333332</v>
      </c>
      <c r="M3554">
        <f>MONTH(Table1[[#This Row],[Date Created Conversion]])</f>
        <v>5</v>
      </c>
      <c r="N3554">
        <f>YEAR(Table1[[#This Row],[Date Created Conversion]])</f>
        <v>2014</v>
      </c>
      <c r="O3554" t="b">
        <v>0</v>
      </c>
      <c r="P3554">
        <v>20</v>
      </c>
      <c r="Q3554" t="b">
        <v>1</v>
      </c>
      <c r="R3554" t="s">
        <v>8271</v>
      </c>
      <c r="S3554" s="6">
        <f>Table1[[#This Row],[pledged]]/Table1[[#This Row],[goal]]</f>
        <v>1</v>
      </c>
      <c r="T3554" s="8">
        <f>IF(Table1[[#This Row],[pledged]]=0,"no backers",Table1[[#This Row],[pledged]]/Table1[[#This Row],[backers_count]])</f>
        <v>38.65</v>
      </c>
      <c r="U3554" t="str">
        <f>LEFT(Table1[[#This Row],[Category and Sub-Category]],FIND("/",Table1[[#This Row],[Category and Sub-Category]])-1)</f>
        <v>theater</v>
      </c>
      <c r="V3554" t="str">
        <f>RIGHT(Table1[[#This Row],[Category and Sub-Category]],LEN(Table1[[#This Row],[Category and Sub-Category]])-FIND("/",Table1[[#This Row],[Category and Sub-Category]]))</f>
        <v>plays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 s="12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>((Table1[[#This Row],[deadline]]/60)/60/24)+DATE(1970,1,1)</f>
        <v>42228</v>
      </c>
      <c r="K3555">
        <v>1436575280</v>
      </c>
      <c r="L3555" s="11">
        <f>((Table1[[#This Row],[launched_at]]/60)/60/24)+DATE(1970,1,1)</f>
        <v>42196.028703703705</v>
      </c>
      <c r="M3555">
        <f>MONTH(Table1[[#This Row],[Date Created Conversion]])</f>
        <v>7</v>
      </c>
      <c r="N3555">
        <f>YEAR(Table1[[#This Row],[Date Created Conversion]])</f>
        <v>2015</v>
      </c>
      <c r="O3555" t="b">
        <v>0</v>
      </c>
      <c r="P3555">
        <v>104</v>
      </c>
      <c r="Q3555" t="b">
        <v>1</v>
      </c>
      <c r="R3555" t="s">
        <v>8271</v>
      </c>
      <c r="S3555" s="6">
        <f>Table1[[#This Row],[pledged]]/Table1[[#This Row],[goal]]</f>
        <v>1.0627272727272727</v>
      </c>
      <c r="T3555" s="8">
        <f>IF(Table1[[#This Row],[pledged]]=0,"no backers",Table1[[#This Row],[pledged]]/Table1[[#This Row],[backers_count]])</f>
        <v>56.20192307692308</v>
      </c>
      <c r="U3555" t="str">
        <f>LEFT(Table1[[#This Row],[Category and Sub-Category]],FIND("/",Table1[[#This Row],[Category and Sub-Category]])-1)</f>
        <v>theater</v>
      </c>
      <c r="V3555" t="str">
        <f>RIGHT(Table1[[#This Row],[Category and Sub-Category]],LEN(Table1[[#This Row],[Category and Sub-Category]])-FIND("/",Table1[[#This Row],[Category and Sub-Category]]))</f>
        <v>plays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 s="12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>((Table1[[#This Row],[deadline]]/60)/60/24)+DATE(1970,1,1)</f>
        <v>42046.708333333328</v>
      </c>
      <c r="K3556">
        <v>1421025159</v>
      </c>
      <c r="L3556" s="11">
        <f>((Table1[[#This Row],[launched_at]]/60)/60/24)+DATE(1970,1,1)</f>
        <v>42016.050451388888</v>
      </c>
      <c r="M3556">
        <f>MONTH(Table1[[#This Row],[Date Created Conversion]])</f>
        <v>1</v>
      </c>
      <c r="N3556">
        <f>YEAR(Table1[[#This Row],[Date Created Conversion]])</f>
        <v>2015</v>
      </c>
      <c r="O3556" t="b">
        <v>0</v>
      </c>
      <c r="P3556">
        <v>53</v>
      </c>
      <c r="Q3556" t="b">
        <v>1</v>
      </c>
      <c r="R3556" t="s">
        <v>8271</v>
      </c>
      <c r="S3556" s="6">
        <f>Table1[[#This Row],[pledged]]/Table1[[#This Row],[goal]]</f>
        <v>1.1342219999999998</v>
      </c>
      <c r="T3556" s="8">
        <f>IF(Table1[[#This Row],[pledged]]=0,"no backers",Table1[[#This Row],[pledged]]/Table1[[#This Row],[backers_count]])</f>
        <v>107.00207547169811</v>
      </c>
      <c r="U3556" t="str">
        <f>LEFT(Table1[[#This Row],[Category and Sub-Category]],FIND("/",Table1[[#This Row],[Category and Sub-Category]])-1)</f>
        <v>theater</v>
      </c>
      <c r="V3556" t="str">
        <f>RIGHT(Table1[[#This Row],[Category and Sub-Category]],LEN(Table1[[#This Row],[Category and Sub-Category]])-FIND("/",Table1[[#This Row],[Category and Sub-Category]]))</f>
        <v>plays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 s="12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>((Table1[[#This Row],[deadline]]/60)/60/24)+DATE(1970,1,1)</f>
        <v>42691.483726851846</v>
      </c>
      <c r="K3557">
        <v>1476786994</v>
      </c>
      <c r="L3557" s="11">
        <f>((Table1[[#This Row],[launched_at]]/60)/60/24)+DATE(1970,1,1)</f>
        <v>42661.442060185189</v>
      </c>
      <c r="M3557">
        <f>MONTH(Table1[[#This Row],[Date Created Conversion]])</f>
        <v>10</v>
      </c>
      <c r="N3557">
        <f>YEAR(Table1[[#This Row],[Date Created Conversion]])</f>
        <v>2016</v>
      </c>
      <c r="O3557" t="b">
        <v>0</v>
      </c>
      <c r="P3557">
        <v>14</v>
      </c>
      <c r="Q3557" t="b">
        <v>1</v>
      </c>
      <c r="R3557" t="s">
        <v>8271</v>
      </c>
      <c r="S3557" s="6">
        <f>Table1[[#This Row],[pledged]]/Table1[[#This Row],[goal]]</f>
        <v>1</v>
      </c>
      <c r="T3557" s="8">
        <f>IF(Table1[[#This Row],[pledged]]=0,"no backers",Table1[[#This Row],[pledged]]/Table1[[#This Row],[backers_count]])</f>
        <v>171.42857142857142</v>
      </c>
      <c r="U3557" t="str">
        <f>LEFT(Table1[[#This Row],[Category and Sub-Category]],FIND("/",Table1[[#This Row],[Category and Sub-Category]])-1)</f>
        <v>theater</v>
      </c>
      <c r="V3557" t="str">
        <f>RIGHT(Table1[[#This Row],[Category and Sub-Category]],LEN(Table1[[#This Row],[Category and Sub-Category]])-FIND("/",Table1[[#This Row],[Category and Sub-Category]]))</f>
        <v>plays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 s="12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>((Table1[[#This Row],[deadline]]/60)/60/24)+DATE(1970,1,1)</f>
        <v>41868.649583333332</v>
      </c>
      <c r="K3558">
        <v>1403105724</v>
      </c>
      <c r="L3558" s="11">
        <f>((Table1[[#This Row],[launched_at]]/60)/60/24)+DATE(1970,1,1)</f>
        <v>41808.649583333332</v>
      </c>
      <c r="M3558">
        <f>MONTH(Table1[[#This Row],[Date Created Conversion]])</f>
        <v>6</v>
      </c>
      <c r="N3558">
        <f>YEAR(Table1[[#This Row],[Date Created Conversion]])</f>
        <v>2014</v>
      </c>
      <c r="O3558" t="b">
        <v>0</v>
      </c>
      <c r="P3558">
        <v>20</v>
      </c>
      <c r="Q3558" t="b">
        <v>1</v>
      </c>
      <c r="R3558" t="s">
        <v>8271</v>
      </c>
      <c r="S3558" s="6">
        <f>Table1[[#This Row],[pledged]]/Table1[[#This Row],[goal]]</f>
        <v>1.0045454545454546</v>
      </c>
      <c r="T3558" s="8">
        <f>IF(Table1[[#This Row],[pledged]]=0,"no backers",Table1[[#This Row],[pledged]]/Table1[[#This Row],[backers_count]])</f>
        <v>110.5</v>
      </c>
      <c r="U3558" t="str">
        <f>LEFT(Table1[[#This Row],[Category and Sub-Category]],FIND("/",Table1[[#This Row],[Category and Sub-Category]])-1)</f>
        <v>theater</v>
      </c>
      <c r="V3558" t="str">
        <f>RIGHT(Table1[[#This Row],[Category and Sub-Category]],LEN(Table1[[#This Row],[Category and Sub-Category]])-FIND("/",Table1[[#This Row],[Category and Sub-Category]]))</f>
        <v>plays</v>
      </c>
    </row>
    <row r="3559" spans="1:22" ht="57.6" x14ac:dyDescent="0.3">
      <c r="A3559">
        <v>3557</v>
      </c>
      <c r="B3559" s="3" t="s">
        <v>3556</v>
      </c>
      <c r="C3559" s="3" t="s">
        <v>7667</v>
      </c>
      <c r="D3559" s="12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>((Table1[[#This Row],[deadline]]/60)/60/24)+DATE(1970,1,1)</f>
        <v>41764.276747685188</v>
      </c>
      <c r="K3559">
        <v>1396334311</v>
      </c>
      <c r="L3559" s="11">
        <f>((Table1[[#This Row],[launched_at]]/60)/60/24)+DATE(1970,1,1)</f>
        <v>41730.276747685188</v>
      </c>
      <c r="M3559">
        <f>MONTH(Table1[[#This Row],[Date Created Conversion]])</f>
        <v>4</v>
      </c>
      <c r="N3559">
        <f>YEAR(Table1[[#This Row],[Date Created Conversion]])</f>
        <v>2014</v>
      </c>
      <c r="O3559" t="b">
        <v>0</v>
      </c>
      <c r="P3559">
        <v>558</v>
      </c>
      <c r="Q3559" t="b">
        <v>1</v>
      </c>
      <c r="R3559" t="s">
        <v>8271</v>
      </c>
      <c r="S3559" s="6">
        <f>Table1[[#This Row],[pledged]]/Table1[[#This Row],[goal]]</f>
        <v>1.0003599999999999</v>
      </c>
      <c r="T3559" s="8">
        <f>IF(Table1[[#This Row],[pledged]]=0,"no backers",Table1[[#This Row],[pledged]]/Table1[[#This Row],[backers_count]])</f>
        <v>179.27598566308242</v>
      </c>
      <c r="U3559" t="str">
        <f>LEFT(Table1[[#This Row],[Category and Sub-Category]],FIND("/",Table1[[#This Row],[Category and Sub-Category]])-1)</f>
        <v>theater</v>
      </c>
      <c r="V3559" t="str">
        <f>RIGHT(Table1[[#This Row],[Category and Sub-Category]],LEN(Table1[[#This Row],[Category and Sub-Category]])-FIND("/",Table1[[#This Row],[Category and Sub-Category]]))</f>
        <v>plays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 s="12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>((Table1[[#This Row],[deadline]]/60)/60/24)+DATE(1970,1,1)</f>
        <v>42181.875</v>
      </c>
      <c r="K3560">
        <v>1431718575</v>
      </c>
      <c r="L3560" s="11">
        <f>((Table1[[#This Row],[launched_at]]/60)/60/24)+DATE(1970,1,1)</f>
        <v>42139.816840277781</v>
      </c>
      <c r="M3560">
        <f>MONTH(Table1[[#This Row],[Date Created Conversion]])</f>
        <v>5</v>
      </c>
      <c r="N3560">
        <f>YEAR(Table1[[#This Row],[Date Created Conversion]])</f>
        <v>2015</v>
      </c>
      <c r="O3560" t="b">
        <v>0</v>
      </c>
      <c r="P3560">
        <v>22</v>
      </c>
      <c r="Q3560" t="b">
        <v>1</v>
      </c>
      <c r="R3560" t="s">
        <v>8271</v>
      </c>
      <c r="S3560" s="6">
        <f>Table1[[#This Row],[pledged]]/Table1[[#This Row],[goal]]</f>
        <v>1.44</v>
      </c>
      <c r="T3560" s="8">
        <f>IF(Table1[[#This Row],[pledged]]=0,"no backers",Table1[[#This Row],[pledged]]/Table1[[#This Row],[backers_count]])</f>
        <v>22.90909090909091</v>
      </c>
      <c r="U3560" t="str">
        <f>LEFT(Table1[[#This Row],[Category and Sub-Category]],FIND("/",Table1[[#This Row],[Category and Sub-Category]])-1)</f>
        <v>theater</v>
      </c>
      <c r="V3560" t="str">
        <f>RIGHT(Table1[[#This Row],[Category and Sub-Category]],LEN(Table1[[#This Row],[Category and Sub-Category]])-FIND("/",Table1[[#This Row],[Category and Sub-Category]]))</f>
        <v>plays</v>
      </c>
    </row>
    <row r="3561" spans="1:22" ht="57.6" x14ac:dyDescent="0.3">
      <c r="A3561">
        <v>3559</v>
      </c>
      <c r="B3561" s="3" t="s">
        <v>3558</v>
      </c>
      <c r="C3561" s="3" t="s">
        <v>7669</v>
      </c>
      <c r="D3561" s="12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>((Table1[[#This Row],[deadline]]/60)/60/24)+DATE(1970,1,1)</f>
        <v>42216.373611111107</v>
      </c>
      <c r="K3561">
        <v>1436408308</v>
      </c>
      <c r="L3561" s="11">
        <f>((Table1[[#This Row],[launched_at]]/60)/60/24)+DATE(1970,1,1)</f>
        <v>42194.096157407403</v>
      </c>
      <c r="M3561">
        <f>MONTH(Table1[[#This Row],[Date Created Conversion]])</f>
        <v>7</v>
      </c>
      <c r="N3561">
        <f>YEAR(Table1[[#This Row],[Date Created Conversion]])</f>
        <v>2015</v>
      </c>
      <c r="O3561" t="b">
        <v>0</v>
      </c>
      <c r="P3561">
        <v>24</v>
      </c>
      <c r="Q3561" t="b">
        <v>1</v>
      </c>
      <c r="R3561" t="s">
        <v>8271</v>
      </c>
      <c r="S3561" s="6">
        <f>Table1[[#This Row],[pledged]]/Table1[[#This Row],[goal]]</f>
        <v>1.0349999999999999</v>
      </c>
      <c r="T3561" s="8">
        <f>IF(Table1[[#This Row],[pledged]]=0,"no backers",Table1[[#This Row],[pledged]]/Table1[[#This Row],[backers_count]])</f>
        <v>43.125</v>
      </c>
      <c r="U3561" t="str">
        <f>LEFT(Table1[[#This Row],[Category and Sub-Category]],FIND("/",Table1[[#This Row],[Category and Sub-Category]])-1)</f>
        <v>theater</v>
      </c>
      <c r="V3561" t="str">
        <f>RIGHT(Table1[[#This Row],[Category and Sub-Category]],LEN(Table1[[#This Row],[Category and Sub-Category]])-FIND("/",Table1[[#This Row],[Category and Sub-Category]]))</f>
        <v>plays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 s="1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>((Table1[[#This Row],[deadline]]/60)/60/24)+DATE(1970,1,1)</f>
        <v>42151.114583333328</v>
      </c>
      <c r="K3562">
        <v>1429651266</v>
      </c>
      <c r="L3562" s="11">
        <f>((Table1[[#This Row],[launched_at]]/60)/60/24)+DATE(1970,1,1)</f>
        <v>42115.889652777783</v>
      </c>
      <c r="M3562">
        <f>MONTH(Table1[[#This Row],[Date Created Conversion]])</f>
        <v>4</v>
      </c>
      <c r="N3562">
        <f>YEAR(Table1[[#This Row],[Date Created Conversion]])</f>
        <v>2015</v>
      </c>
      <c r="O3562" t="b">
        <v>0</v>
      </c>
      <c r="P3562">
        <v>74</v>
      </c>
      <c r="Q3562" t="b">
        <v>1</v>
      </c>
      <c r="R3562" t="s">
        <v>8271</v>
      </c>
      <c r="S3562" s="6">
        <f>Table1[[#This Row],[pledged]]/Table1[[#This Row],[goal]]</f>
        <v>1.0843750000000001</v>
      </c>
      <c r="T3562" s="8">
        <f>IF(Table1[[#This Row],[pledged]]=0,"no backers",Table1[[#This Row],[pledged]]/Table1[[#This Row],[backers_count]])</f>
        <v>46.891891891891895</v>
      </c>
      <c r="U3562" t="str">
        <f>LEFT(Table1[[#This Row],[Category and Sub-Category]],FIND("/",Table1[[#This Row],[Category and Sub-Category]])-1)</f>
        <v>theater</v>
      </c>
      <c r="V3562" t="str">
        <f>RIGHT(Table1[[#This Row],[Category and Sub-Category]],LEN(Table1[[#This Row],[Category and Sub-Category]])-FIND("/",Table1[[#This Row],[Category and Sub-Category]]))</f>
        <v>plays</v>
      </c>
    </row>
    <row r="3563" spans="1:22" ht="115.2" x14ac:dyDescent="0.3">
      <c r="A3563">
        <v>3561</v>
      </c>
      <c r="B3563" s="3" t="s">
        <v>3560</v>
      </c>
      <c r="C3563" s="3" t="s">
        <v>7671</v>
      </c>
      <c r="D3563" s="12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>((Table1[[#This Row],[deadline]]/60)/60/24)+DATE(1970,1,1)</f>
        <v>42221.774999999994</v>
      </c>
      <c r="K3563">
        <v>1437236378</v>
      </c>
      <c r="L3563" s="11">
        <f>((Table1[[#This Row],[launched_at]]/60)/60/24)+DATE(1970,1,1)</f>
        <v>42203.680300925931</v>
      </c>
      <c r="M3563">
        <f>MONTH(Table1[[#This Row],[Date Created Conversion]])</f>
        <v>7</v>
      </c>
      <c r="N3563">
        <f>YEAR(Table1[[#This Row],[Date Created Conversion]])</f>
        <v>2015</v>
      </c>
      <c r="O3563" t="b">
        <v>0</v>
      </c>
      <c r="P3563">
        <v>54</v>
      </c>
      <c r="Q3563" t="b">
        <v>1</v>
      </c>
      <c r="R3563" t="s">
        <v>8271</v>
      </c>
      <c r="S3563" s="6">
        <f>Table1[[#This Row],[pledged]]/Table1[[#This Row],[goal]]</f>
        <v>1.024</v>
      </c>
      <c r="T3563" s="8">
        <f>IF(Table1[[#This Row],[pledged]]=0,"no backers",Table1[[#This Row],[pledged]]/Table1[[#This Row],[backers_count]])</f>
        <v>47.407407407407405</v>
      </c>
      <c r="U3563" t="str">
        <f>LEFT(Table1[[#This Row],[Category and Sub-Category]],FIND("/",Table1[[#This Row],[Category and Sub-Category]])-1)</f>
        <v>theater</v>
      </c>
      <c r="V3563" t="str">
        <f>RIGHT(Table1[[#This Row],[Category and Sub-Category]],LEN(Table1[[#This Row],[Category and Sub-Category]])-FIND("/",Table1[[#This Row],[Category and Sub-Category]]))</f>
        <v>plays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 s="12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>((Table1[[#This Row],[deadline]]/60)/60/24)+DATE(1970,1,1)</f>
        <v>42442.916666666672</v>
      </c>
      <c r="K3564">
        <v>1457115427</v>
      </c>
      <c r="L3564" s="11">
        <f>((Table1[[#This Row],[launched_at]]/60)/60/24)+DATE(1970,1,1)</f>
        <v>42433.761886574073</v>
      </c>
      <c r="M3564">
        <f>MONTH(Table1[[#This Row],[Date Created Conversion]])</f>
        <v>3</v>
      </c>
      <c r="N3564">
        <f>YEAR(Table1[[#This Row],[Date Created Conversion]])</f>
        <v>2016</v>
      </c>
      <c r="O3564" t="b">
        <v>0</v>
      </c>
      <c r="P3564">
        <v>31</v>
      </c>
      <c r="Q3564" t="b">
        <v>1</v>
      </c>
      <c r="R3564" t="s">
        <v>8271</v>
      </c>
      <c r="S3564" s="6">
        <f>Table1[[#This Row],[pledged]]/Table1[[#This Row],[goal]]</f>
        <v>1.4888888888888889</v>
      </c>
      <c r="T3564" s="8">
        <f>IF(Table1[[#This Row],[pledged]]=0,"no backers",Table1[[#This Row],[pledged]]/Table1[[#This Row],[backers_count]])</f>
        <v>15.129032258064516</v>
      </c>
      <c r="U3564" t="str">
        <f>LEFT(Table1[[#This Row],[Category and Sub-Category]],FIND("/",Table1[[#This Row],[Category and Sub-Category]])-1)</f>
        <v>theater</v>
      </c>
      <c r="V3564" t="str">
        <f>RIGHT(Table1[[#This Row],[Category and Sub-Category]],LEN(Table1[[#This Row],[Category and Sub-Category]])-FIND("/",Table1[[#This Row],[Category and Sub-Category]]))</f>
        <v>plays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 s="12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>((Table1[[#This Row],[deadline]]/60)/60/24)+DATE(1970,1,1)</f>
        <v>42583.791666666672</v>
      </c>
      <c r="K3565">
        <v>1467648456</v>
      </c>
      <c r="L3565" s="11">
        <f>((Table1[[#This Row],[launched_at]]/60)/60/24)+DATE(1970,1,1)</f>
        <v>42555.671944444446</v>
      </c>
      <c r="M3565">
        <f>MONTH(Table1[[#This Row],[Date Created Conversion]])</f>
        <v>7</v>
      </c>
      <c r="N3565">
        <f>YEAR(Table1[[#This Row],[Date Created Conversion]])</f>
        <v>2016</v>
      </c>
      <c r="O3565" t="b">
        <v>0</v>
      </c>
      <c r="P3565">
        <v>25</v>
      </c>
      <c r="Q3565" t="b">
        <v>1</v>
      </c>
      <c r="R3565" t="s">
        <v>8271</v>
      </c>
      <c r="S3565" s="6">
        <f>Table1[[#This Row],[pledged]]/Table1[[#This Row],[goal]]</f>
        <v>1.0549000000000002</v>
      </c>
      <c r="T3565" s="8">
        <f>IF(Table1[[#This Row],[pledged]]=0,"no backers",Table1[[#This Row],[pledged]]/Table1[[#This Row],[backers_count]])</f>
        <v>21.098000000000003</v>
      </c>
      <c r="U3565" t="str">
        <f>LEFT(Table1[[#This Row],[Category and Sub-Category]],FIND("/",Table1[[#This Row],[Category and Sub-Category]])-1)</f>
        <v>theater</v>
      </c>
      <c r="V3565" t="str">
        <f>RIGHT(Table1[[#This Row],[Category and Sub-Category]],LEN(Table1[[#This Row],[Category and Sub-Category]])-FIND("/",Table1[[#This Row],[Category and Sub-Category]]))</f>
        <v>plays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 s="12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>((Table1[[#This Row],[deadline]]/60)/60/24)+DATE(1970,1,1)</f>
        <v>42282.666666666672</v>
      </c>
      <c r="K3566">
        <v>1440082649</v>
      </c>
      <c r="L3566" s="11">
        <f>((Table1[[#This Row],[launched_at]]/60)/60/24)+DATE(1970,1,1)</f>
        <v>42236.623252314821</v>
      </c>
      <c r="M3566">
        <f>MONTH(Table1[[#This Row],[Date Created Conversion]])</f>
        <v>8</v>
      </c>
      <c r="N3566">
        <f>YEAR(Table1[[#This Row],[Date Created Conversion]])</f>
        <v>2015</v>
      </c>
      <c r="O3566" t="b">
        <v>0</v>
      </c>
      <c r="P3566">
        <v>17</v>
      </c>
      <c r="Q3566" t="b">
        <v>1</v>
      </c>
      <c r="R3566" t="s">
        <v>8271</v>
      </c>
      <c r="S3566" s="6">
        <f>Table1[[#This Row],[pledged]]/Table1[[#This Row],[goal]]</f>
        <v>1.0049999999999999</v>
      </c>
      <c r="T3566" s="8">
        <f>IF(Table1[[#This Row],[pledged]]=0,"no backers",Table1[[#This Row],[pledged]]/Table1[[#This Row],[backers_count]])</f>
        <v>59.117647058823529</v>
      </c>
      <c r="U3566" t="str">
        <f>LEFT(Table1[[#This Row],[Category and Sub-Category]],FIND("/",Table1[[#This Row],[Category and Sub-Category]])-1)</f>
        <v>theater</v>
      </c>
      <c r="V3566" t="str">
        <f>RIGHT(Table1[[#This Row],[Category and Sub-Category]],LEN(Table1[[#This Row],[Category and Sub-Category]])-FIND("/",Table1[[#This Row],[Category and Sub-Category]]))</f>
        <v>plays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 s="12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>((Table1[[#This Row],[deadline]]/60)/60/24)+DATE(1970,1,1)</f>
        <v>42004.743148148147</v>
      </c>
      <c r="K3567">
        <v>1417456208</v>
      </c>
      <c r="L3567" s="11">
        <f>((Table1[[#This Row],[launched_at]]/60)/60/24)+DATE(1970,1,1)</f>
        <v>41974.743148148147</v>
      </c>
      <c r="M3567">
        <f>MONTH(Table1[[#This Row],[Date Created Conversion]])</f>
        <v>12</v>
      </c>
      <c r="N3567">
        <f>YEAR(Table1[[#This Row],[Date Created Conversion]])</f>
        <v>2014</v>
      </c>
      <c r="O3567" t="b">
        <v>0</v>
      </c>
      <c r="P3567">
        <v>12</v>
      </c>
      <c r="Q3567" t="b">
        <v>1</v>
      </c>
      <c r="R3567" t="s">
        <v>8271</v>
      </c>
      <c r="S3567" s="6">
        <f>Table1[[#This Row],[pledged]]/Table1[[#This Row],[goal]]</f>
        <v>1.3055555555555556</v>
      </c>
      <c r="T3567" s="8">
        <f>IF(Table1[[#This Row],[pledged]]=0,"no backers",Table1[[#This Row],[pledged]]/Table1[[#This Row],[backers_count]])</f>
        <v>97.916666666666671</v>
      </c>
      <c r="U3567" t="str">
        <f>LEFT(Table1[[#This Row],[Category and Sub-Category]],FIND("/",Table1[[#This Row],[Category and Sub-Category]])-1)</f>
        <v>theater</v>
      </c>
      <c r="V3567" t="str">
        <f>RIGHT(Table1[[#This Row],[Category and Sub-Category]],LEN(Table1[[#This Row],[Category and Sub-Category]])-FIND("/",Table1[[#This Row],[Category and Sub-Category]]))</f>
        <v>plays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 s="12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>((Table1[[#This Row],[deadline]]/60)/60/24)+DATE(1970,1,1)</f>
        <v>42027.507905092592</v>
      </c>
      <c r="K3568">
        <v>1419423083</v>
      </c>
      <c r="L3568" s="11">
        <f>((Table1[[#This Row],[launched_at]]/60)/60/24)+DATE(1970,1,1)</f>
        <v>41997.507905092592</v>
      </c>
      <c r="M3568">
        <f>MONTH(Table1[[#This Row],[Date Created Conversion]])</f>
        <v>12</v>
      </c>
      <c r="N3568">
        <f>YEAR(Table1[[#This Row],[Date Created Conversion]])</f>
        <v>2014</v>
      </c>
      <c r="O3568" t="b">
        <v>0</v>
      </c>
      <c r="P3568">
        <v>38</v>
      </c>
      <c r="Q3568" t="b">
        <v>1</v>
      </c>
      <c r="R3568" t="s">
        <v>8271</v>
      </c>
      <c r="S3568" s="6">
        <f>Table1[[#This Row],[pledged]]/Table1[[#This Row],[goal]]</f>
        <v>1.0475000000000001</v>
      </c>
      <c r="T3568" s="8">
        <f>IF(Table1[[#This Row],[pledged]]=0,"no backers",Table1[[#This Row],[pledged]]/Table1[[#This Row],[backers_count]])</f>
        <v>55.131578947368418</v>
      </c>
      <c r="U3568" t="str">
        <f>LEFT(Table1[[#This Row],[Category and Sub-Category]],FIND("/",Table1[[#This Row],[Category and Sub-Category]])-1)</f>
        <v>theater</v>
      </c>
      <c r="V3568" t="str">
        <f>RIGHT(Table1[[#This Row],[Category and Sub-Category]],LEN(Table1[[#This Row],[Category and Sub-Category]])-FIND("/",Table1[[#This Row],[Category and Sub-Category]]))</f>
        <v>plays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 s="12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>((Table1[[#This Row],[deadline]]/60)/60/24)+DATE(1970,1,1)</f>
        <v>42165.810694444444</v>
      </c>
      <c r="K3569">
        <v>1431372444</v>
      </c>
      <c r="L3569" s="11">
        <f>((Table1[[#This Row],[launched_at]]/60)/60/24)+DATE(1970,1,1)</f>
        <v>42135.810694444444</v>
      </c>
      <c r="M3569">
        <f>MONTH(Table1[[#This Row],[Date Created Conversion]])</f>
        <v>5</v>
      </c>
      <c r="N3569">
        <f>YEAR(Table1[[#This Row],[Date Created Conversion]])</f>
        <v>2015</v>
      </c>
      <c r="O3569" t="b">
        <v>0</v>
      </c>
      <c r="P3569">
        <v>41</v>
      </c>
      <c r="Q3569" t="b">
        <v>1</v>
      </c>
      <c r="R3569" t="s">
        <v>8271</v>
      </c>
      <c r="S3569" s="6">
        <f>Table1[[#This Row],[pledged]]/Table1[[#This Row],[goal]]</f>
        <v>1.0880000000000001</v>
      </c>
      <c r="T3569" s="8">
        <f>IF(Table1[[#This Row],[pledged]]=0,"no backers",Table1[[#This Row],[pledged]]/Table1[[#This Row],[backers_count]])</f>
        <v>26.536585365853657</v>
      </c>
      <c r="U3569" t="str">
        <f>LEFT(Table1[[#This Row],[Category and Sub-Category]],FIND("/",Table1[[#This Row],[Category and Sub-Category]])-1)</f>
        <v>theater</v>
      </c>
      <c r="V3569" t="str">
        <f>RIGHT(Table1[[#This Row],[Category and Sub-Category]],LEN(Table1[[#This Row],[Category and Sub-Category]])-FIND("/",Table1[[#This Row],[Category and Sub-Category]]))</f>
        <v>plays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 s="12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>((Table1[[#This Row],[deadline]]/60)/60/24)+DATE(1970,1,1)</f>
        <v>41899.740671296298</v>
      </c>
      <c r="K3570">
        <v>1408383994</v>
      </c>
      <c r="L3570" s="11">
        <f>((Table1[[#This Row],[launched_at]]/60)/60/24)+DATE(1970,1,1)</f>
        <v>41869.740671296298</v>
      </c>
      <c r="M3570">
        <f>MONTH(Table1[[#This Row],[Date Created Conversion]])</f>
        <v>8</v>
      </c>
      <c r="N3570">
        <f>YEAR(Table1[[#This Row],[Date Created Conversion]])</f>
        <v>2014</v>
      </c>
      <c r="O3570" t="b">
        <v>0</v>
      </c>
      <c r="P3570">
        <v>19</v>
      </c>
      <c r="Q3570" t="b">
        <v>1</v>
      </c>
      <c r="R3570" t="s">
        <v>8271</v>
      </c>
      <c r="S3570" s="6">
        <f>Table1[[#This Row],[pledged]]/Table1[[#This Row],[goal]]</f>
        <v>1.1100000000000001</v>
      </c>
      <c r="T3570" s="8">
        <f>IF(Table1[[#This Row],[pledged]]=0,"no backers",Table1[[#This Row],[pledged]]/Table1[[#This Row],[backers_count]])</f>
        <v>58.421052631578945</v>
      </c>
      <c r="U3570" t="str">
        <f>LEFT(Table1[[#This Row],[Category and Sub-Category]],FIND("/",Table1[[#This Row],[Category and Sub-Category]])-1)</f>
        <v>theater</v>
      </c>
      <c r="V3570" t="str">
        <f>RIGHT(Table1[[#This Row],[Category and Sub-Category]],LEN(Table1[[#This Row],[Category and Sub-Category]])-FIND("/",Table1[[#This Row],[Category and Sub-Category]]))</f>
        <v>plays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 s="12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>((Table1[[#This Row],[deadline]]/60)/60/24)+DATE(1970,1,1)</f>
        <v>42012.688611111109</v>
      </c>
      <c r="K3571">
        <v>1418142696</v>
      </c>
      <c r="L3571" s="11">
        <f>((Table1[[#This Row],[launched_at]]/60)/60/24)+DATE(1970,1,1)</f>
        <v>41982.688611111109</v>
      </c>
      <c r="M3571">
        <f>MONTH(Table1[[#This Row],[Date Created Conversion]])</f>
        <v>12</v>
      </c>
      <c r="N3571">
        <f>YEAR(Table1[[#This Row],[Date Created Conversion]])</f>
        <v>2014</v>
      </c>
      <c r="O3571" t="b">
        <v>0</v>
      </c>
      <c r="P3571">
        <v>41</v>
      </c>
      <c r="Q3571" t="b">
        <v>1</v>
      </c>
      <c r="R3571" t="s">
        <v>8271</v>
      </c>
      <c r="S3571" s="6">
        <f>Table1[[#This Row],[pledged]]/Table1[[#This Row],[goal]]</f>
        <v>1.0047999999999999</v>
      </c>
      <c r="T3571" s="8">
        <f>IF(Table1[[#This Row],[pledged]]=0,"no backers",Table1[[#This Row],[pledged]]/Table1[[#This Row],[backers_count]])</f>
        <v>122.53658536585365</v>
      </c>
      <c r="U3571" t="str">
        <f>LEFT(Table1[[#This Row],[Category and Sub-Category]],FIND("/",Table1[[#This Row],[Category and Sub-Category]])-1)</f>
        <v>theater</v>
      </c>
      <c r="V3571" t="str">
        <f>RIGHT(Table1[[#This Row],[Category and Sub-Category]],LEN(Table1[[#This Row],[Category and Sub-Category]])-FIND("/",Table1[[#This Row],[Category and Sub-Category]]))</f>
        <v>plays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 s="1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>((Table1[[#This Row],[deadline]]/60)/60/24)+DATE(1970,1,1)</f>
        <v>42004.291666666672</v>
      </c>
      <c r="K3572">
        <v>1417593483</v>
      </c>
      <c r="L3572" s="11">
        <f>((Table1[[#This Row],[launched_at]]/60)/60/24)+DATE(1970,1,1)</f>
        <v>41976.331979166673</v>
      </c>
      <c r="M3572">
        <f>MONTH(Table1[[#This Row],[Date Created Conversion]])</f>
        <v>12</v>
      </c>
      <c r="N3572">
        <f>YEAR(Table1[[#This Row],[Date Created Conversion]])</f>
        <v>2014</v>
      </c>
      <c r="O3572" t="b">
        <v>0</v>
      </c>
      <c r="P3572">
        <v>26</v>
      </c>
      <c r="Q3572" t="b">
        <v>1</v>
      </c>
      <c r="R3572" t="s">
        <v>8271</v>
      </c>
      <c r="S3572" s="6">
        <f>Table1[[#This Row],[pledged]]/Table1[[#This Row],[goal]]</f>
        <v>1.1435</v>
      </c>
      <c r="T3572" s="8">
        <f>IF(Table1[[#This Row],[pledged]]=0,"no backers",Table1[[#This Row],[pledged]]/Table1[[#This Row],[backers_count]])</f>
        <v>87.961538461538467</v>
      </c>
      <c r="U3572" t="str">
        <f>LEFT(Table1[[#This Row],[Category and Sub-Category]],FIND("/",Table1[[#This Row],[Category and Sub-Category]])-1)</f>
        <v>theater</v>
      </c>
      <c r="V3572" t="str">
        <f>RIGHT(Table1[[#This Row],[Category and Sub-Category]],LEN(Table1[[#This Row],[Category and Sub-Category]])-FIND("/",Table1[[#This Row],[Category and Sub-Category]]))</f>
        <v>plays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 s="12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>((Table1[[#This Row],[deadline]]/60)/60/24)+DATE(1970,1,1)</f>
        <v>41942.858946759261</v>
      </c>
      <c r="K3573">
        <v>1412109413</v>
      </c>
      <c r="L3573" s="11">
        <f>((Table1[[#This Row],[launched_at]]/60)/60/24)+DATE(1970,1,1)</f>
        <v>41912.858946759261</v>
      </c>
      <c r="M3573">
        <f>MONTH(Table1[[#This Row],[Date Created Conversion]])</f>
        <v>9</v>
      </c>
      <c r="N3573">
        <f>YEAR(Table1[[#This Row],[Date Created Conversion]])</f>
        <v>2014</v>
      </c>
      <c r="O3573" t="b">
        <v>0</v>
      </c>
      <c r="P3573">
        <v>25</v>
      </c>
      <c r="Q3573" t="b">
        <v>1</v>
      </c>
      <c r="R3573" t="s">
        <v>8271</v>
      </c>
      <c r="S3573" s="6">
        <f>Table1[[#This Row],[pledged]]/Table1[[#This Row],[goal]]</f>
        <v>1.2206666666666666</v>
      </c>
      <c r="T3573" s="8">
        <f>IF(Table1[[#This Row],[pledged]]=0,"no backers",Table1[[#This Row],[pledged]]/Table1[[#This Row],[backers_count]])</f>
        <v>73.239999999999995</v>
      </c>
      <c r="U3573" t="str">
        <f>LEFT(Table1[[#This Row],[Category and Sub-Category]],FIND("/",Table1[[#This Row],[Category and Sub-Category]])-1)</f>
        <v>theater</v>
      </c>
      <c r="V3573" t="str">
        <f>RIGHT(Table1[[#This Row],[Category and Sub-Category]],LEN(Table1[[#This Row],[Category and Sub-Category]])-FIND("/",Table1[[#This Row],[Category and Sub-Category]]))</f>
        <v>plays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 s="12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>((Table1[[#This Row],[deadline]]/60)/60/24)+DATE(1970,1,1)</f>
        <v>42176.570393518516</v>
      </c>
      <c r="K3574">
        <v>1432302082</v>
      </c>
      <c r="L3574" s="11">
        <f>((Table1[[#This Row],[launched_at]]/60)/60/24)+DATE(1970,1,1)</f>
        <v>42146.570393518516</v>
      </c>
      <c r="M3574">
        <f>MONTH(Table1[[#This Row],[Date Created Conversion]])</f>
        <v>5</v>
      </c>
      <c r="N3574">
        <f>YEAR(Table1[[#This Row],[Date Created Conversion]])</f>
        <v>2015</v>
      </c>
      <c r="O3574" t="b">
        <v>0</v>
      </c>
      <c r="P3574">
        <v>9</v>
      </c>
      <c r="Q3574" t="b">
        <v>1</v>
      </c>
      <c r="R3574" t="s">
        <v>8271</v>
      </c>
      <c r="S3574" s="6">
        <f>Table1[[#This Row],[pledged]]/Table1[[#This Row],[goal]]</f>
        <v>1</v>
      </c>
      <c r="T3574" s="8">
        <f>IF(Table1[[#This Row],[pledged]]=0,"no backers",Table1[[#This Row],[pledged]]/Table1[[#This Row],[backers_count]])</f>
        <v>55.555555555555557</v>
      </c>
      <c r="U3574" t="str">
        <f>LEFT(Table1[[#This Row],[Category and Sub-Category]],FIND("/",Table1[[#This Row],[Category and Sub-Category]])-1)</f>
        <v>theater</v>
      </c>
      <c r="V3574" t="str">
        <f>RIGHT(Table1[[#This Row],[Category and Sub-Category]],LEN(Table1[[#This Row],[Category and Sub-Category]])-FIND("/",Table1[[#This Row],[Category and Sub-Category]]))</f>
        <v>plays</v>
      </c>
    </row>
    <row r="3575" spans="1:22" ht="43.2" x14ac:dyDescent="0.3">
      <c r="A3575">
        <v>3573</v>
      </c>
      <c r="B3575" s="3" t="s">
        <v>3572</v>
      </c>
      <c r="C3575" s="3" t="s">
        <v>7683</v>
      </c>
      <c r="D3575" s="12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>((Table1[[#This Row],[deadline]]/60)/60/24)+DATE(1970,1,1)</f>
        <v>41951.417199074072</v>
      </c>
      <c r="K3575">
        <v>1412845246</v>
      </c>
      <c r="L3575" s="11">
        <f>((Table1[[#This Row],[launched_at]]/60)/60/24)+DATE(1970,1,1)</f>
        <v>41921.375532407408</v>
      </c>
      <c r="M3575">
        <f>MONTH(Table1[[#This Row],[Date Created Conversion]])</f>
        <v>10</v>
      </c>
      <c r="N3575">
        <f>YEAR(Table1[[#This Row],[Date Created Conversion]])</f>
        <v>2014</v>
      </c>
      <c r="O3575" t="b">
        <v>0</v>
      </c>
      <c r="P3575">
        <v>78</v>
      </c>
      <c r="Q3575" t="b">
        <v>1</v>
      </c>
      <c r="R3575" t="s">
        <v>8271</v>
      </c>
      <c r="S3575" s="6">
        <f>Table1[[#This Row],[pledged]]/Table1[[#This Row],[goal]]</f>
        <v>1.028</v>
      </c>
      <c r="T3575" s="8">
        <f>IF(Table1[[#This Row],[pledged]]=0,"no backers",Table1[[#This Row],[pledged]]/Table1[[#This Row],[backers_count]])</f>
        <v>39.53846153846154</v>
      </c>
      <c r="U3575" t="str">
        <f>LEFT(Table1[[#This Row],[Category and Sub-Category]],FIND("/",Table1[[#This Row],[Category and Sub-Category]])-1)</f>
        <v>theater</v>
      </c>
      <c r="V3575" t="str">
        <f>RIGHT(Table1[[#This Row],[Category and Sub-Category]],LEN(Table1[[#This Row],[Category and Sub-Category]])-FIND("/",Table1[[#This Row],[Category and Sub-Category]]))</f>
        <v>plays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 s="12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>((Table1[[#This Row],[deadline]]/60)/60/24)+DATE(1970,1,1)</f>
        <v>41956.984351851846</v>
      </c>
      <c r="K3576">
        <v>1413326248</v>
      </c>
      <c r="L3576" s="11">
        <f>((Table1[[#This Row],[launched_at]]/60)/60/24)+DATE(1970,1,1)</f>
        <v>41926.942685185182</v>
      </c>
      <c r="M3576">
        <f>MONTH(Table1[[#This Row],[Date Created Conversion]])</f>
        <v>10</v>
      </c>
      <c r="N3576">
        <f>YEAR(Table1[[#This Row],[Date Created Conversion]])</f>
        <v>2014</v>
      </c>
      <c r="O3576" t="b">
        <v>0</v>
      </c>
      <c r="P3576">
        <v>45</v>
      </c>
      <c r="Q3576" t="b">
        <v>1</v>
      </c>
      <c r="R3576" t="s">
        <v>8271</v>
      </c>
      <c r="S3576" s="6">
        <f>Table1[[#This Row],[pledged]]/Table1[[#This Row],[goal]]</f>
        <v>1.0612068965517241</v>
      </c>
      <c r="T3576" s="8">
        <f>IF(Table1[[#This Row],[pledged]]=0,"no backers",Table1[[#This Row],[pledged]]/Table1[[#This Row],[backers_count]])</f>
        <v>136.77777777777777</v>
      </c>
      <c r="U3576" t="str">
        <f>LEFT(Table1[[#This Row],[Category and Sub-Category]],FIND("/",Table1[[#This Row],[Category and Sub-Category]])-1)</f>
        <v>theater</v>
      </c>
      <c r="V3576" t="str">
        <f>RIGHT(Table1[[#This Row],[Category and Sub-Category]],LEN(Table1[[#This Row],[Category and Sub-Category]])-FIND("/",Table1[[#This Row],[Category and Sub-Category]]))</f>
        <v>plays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 s="12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>((Table1[[#This Row],[deadline]]/60)/60/24)+DATE(1970,1,1)</f>
        <v>42593.165972222225</v>
      </c>
      <c r="K3577">
        <v>1468176527</v>
      </c>
      <c r="L3577" s="11">
        <f>((Table1[[#This Row],[launched_at]]/60)/60/24)+DATE(1970,1,1)</f>
        <v>42561.783877314811</v>
      </c>
      <c r="M3577">
        <f>MONTH(Table1[[#This Row],[Date Created Conversion]])</f>
        <v>7</v>
      </c>
      <c r="N3577">
        <f>YEAR(Table1[[#This Row],[Date Created Conversion]])</f>
        <v>2016</v>
      </c>
      <c r="O3577" t="b">
        <v>0</v>
      </c>
      <c r="P3577">
        <v>102</v>
      </c>
      <c r="Q3577" t="b">
        <v>1</v>
      </c>
      <c r="R3577" t="s">
        <v>8271</v>
      </c>
      <c r="S3577" s="6">
        <f>Table1[[#This Row],[pledged]]/Table1[[#This Row],[goal]]</f>
        <v>1.0133000000000001</v>
      </c>
      <c r="T3577" s="8">
        <f>IF(Table1[[#This Row],[pledged]]=0,"no backers",Table1[[#This Row],[pledged]]/Table1[[#This Row],[backers_count]])</f>
        <v>99.343137254901961</v>
      </c>
      <c r="U3577" t="str">
        <f>LEFT(Table1[[#This Row],[Category and Sub-Category]],FIND("/",Table1[[#This Row],[Category and Sub-Category]])-1)</f>
        <v>theater</v>
      </c>
      <c r="V3577" t="str">
        <f>RIGHT(Table1[[#This Row],[Category and Sub-Category]],LEN(Table1[[#This Row],[Category and Sub-Category]])-FIND("/",Table1[[#This Row],[Category and Sub-Category]]))</f>
        <v>plays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 s="12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>((Table1[[#This Row],[deadline]]/60)/60/24)+DATE(1970,1,1)</f>
        <v>42709.590902777782</v>
      </c>
      <c r="K3578">
        <v>1475759454</v>
      </c>
      <c r="L3578" s="11">
        <f>((Table1[[#This Row],[launched_at]]/60)/60/24)+DATE(1970,1,1)</f>
        <v>42649.54923611111</v>
      </c>
      <c r="M3578">
        <f>MONTH(Table1[[#This Row],[Date Created Conversion]])</f>
        <v>10</v>
      </c>
      <c r="N3578">
        <f>YEAR(Table1[[#This Row],[Date Created Conversion]])</f>
        <v>2016</v>
      </c>
      <c r="O3578" t="b">
        <v>0</v>
      </c>
      <c r="P3578">
        <v>5</v>
      </c>
      <c r="Q3578" t="b">
        <v>1</v>
      </c>
      <c r="R3578" t="s">
        <v>8271</v>
      </c>
      <c r="S3578" s="6">
        <f>Table1[[#This Row],[pledged]]/Table1[[#This Row],[goal]]</f>
        <v>1</v>
      </c>
      <c r="T3578" s="8">
        <f>IF(Table1[[#This Row],[pledged]]=0,"no backers",Table1[[#This Row],[pledged]]/Table1[[#This Row],[backers_count]])</f>
        <v>20</v>
      </c>
      <c r="U3578" t="str">
        <f>LEFT(Table1[[#This Row],[Category and Sub-Category]],FIND("/",Table1[[#This Row],[Category and Sub-Category]])-1)</f>
        <v>theater</v>
      </c>
      <c r="V3578" t="str">
        <f>RIGHT(Table1[[#This Row],[Category and Sub-Category]],LEN(Table1[[#This Row],[Category and Sub-Category]])-FIND("/",Table1[[#This Row],[Category and Sub-Category]]))</f>
        <v>plays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 s="12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>((Table1[[#This Row],[deadline]]/60)/60/24)+DATE(1970,1,1)</f>
        <v>42120.26944444445</v>
      </c>
      <c r="K3579">
        <v>1427741583</v>
      </c>
      <c r="L3579" s="11">
        <f>((Table1[[#This Row],[launched_at]]/60)/60/24)+DATE(1970,1,1)</f>
        <v>42093.786840277782</v>
      </c>
      <c r="M3579">
        <f>MONTH(Table1[[#This Row],[Date Created Conversion]])</f>
        <v>3</v>
      </c>
      <c r="N3579">
        <f>YEAR(Table1[[#This Row],[Date Created Conversion]])</f>
        <v>2015</v>
      </c>
      <c r="O3579" t="b">
        <v>0</v>
      </c>
      <c r="P3579">
        <v>27</v>
      </c>
      <c r="Q3579" t="b">
        <v>1</v>
      </c>
      <c r="R3579" t="s">
        <v>8271</v>
      </c>
      <c r="S3579" s="6">
        <f>Table1[[#This Row],[pledged]]/Table1[[#This Row],[goal]]</f>
        <v>1.3</v>
      </c>
      <c r="T3579" s="8">
        <f>IF(Table1[[#This Row],[pledged]]=0,"no backers",Table1[[#This Row],[pledged]]/Table1[[#This Row],[backers_count]])</f>
        <v>28.888888888888889</v>
      </c>
      <c r="U3579" t="str">
        <f>LEFT(Table1[[#This Row],[Category and Sub-Category]],FIND("/",Table1[[#This Row],[Category and Sub-Category]])-1)</f>
        <v>theater</v>
      </c>
      <c r="V3579" t="str">
        <f>RIGHT(Table1[[#This Row],[Category and Sub-Category]],LEN(Table1[[#This Row],[Category and Sub-Category]])-FIND("/",Table1[[#This Row],[Category and Sub-Category]]))</f>
        <v>plays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 s="12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>((Table1[[#This Row],[deadline]]/60)/60/24)+DATE(1970,1,1)</f>
        <v>42490.733530092592</v>
      </c>
      <c r="K3580">
        <v>1459445777</v>
      </c>
      <c r="L3580" s="11">
        <f>((Table1[[#This Row],[launched_at]]/60)/60/24)+DATE(1970,1,1)</f>
        <v>42460.733530092592</v>
      </c>
      <c r="M3580">
        <f>MONTH(Table1[[#This Row],[Date Created Conversion]])</f>
        <v>3</v>
      </c>
      <c r="N3580">
        <f>YEAR(Table1[[#This Row],[Date Created Conversion]])</f>
        <v>2016</v>
      </c>
      <c r="O3580" t="b">
        <v>0</v>
      </c>
      <c r="P3580">
        <v>37</v>
      </c>
      <c r="Q3580" t="b">
        <v>1</v>
      </c>
      <c r="R3580" t="s">
        <v>8271</v>
      </c>
      <c r="S3580" s="6">
        <f>Table1[[#This Row],[pledged]]/Table1[[#This Row],[goal]]</f>
        <v>1.0001333333333333</v>
      </c>
      <c r="T3580" s="8">
        <f>IF(Table1[[#This Row],[pledged]]=0,"no backers",Table1[[#This Row],[pledged]]/Table1[[#This Row],[backers_count]])</f>
        <v>40.545945945945945</v>
      </c>
      <c r="U3580" t="str">
        <f>LEFT(Table1[[#This Row],[Category and Sub-Category]],FIND("/",Table1[[#This Row],[Category and Sub-Category]])-1)</f>
        <v>theater</v>
      </c>
      <c r="V3580" t="str">
        <f>RIGHT(Table1[[#This Row],[Category and Sub-Category]],LEN(Table1[[#This Row],[Category and Sub-Category]])-FIND("/",Table1[[#This Row],[Category and Sub-Category]]))</f>
        <v>plays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 s="12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>((Table1[[#This Row],[deadline]]/60)/60/24)+DATE(1970,1,1)</f>
        <v>42460.720555555556</v>
      </c>
      <c r="K3581">
        <v>1456856256</v>
      </c>
      <c r="L3581" s="11">
        <f>((Table1[[#This Row],[launched_at]]/60)/60/24)+DATE(1970,1,1)</f>
        <v>42430.762222222227</v>
      </c>
      <c r="M3581">
        <f>MONTH(Table1[[#This Row],[Date Created Conversion]])</f>
        <v>3</v>
      </c>
      <c r="N3581">
        <f>YEAR(Table1[[#This Row],[Date Created Conversion]])</f>
        <v>2016</v>
      </c>
      <c r="O3581" t="b">
        <v>0</v>
      </c>
      <c r="P3581">
        <v>14</v>
      </c>
      <c r="Q3581" t="b">
        <v>1</v>
      </c>
      <c r="R3581" t="s">
        <v>8271</v>
      </c>
      <c r="S3581" s="6">
        <f>Table1[[#This Row],[pledged]]/Table1[[#This Row],[goal]]</f>
        <v>1</v>
      </c>
      <c r="T3581" s="8">
        <f>IF(Table1[[#This Row],[pledged]]=0,"no backers",Table1[[#This Row],[pledged]]/Table1[[#This Row],[backers_count]])</f>
        <v>35.714285714285715</v>
      </c>
      <c r="U3581" t="str">
        <f>LEFT(Table1[[#This Row],[Category and Sub-Category]],FIND("/",Table1[[#This Row],[Category and Sub-Category]])-1)</f>
        <v>theater</v>
      </c>
      <c r="V3581" t="str">
        <f>RIGHT(Table1[[#This Row],[Category and Sub-Category]],LEN(Table1[[#This Row],[Category and Sub-Category]])-FIND("/",Table1[[#This Row],[Category and Sub-Category]]))</f>
        <v>plays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 s="1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>((Table1[[#This Row],[deadline]]/60)/60/24)+DATE(1970,1,1)</f>
        <v>42064.207638888889</v>
      </c>
      <c r="K3582">
        <v>1421900022</v>
      </c>
      <c r="L3582" s="11">
        <f>((Table1[[#This Row],[launched_at]]/60)/60/24)+DATE(1970,1,1)</f>
        <v>42026.176180555558</v>
      </c>
      <c r="M3582">
        <f>MONTH(Table1[[#This Row],[Date Created Conversion]])</f>
        <v>1</v>
      </c>
      <c r="N3582">
        <f>YEAR(Table1[[#This Row],[Date Created Conversion]])</f>
        <v>2015</v>
      </c>
      <c r="O3582" t="b">
        <v>0</v>
      </c>
      <c r="P3582">
        <v>27</v>
      </c>
      <c r="Q3582" t="b">
        <v>1</v>
      </c>
      <c r="R3582" t="s">
        <v>8271</v>
      </c>
      <c r="S3582" s="6">
        <f>Table1[[#This Row],[pledged]]/Table1[[#This Row],[goal]]</f>
        <v>1.1388888888888888</v>
      </c>
      <c r="T3582" s="8">
        <f>IF(Table1[[#This Row],[pledged]]=0,"no backers",Table1[[#This Row],[pledged]]/Table1[[#This Row],[backers_count]])</f>
        <v>37.962962962962962</v>
      </c>
      <c r="U3582" t="str">
        <f>LEFT(Table1[[#This Row],[Category and Sub-Category]],FIND("/",Table1[[#This Row],[Category and Sub-Category]])-1)</f>
        <v>theater</v>
      </c>
      <c r="V3582" t="str">
        <f>RIGHT(Table1[[#This Row],[Category and Sub-Category]],LEN(Table1[[#This Row],[Category and Sub-Category]])-FIND("/",Table1[[#This Row],[Category and Sub-Category]]))</f>
        <v>plays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 s="12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>((Table1[[#This Row],[deadline]]/60)/60/24)+DATE(1970,1,1)</f>
        <v>41850.471180555556</v>
      </c>
      <c r="K3583">
        <v>1405509510</v>
      </c>
      <c r="L3583" s="11">
        <f>((Table1[[#This Row],[launched_at]]/60)/60/24)+DATE(1970,1,1)</f>
        <v>41836.471180555556</v>
      </c>
      <c r="M3583">
        <f>MONTH(Table1[[#This Row],[Date Created Conversion]])</f>
        <v>7</v>
      </c>
      <c r="N3583">
        <f>YEAR(Table1[[#This Row],[Date Created Conversion]])</f>
        <v>2014</v>
      </c>
      <c r="O3583" t="b">
        <v>0</v>
      </c>
      <c r="P3583">
        <v>45</v>
      </c>
      <c r="Q3583" t="b">
        <v>1</v>
      </c>
      <c r="R3583" t="s">
        <v>8271</v>
      </c>
      <c r="S3583" s="6">
        <f>Table1[[#This Row],[pledged]]/Table1[[#This Row],[goal]]</f>
        <v>1</v>
      </c>
      <c r="T3583" s="8">
        <f>IF(Table1[[#This Row],[pledged]]=0,"no backers",Table1[[#This Row],[pledged]]/Table1[[#This Row],[backers_count]])</f>
        <v>33.333333333333336</v>
      </c>
      <c r="U3583" t="str">
        <f>LEFT(Table1[[#This Row],[Category and Sub-Category]],FIND("/",Table1[[#This Row],[Category and Sub-Category]])-1)</f>
        <v>theater</v>
      </c>
      <c r="V3583" t="str">
        <f>RIGHT(Table1[[#This Row],[Category and Sub-Category]],LEN(Table1[[#This Row],[Category and Sub-Category]])-FIND("/",Table1[[#This Row],[Category and Sub-Category]]))</f>
        <v>plays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 s="12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>((Table1[[#This Row],[deadline]]/60)/60/24)+DATE(1970,1,1)</f>
        <v>42465.095856481479</v>
      </c>
      <c r="K3584">
        <v>1458613082</v>
      </c>
      <c r="L3584" s="11">
        <f>((Table1[[#This Row],[launched_at]]/60)/60/24)+DATE(1970,1,1)</f>
        <v>42451.095856481479</v>
      </c>
      <c r="M3584">
        <f>MONTH(Table1[[#This Row],[Date Created Conversion]])</f>
        <v>3</v>
      </c>
      <c r="N3584">
        <f>YEAR(Table1[[#This Row],[Date Created Conversion]])</f>
        <v>2016</v>
      </c>
      <c r="O3584" t="b">
        <v>0</v>
      </c>
      <c r="P3584">
        <v>49</v>
      </c>
      <c r="Q3584" t="b">
        <v>1</v>
      </c>
      <c r="R3584" t="s">
        <v>8271</v>
      </c>
      <c r="S3584" s="6">
        <f>Table1[[#This Row],[pledged]]/Table1[[#This Row],[goal]]</f>
        <v>2.87</v>
      </c>
      <c r="T3584" s="8">
        <f>IF(Table1[[#This Row],[pledged]]=0,"no backers",Table1[[#This Row],[pledged]]/Table1[[#This Row],[backers_count]])</f>
        <v>58.571428571428569</v>
      </c>
      <c r="U3584" t="str">
        <f>LEFT(Table1[[#This Row],[Category and Sub-Category]],FIND("/",Table1[[#This Row],[Category and Sub-Category]])-1)</f>
        <v>theater</v>
      </c>
      <c r="V3584" t="str">
        <f>RIGHT(Table1[[#This Row],[Category and Sub-Category]],LEN(Table1[[#This Row],[Category and Sub-Category]])-FIND("/",Table1[[#This Row],[Category and Sub-Category]]))</f>
        <v>plays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 s="12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>((Table1[[#This Row],[deadline]]/60)/60/24)+DATE(1970,1,1)</f>
        <v>42478.384317129632</v>
      </c>
      <c r="K3585">
        <v>1455790405</v>
      </c>
      <c r="L3585" s="11">
        <f>((Table1[[#This Row],[launched_at]]/60)/60/24)+DATE(1970,1,1)</f>
        <v>42418.425983796296</v>
      </c>
      <c r="M3585">
        <f>MONTH(Table1[[#This Row],[Date Created Conversion]])</f>
        <v>2</v>
      </c>
      <c r="N3585">
        <f>YEAR(Table1[[#This Row],[Date Created Conversion]])</f>
        <v>2016</v>
      </c>
      <c r="O3585" t="b">
        <v>0</v>
      </c>
      <c r="P3585">
        <v>24</v>
      </c>
      <c r="Q3585" t="b">
        <v>1</v>
      </c>
      <c r="R3585" t="s">
        <v>8271</v>
      </c>
      <c r="S3585" s="6">
        <f>Table1[[#This Row],[pledged]]/Table1[[#This Row],[goal]]</f>
        <v>1.085</v>
      </c>
      <c r="T3585" s="8">
        <f>IF(Table1[[#This Row],[pledged]]=0,"no backers",Table1[[#This Row],[pledged]]/Table1[[#This Row],[backers_count]])</f>
        <v>135.625</v>
      </c>
      <c r="U3585" t="str">
        <f>LEFT(Table1[[#This Row],[Category and Sub-Category]],FIND("/",Table1[[#This Row],[Category and Sub-Category]])-1)</f>
        <v>theater</v>
      </c>
      <c r="V3585" t="str">
        <f>RIGHT(Table1[[#This Row],[Category and Sub-Category]],LEN(Table1[[#This Row],[Category and Sub-Category]])-FIND("/",Table1[[#This Row],[Category and Sub-Category]]))</f>
        <v>plays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 s="12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>((Table1[[#This Row],[deadline]]/60)/60/24)+DATE(1970,1,1)</f>
        <v>42198.316481481481</v>
      </c>
      <c r="K3586">
        <v>1434180944</v>
      </c>
      <c r="L3586" s="11">
        <f>((Table1[[#This Row],[launched_at]]/60)/60/24)+DATE(1970,1,1)</f>
        <v>42168.316481481481</v>
      </c>
      <c r="M3586">
        <f>MONTH(Table1[[#This Row],[Date Created Conversion]])</f>
        <v>6</v>
      </c>
      <c r="N3586">
        <f>YEAR(Table1[[#This Row],[Date Created Conversion]])</f>
        <v>2015</v>
      </c>
      <c r="O3586" t="b">
        <v>0</v>
      </c>
      <c r="P3586">
        <v>112</v>
      </c>
      <c r="Q3586" t="b">
        <v>1</v>
      </c>
      <c r="R3586" t="s">
        <v>8271</v>
      </c>
      <c r="S3586" s="6">
        <f>Table1[[#This Row],[pledged]]/Table1[[#This Row],[goal]]</f>
        <v>1.155</v>
      </c>
      <c r="T3586" s="8">
        <f>IF(Table1[[#This Row],[pledged]]=0,"no backers",Table1[[#This Row],[pledged]]/Table1[[#This Row],[backers_count]])</f>
        <v>30.9375</v>
      </c>
      <c r="U3586" t="str">
        <f>LEFT(Table1[[#This Row],[Category and Sub-Category]],FIND("/",Table1[[#This Row],[Category and Sub-Category]])-1)</f>
        <v>theater</v>
      </c>
      <c r="V3586" t="str">
        <f>RIGHT(Table1[[#This Row],[Category and Sub-Category]],LEN(Table1[[#This Row],[Category and Sub-Category]])-FIND("/",Table1[[#This Row],[Category and Sub-Category]]))</f>
        <v>plays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 s="12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>((Table1[[#This Row],[deadline]]/60)/60/24)+DATE(1970,1,1)</f>
        <v>41994.716319444444</v>
      </c>
      <c r="K3587">
        <v>1416589890</v>
      </c>
      <c r="L3587" s="11">
        <f>((Table1[[#This Row],[launched_at]]/60)/60/24)+DATE(1970,1,1)</f>
        <v>41964.716319444444</v>
      </c>
      <c r="M3587">
        <f>MONTH(Table1[[#This Row],[Date Created Conversion]])</f>
        <v>11</v>
      </c>
      <c r="N3587">
        <f>YEAR(Table1[[#This Row],[Date Created Conversion]])</f>
        <v>2014</v>
      </c>
      <c r="O3587" t="b">
        <v>0</v>
      </c>
      <c r="P3587">
        <v>23</v>
      </c>
      <c r="Q3587" t="b">
        <v>1</v>
      </c>
      <c r="R3587" t="s">
        <v>8271</v>
      </c>
      <c r="S3587" s="6">
        <f>Table1[[#This Row],[pledged]]/Table1[[#This Row],[goal]]</f>
        <v>1.1911764705882353</v>
      </c>
      <c r="T3587" s="8">
        <f>IF(Table1[[#This Row],[pledged]]=0,"no backers",Table1[[#This Row],[pledged]]/Table1[[#This Row],[backers_count]])</f>
        <v>176.08695652173913</v>
      </c>
      <c r="U3587" t="str">
        <f>LEFT(Table1[[#This Row],[Category and Sub-Category]],FIND("/",Table1[[#This Row],[Category and Sub-Category]])-1)</f>
        <v>theater</v>
      </c>
      <c r="V3587" t="str">
        <f>RIGHT(Table1[[#This Row],[Category and Sub-Category]],LEN(Table1[[#This Row],[Category and Sub-Category]])-FIND("/",Table1[[#This Row],[Category and Sub-Category]]))</f>
        <v>plays</v>
      </c>
    </row>
    <row r="3588" spans="1:22" x14ac:dyDescent="0.3">
      <c r="A3588">
        <v>3586</v>
      </c>
      <c r="B3588" s="3" t="s">
        <v>3585</v>
      </c>
      <c r="C3588" s="3" t="s">
        <v>7696</v>
      </c>
      <c r="D3588" s="12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>((Table1[[#This Row],[deadline]]/60)/60/24)+DATE(1970,1,1)</f>
        <v>42636.697569444441</v>
      </c>
      <c r="K3588">
        <v>1469465070</v>
      </c>
      <c r="L3588" s="11">
        <f>((Table1[[#This Row],[launched_at]]/60)/60/24)+DATE(1970,1,1)</f>
        <v>42576.697569444441</v>
      </c>
      <c r="M3588">
        <f>MONTH(Table1[[#This Row],[Date Created Conversion]])</f>
        <v>7</v>
      </c>
      <c r="N3588">
        <f>YEAR(Table1[[#This Row],[Date Created Conversion]])</f>
        <v>2016</v>
      </c>
      <c r="O3588" t="b">
        <v>0</v>
      </c>
      <c r="P3588">
        <v>54</v>
      </c>
      <c r="Q3588" t="b">
        <v>1</v>
      </c>
      <c r="R3588" t="s">
        <v>8271</v>
      </c>
      <c r="S3588" s="6">
        <f>Table1[[#This Row],[pledged]]/Table1[[#This Row],[goal]]</f>
        <v>1.0942666666666667</v>
      </c>
      <c r="T3588" s="8">
        <f>IF(Table1[[#This Row],[pledged]]=0,"no backers",Table1[[#This Row],[pledged]]/Table1[[#This Row],[backers_count]])</f>
        <v>151.9814814814815</v>
      </c>
      <c r="U3588" t="str">
        <f>LEFT(Table1[[#This Row],[Category and Sub-Category]],FIND("/",Table1[[#This Row],[Category and Sub-Category]])-1)</f>
        <v>theater</v>
      </c>
      <c r="V3588" t="str">
        <f>RIGHT(Table1[[#This Row],[Category and Sub-Category]],LEN(Table1[[#This Row],[Category and Sub-Category]])-FIND("/",Table1[[#This Row],[Category and Sub-Category]]))</f>
        <v>plays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 s="12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>((Table1[[#This Row],[deadline]]/60)/60/24)+DATE(1970,1,1)</f>
        <v>42548.791666666672</v>
      </c>
      <c r="K3589">
        <v>1463144254</v>
      </c>
      <c r="L3589" s="11">
        <f>((Table1[[#This Row],[launched_at]]/60)/60/24)+DATE(1970,1,1)</f>
        <v>42503.539976851855</v>
      </c>
      <c r="M3589">
        <f>MONTH(Table1[[#This Row],[Date Created Conversion]])</f>
        <v>5</v>
      </c>
      <c r="N3589">
        <f>YEAR(Table1[[#This Row],[Date Created Conversion]])</f>
        <v>2016</v>
      </c>
      <c r="O3589" t="b">
        <v>0</v>
      </c>
      <c r="P3589">
        <v>28</v>
      </c>
      <c r="Q3589" t="b">
        <v>1</v>
      </c>
      <c r="R3589" t="s">
        <v>8271</v>
      </c>
      <c r="S3589" s="6">
        <f>Table1[[#This Row],[pledged]]/Table1[[#This Row],[goal]]</f>
        <v>1.266</v>
      </c>
      <c r="T3589" s="8">
        <f>IF(Table1[[#This Row],[pledged]]=0,"no backers",Table1[[#This Row],[pledged]]/Table1[[#This Row],[backers_count]])</f>
        <v>22.607142857142858</v>
      </c>
      <c r="U3589" t="str">
        <f>LEFT(Table1[[#This Row],[Category and Sub-Category]],FIND("/",Table1[[#This Row],[Category and Sub-Category]])-1)</f>
        <v>theater</v>
      </c>
      <c r="V3589" t="str">
        <f>RIGHT(Table1[[#This Row],[Category and Sub-Category]],LEN(Table1[[#This Row],[Category and Sub-Category]])-FIND("/",Table1[[#This Row],[Category and Sub-Category]]))</f>
        <v>plays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 s="12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>((Table1[[#This Row],[deadline]]/60)/60/24)+DATE(1970,1,1)</f>
        <v>42123.958333333328</v>
      </c>
      <c r="K3590">
        <v>1428436410</v>
      </c>
      <c r="L3590" s="11">
        <f>((Table1[[#This Row],[launched_at]]/60)/60/24)+DATE(1970,1,1)</f>
        <v>42101.828819444447</v>
      </c>
      <c r="M3590">
        <f>MONTH(Table1[[#This Row],[Date Created Conversion]])</f>
        <v>4</v>
      </c>
      <c r="N3590">
        <f>YEAR(Table1[[#This Row],[Date Created Conversion]])</f>
        <v>2015</v>
      </c>
      <c r="O3590" t="b">
        <v>0</v>
      </c>
      <c r="P3590">
        <v>11</v>
      </c>
      <c r="Q3590" t="b">
        <v>1</v>
      </c>
      <c r="R3590" t="s">
        <v>8271</v>
      </c>
      <c r="S3590" s="6">
        <f>Table1[[#This Row],[pledged]]/Table1[[#This Row],[goal]]</f>
        <v>1.0049999999999999</v>
      </c>
      <c r="T3590" s="8">
        <f>IF(Table1[[#This Row],[pledged]]=0,"no backers",Table1[[#This Row],[pledged]]/Table1[[#This Row],[backers_count]])</f>
        <v>18.272727272727273</v>
      </c>
      <c r="U3590" t="str">
        <f>LEFT(Table1[[#This Row],[Category and Sub-Category]],FIND("/",Table1[[#This Row],[Category and Sub-Category]])-1)</f>
        <v>theater</v>
      </c>
      <c r="V3590" t="str">
        <f>RIGHT(Table1[[#This Row],[Category and Sub-Category]],LEN(Table1[[#This Row],[Category and Sub-Category]])-FIND("/",Table1[[#This Row],[Category and Sub-Category]]))</f>
        <v>plays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 s="12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>((Table1[[#This Row],[deadline]]/60)/60/24)+DATE(1970,1,1)</f>
        <v>42150.647534722222</v>
      </c>
      <c r="K3591">
        <v>1430494347</v>
      </c>
      <c r="L3591" s="11">
        <f>((Table1[[#This Row],[launched_at]]/60)/60/24)+DATE(1970,1,1)</f>
        <v>42125.647534722222</v>
      </c>
      <c r="M3591">
        <f>MONTH(Table1[[#This Row],[Date Created Conversion]])</f>
        <v>5</v>
      </c>
      <c r="N3591">
        <f>YEAR(Table1[[#This Row],[Date Created Conversion]])</f>
        <v>2015</v>
      </c>
      <c r="O3591" t="b">
        <v>0</v>
      </c>
      <c r="P3591">
        <v>62</v>
      </c>
      <c r="Q3591" t="b">
        <v>1</v>
      </c>
      <c r="R3591" t="s">
        <v>8271</v>
      </c>
      <c r="S3591" s="6">
        <f>Table1[[#This Row],[pledged]]/Table1[[#This Row],[goal]]</f>
        <v>1.2749999999999999</v>
      </c>
      <c r="T3591" s="8">
        <f>IF(Table1[[#This Row],[pledged]]=0,"no backers",Table1[[#This Row],[pledged]]/Table1[[#This Row],[backers_count]])</f>
        <v>82.258064516129039</v>
      </c>
      <c r="U3591" t="str">
        <f>LEFT(Table1[[#This Row],[Category and Sub-Category]],FIND("/",Table1[[#This Row],[Category and Sub-Category]])-1)</f>
        <v>theater</v>
      </c>
      <c r="V3591" t="str">
        <f>RIGHT(Table1[[#This Row],[Category and Sub-Category]],LEN(Table1[[#This Row],[Category and Sub-Category]])-FIND("/",Table1[[#This Row],[Category and Sub-Category]]))</f>
        <v>plays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 s="1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>((Table1[[#This Row],[deadline]]/60)/60/24)+DATE(1970,1,1)</f>
        <v>41932.333726851852</v>
      </c>
      <c r="K3592">
        <v>1411200034</v>
      </c>
      <c r="L3592" s="11">
        <f>((Table1[[#This Row],[launched_at]]/60)/60/24)+DATE(1970,1,1)</f>
        <v>41902.333726851852</v>
      </c>
      <c r="M3592">
        <f>MONTH(Table1[[#This Row],[Date Created Conversion]])</f>
        <v>9</v>
      </c>
      <c r="N3592">
        <f>YEAR(Table1[[#This Row],[Date Created Conversion]])</f>
        <v>2014</v>
      </c>
      <c r="O3592" t="b">
        <v>0</v>
      </c>
      <c r="P3592">
        <v>73</v>
      </c>
      <c r="Q3592" t="b">
        <v>1</v>
      </c>
      <c r="R3592" t="s">
        <v>8271</v>
      </c>
      <c r="S3592" s="6">
        <f>Table1[[#This Row],[pledged]]/Table1[[#This Row],[goal]]</f>
        <v>1.0005999999999999</v>
      </c>
      <c r="T3592" s="8">
        <f>IF(Table1[[#This Row],[pledged]]=0,"no backers",Table1[[#This Row],[pledged]]/Table1[[#This Row],[backers_count]])</f>
        <v>68.534246575342465</v>
      </c>
      <c r="U3592" t="str">
        <f>LEFT(Table1[[#This Row],[Category and Sub-Category]],FIND("/",Table1[[#This Row],[Category and Sub-Category]])-1)</f>
        <v>theater</v>
      </c>
      <c r="V3592" t="str">
        <f>RIGHT(Table1[[#This Row],[Category and Sub-Category]],LEN(Table1[[#This Row],[Category and Sub-Category]])-FIND("/",Table1[[#This Row],[Category and Sub-Category]]))</f>
        <v>plays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 s="12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>((Table1[[#This Row],[deadline]]/60)/60/24)+DATE(1970,1,1)</f>
        <v>42028.207638888889</v>
      </c>
      <c r="K3593">
        <v>1419979544</v>
      </c>
      <c r="L3593" s="11">
        <f>((Table1[[#This Row],[launched_at]]/60)/60/24)+DATE(1970,1,1)</f>
        <v>42003.948425925926</v>
      </c>
      <c r="M3593">
        <f>MONTH(Table1[[#This Row],[Date Created Conversion]])</f>
        <v>12</v>
      </c>
      <c r="N3593">
        <f>YEAR(Table1[[#This Row],[Date Created Conversion]])</f>
        <v>2014</v>
      </c>
      <c r="O3593" t="b">
        <v>0</v>
      </c>
      <c r="P3593">
        <v>18</v>
      </c>
      <c r="Q3593" t="b">
        <v>1</v>
      </c>
      <c r="R3593" t="s">
        <v>8271</v>
      </c>
      <c r="S3593" s="6">
        <f>Table1[[#This Row],[pledged]]/Table1[[#This Row],[goal]]</f>
        <v>1.75</v>
      </c>
      <c r="T3593" s="8">
        <f>IF(Table1[[#This Row],[pledged]]=0,"no backers",Table1[[#This Row],[pledged]]/Table1[[#This Row],[backers_count]])</f>
        <v>68.055555555555557</v>
      </c>
      <c r="U3593" t="str">
        <f>LEFT(Table1[[#This Row],[Category and Sub-Category]],FIND("/",Table1[[#This Row],[Category and Sub-Category]])-1)</f>
        <v>theater</v>
      </c>
      <c r="V3593" t="str">
        <f>RIGHT(Table1[[#This Row],[Category and Sub-Category]],LEN(Table1[[#This Row],[Category and Sub-Category]])-FIND("/",Table1[[#This Row],[Category and Sub-Category]]))</f>
        <v>plays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 s="12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>((Table1[[#This Row],[deadline]]/60)/60/24)+DATE(1970,1,1)</f>
        <v>42046.207638888889</v>
      </c>
      <c r="K3594">
        <v>1418673307</v>
      </c>
      <c r="L3594" s="11">
        <f>((Table1[[#This Row],[launched_at]]/60)/60/24)+DATE(1970,1,1)</f>
        <v>41988.829942129625</v>
      </c>
      <c r="M3594">
        <f>MONTH(Table1[[#This Row],[Date Created Conversion]])</f>
        <v>12</v>
      </c>
      <c r="N3594">
        <f>YEAR(Table1[[#This Row],[Date Created Conversion]])</f>
        <v>2014</v>
      </c>
      <c r="O3594" t="b">
        <v>0</v>
      </c>
      <c r="P3594">
        <v>35</v>
      </c>
      <c r="Q3594" t="b">
        <v>1</v>
      </c>
      <c r="R3594" t="s">
        <v>8271</v>
      </c>
      <c r="S3594" s="6">
        <f>Table1[[#This Row],[pledged]]/Table1[[#This Row],[goal]]</f>
        <v>1.2725</v>
      </c>
      <c r="T3594" s="8">
        <f>IF(Table1[[#This Row],[pledged]]=0,"no backers",Table1[[#This Row],[pledged]]/Table1[[#This Row],[backers_count]])</f>
        <v>72.714285714285708</v>
      </c>
      <c r="U3594" t="str">
        <f>LEFT(Table1[[#This Row],[Category and Sub-Category]],FIND("/",Table1[[#This Row],[Category and Sub-Category]])-1)</f>
        <v>theater</v>
      </c>
      <c r="V3594" t="str">
        <f>RIGHT(Table1[[#This Row],[Category and Sub-Category]],LEN(Table1[[#This Row],[Category and Sub-Category]])-FIND("/",Table1[[#This Row],[Category and Sub-Category]]))</f>
        <v>plays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 s="12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>((Table1[[#This Row],[deadline]]/60)/60/24)+DATE(1970,1,1)</f>
        <v>42009.851388888885</v>
      </c>
      <c r="K3595">
        <v>1417469639</v>
      </c>
      <c r="L3595" s="11">
        <f>((Table1[[#This Row],[launched_at]]/60)/60/24)+DATE(1970,1,1)</f>
        <v>41974.898599537039</v>
      </c>
      <c r="M3595">
        <f>MONTH(Table1[[#This Row],[Date Created Conversion]])</f>
        <v>12</v>
      </c>
      <c r="N3595">
        <f>YEAR(Table1[[#This Row],[Date Created Conversion]])</f>
        <v>2014</v>
      </c>
      <c r="O3595" t="b">
        <v>0</v>
      </c>
      <c r="P3595">
        <v>43</v>
      </c>
      <c r="Q3595" t="b">
        <v>1</v>
      </c>
      <c r="R3595" t="s">
        <v>8271</v>
      </c>
      <c r="S3595" s="6">
        <f>Table1[[#This Row],[pledged]]/Table1[[#This Row],[goal]]</f>
        <v>1.1063333333333334</v>
      </c>
      <c r="T3595" s="8">
        <f>IF(Table1[[#This Row],[pledged]]=0,"no backers",Table1[[#This Row],[pledged]]/Table1[[#This Row],[backers_count]])</f>
        <v>77.186046511627907</v>
      </c>
      <c r="U3595" t="str">
        <f>LEFT(Table1[[#This Row],[Category and Sub-Category]],FIND("/",Table1[[#This Row],[Category and Sub-Category]])-1)</f>
        <v>theater</v>
      </c>
      <c r="V3595" t="str">
        <f>RIGHT(Table1[[#This Row],[Category and Sub-Category]],LEN(Table1[[#This Row],[Category and Sub-Category]])-FIND("/",Table1[[#This Row],[Category and Sub-Category]]))</f>
        <v>plays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 s="12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>((Table1[[#This Row],[deadline]]/60)/60/24)+DATE(1970,1,1)</f>
        <v>42617.066921296297</v>
      </c>
      <c r="K3596">
        <v>1470792982</v>
      </c>
      <c r="L3596" s="11">
        <f>((Table1[[#This Row],[launched_at]]/60)/60/24)+DATE(1970,1,1)</f>
        <v>42592.066921296297</v>
      </c>
      <c r="M3596">
        <f>MONTH(Table1[[#This Row],[Date Created Conversion]])</f>
        <v>8</v>
      </c>
      <c r="N3596">
        <f>YEAR(Table1[[#This Row],[Date Created Conversion]])</f>
        <v>2016</v>
      </c>
      <c r="O3596" t="b">
        <v>0</v>
      </c>
      <c r="P3596">
        <v>36</v>
      </c>
      <c r="Q3596" t="b">
        <v>1</v>
      </c>
      <c r="R3596" t="s">
        <v>8271</v>
      </c>
      <c r="S3596" s="6">
        <f>Table1[[#This Row],[pledged]]/Table1[[#This Row],[goal]]</f>
        <v>1.2593749999999999</v>
      </c>
      <c r="T3596" s="8">
        <f>IF(Table1[[#This Row],[pledged]]=0,"no backers",Table1[[#This Row],[pledged]]/Table1[[#This Row],[backers_count]])</f>
        <v>55.972222222222221</v>
      </c>
      <c r="U3596" t="str">
        <f>LEFT(Table1[[#This Row],[Category and Sub-Category]],FIND("/",Table1[[#This Row],[Category and Sub-Category]])-1)</f>
        <v>theater</v>
      </c>
      <c r="V3596" t="str">
        <f>RIGHT(Table1[[#This Row],[Category and Sub-Category]],LEN(Table1[[#This Row],[Category and Sub-Category]])-FIND("/",Table1[[#This Row],[Category and Sub-Category]]))</f>
        <v>plays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 s="12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>((Table1[[#This Row],[deadline]]/60)/60/24)+DATE(1970,1,1)</f>
        <v>42076.290972222225</v>
      </c>
      <c r="K3597">
        <v>1423959123</v>
      </c>
      <c r="L3597" s="11">
        <f>((Table1[[#This Row],[launched_at]]/60)/60/24)+DATE(1970,1,1)</f>
        <v>42050.008368055554</v>
      </c>
      <c r="M3597">
        <f>MONTH(Table1[[#This Row],[Date Created Conversion]])</f>
        <v>2</v>
      </c>
      <c r="N3597">
        <f>YEAR(Table1[[#This Row],[Date Created Conversion]])</f>
        <v>2015</v>
      </c>
      <c r="O3597" t="b">
        <v>0</v>
      </c>
      <c r="P3597">
        <v>62</v>
      </c>
      <c r="Q3597" t="b">
        <v>1</v>
      </c>
      <c r="R3597" t="s">
        <v>8271</v>
      </c>
      <c r="S3597" s="6">
        <f>Table1[[#This Row],[pledged]]/Table1[[#This Row],[goal]]</f>
        <v>1.1850000000000001</v>
      </c>
      <c r="T3597" s="8">
        <f>IF(Table1[[#This Row],[pledged]]=0,"no backers",Table1[[#This Row],[pledged]]/Table1[[#This Row],[backers_count]])</f>
        <v>49.693548387096776</v>
      </c>
      <c r="U3597" t="str">
        <f>LEFT(Table1[[#This Row],[Category and Sub-Category]],FIND("/",Table1[[#This Row],[Category and Sub-Category]])-1)</f>
        <v>theater</v>
      </c>
      <c r="V3597" t="str">
        <f>RIGHT(Table1[[#This Row],[Category and Sub-Category]],LEN(Table1[[#This Row],[Category and Sub-Category]])-FIND("/",Table1[[#This Row],[Category and Sub-Category]]))</f>
        <v>plays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 s="12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>((Table1[[#This Row],[deadline]]/60)/60/24)+DATE(1970,1,1)</f>
        <v>41877.715069444443</v>
      </c>
      <c r="K3598">
        <v>1407258582</v>
      </c>
      <c r="L3598" s="11">
        <f>((Table1[[#This Row],[launched_at]]/60)/60/24)+DATE(1970,1,1)</f>
        <v>41856.715069444443</v>
      </c>
      <c r="M3598">
        <f>MONTH(Table1[[#This Row],[Date Created Conversion]])</f>
        <v>8</v>
      </c>
      <c r="N3598">
        <f>YEAR(Table1[[#This Row],[Date Created Conversion]])</f>
        <v>2014</v>
      </c>
      <c r="O3598" t="b">
        <v>0</v>
      </c>
      <c r="P3598">
        <v>15</v>
      </c>
      <c r="Q3598" t="b">
        <v>1</v>
      </c>
      <c r="R3598" t="s">
        <v>8271</v>
      </c>
      <c r="S3598" s="6">
        <f>Table1[[#This Row],[pledged]]/Table1[[#This Row],[goal]]</f>
        <v>1.0772727272727274</v>
      </c>
      <c r="T3598" s="8">
        <f>IF(Table1[[#This Row],[pledged]]=0,"no backers",Table1[[#This Row],[pledged]]/Table1[[#This Row],[backers_count]])</f>
        <v>79</v>
      </c>
      <c r="U3598" t="str">
        <f>LEFT(Table1[[#This Row],[Category and Sub-Category]],FIND("/",Table1[[#This Row],[Category and Sub-Category]])-1)</f>
        <v>theater</v>
      </c>
      <c r="V3598" t="str">
        <f>RIGHT(Table1[[#This Row],[Category and Sub-Category]],LEN(Table1[[#This Row],[Category and Sub-Category]])-FIND("/",Table1[[#This Row],[Category and Sub-Category]]))</f>
        <v>plays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 s="12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>((Table1[[#This Row],[deadline]]/60)/60/24)+DATE(1970,1,1)</f>
        <v>42432.249305555553</v>
      </c>
      <c r="K3599">
        <v>1455717790</v>
      </c>
      <c r="L3599" s="11">
        <f>((Table1[[#This Row],[launched_at]]/60)/60/24)+DATE(1970,1,1)</f>
        <v>42417.585532407407</v>
      </c>
      <c r="M3599">
        <f>MONTH(Table1[[#This Row],[Date Created Conversion]])</f>
        <v>2</v>
      </c>
      <c r="N3599">
        <f>YEAR(Table1[[#This Row],[Date Created Conversion]])</f>
        <v>2016</v>
      </c>
      <c r="O3599" t="b">
        <v>0</v>
      </c>
      <c r="P3599">
        <v>33</v>
      </c>
      <c r="Q3599" t="b">
        <v>1</v>
      </c>
      <c r="R3599" t="s">
        <v>8271</v>
      </c>
      <c r="S3599" s="6">
        <f>Table1[[#This Row],[pledged]]/Table1[[#This Row],[goal]]</f>
        <v>1.026</v>
      </c>
      <c r="T3599" s="8">
        <f>IF(Table1[[#This Row],[pledged]]=0,"no backers",Table1[[#This Row],[pledged]]/Table1[[#This Row],[backers_count]])</f>
        <v>77.727272727272734</v>
      </c>
      <c r="U3599" t="str">
        <f>LEFT(Table1[[#This Row],[Category and Sub-Category]],FIND("/",Table1[[#This Row],[Category and Sub-Category]])-1)</f>
        <v>theater</v>
      </c>
      <c r="V3599" t="str">
        <f>RIGHT(Table1[[#This Row],[Category and Sub-Category]],LEN(Table1[[#This Row],[Category and Sub-Category]])-FIND("/",Table1[[#This Row],[Category and Sub-Category]]))</f>
        <v>plays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 s="12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>((Table1[[#This Row],[deadline]]/60)/60/24)+DATE(1970,1,1)</f>
        <v>41885.207638888889</v>
      </c>
      <c r="K3600">
        <v>1408129822</v>
      </c>
      <c r="L3600" s="11">
        <f>((Table1[[#This Row],[launched_at]]/60)/60/24)+DATE(1970,1,1)</f>
        <v>41866.79886574074</v>
      </c>
      <c r="M3600">
        <f>MONTH(Table1[[#This Row],[Date Created Conversion]])</f>
        <v>8</v>
      </c>
      <c r="N3600">
        <f>YEAR(Table1[[#This Row],[Date Created Conversion]])</f>
        <v>2014</v>
      </c>
      <c r="O3600" t="b">
        <v>0</v>
      </c>
      <c r="P3600">
        <v>27</v>
      </c>
      <c r="Q3600" t="b">
        <v>1</v>
      </c>
      <c r="R3600" t="s">
        <v>8271</v>
      </c>
      <c r="S3600" s="6">
        <f>Table1[[#This Row],[pledged]]/Table1[[#This Row],[goal]]</f>
        <v>1.101</v>
      </c>
      <c r="T3600" s="8">
        <f>IF(Table1[[#This Row],[pledged]]=0,"no backers",Table1[[#This Row],[pledged]]/Table1[[#This Row],[backers_count]])</f>
        <v>40.777777777777779</v>
      </c>
      <c r="U3600" t="str">
        <f>LEFT(Table1[[#This Row],[Category and Sub-Category]],FIND("/",Table1[[#This Row],[Category and Sub-Category]])-1)</f>
        <v>theater</v>
      </c>
      <c r="V3600" t="str">
        <f>RIGHT(Table1[[#This Row],[Category and Sub-Category]],LEN(Table1[[#This Row],[Category and Sub-Category]])-FIND("/",Table1[[#This Row],[Category and Sub-Category]]))</f>
        <v>plays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 s="12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>((Table1[[#This Row],[deadline]]/60)/60/24)+DATE(1970,1,1)</f>
        <v>42246</v>
      </c>
      <c r="K3601">
        <v>1438715077</v>
      </c>
      <c r="L3601" s="11">
        <f>((Table1[[#This Row],[launched_at]]/60)/60/24)+DATE(1970,1,1)</f>
        <v>42220.79487268519</v>
      </c>
      <c r="M3601">
        <f>MONTH(Table1[[#This Row],[Date Created Conversion]])</f>
        <v>8</v>
      </c>
      <c r="N3601">
        <f>YEAR(Table1[[#This Row],[Date Created Conversion]])</f>
        <v>2015</v>
      </c>
      <c r="O3601" t="b">
        <v>0</v>
      </c>
      <c r="P3601">
        <v>17</v>
      </c>
      <c r="Q3601" t="b">
        <v>1</v>
      </c>
      <c r="R3601" t="s">
        <v>8271</v>
      </c>
      <c r="S3601" s="6">
        <f>Table1[[#This Row],[pledged]]/Table1[[#This Row],[goal]]</f>
        <v>2.02</v>
      </c>
      <c r="T3601" s="8">
        <f>IF(Table1[[#This Row],[pledged]]=0,"no backers",Table1[[#This Row],[pledged]]/Table1[[#This Row],[backers_count]])</f>
        <v>59.411764705882355</v>
      </c>
      <c r="U3601" t="str">
        <f>LEFT(Table1[[#This Row],[Category and Sub-Category]],FIND("/",Table1[[#This Row],[Category and Sub-Category]])-1)</f>
        <v>theater</v>
      </c>
      <c r="V3601" t="str">
        <f>RIGHT(Table1[[#This Row],[Category and Sub-Category]],LEN(Table1[[#This Row],[Category and Sub-Category]])-FIND("/",Table1[[#This Row],[Category and Sub-Category]]))</f>
        <v>plays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 s="1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>((Table1[[#This Row],[deadline]]/60)/60/24)+DATE(1970,1,1)</f>
        <v>42656.849120370374</v>
      </c>
      <c r="K3602">
        <v>1473970964</v>
      </c>
      <c r="L3602" s="11">
        <f>((Table1[[#This Row],[launched_at]]/60)/60/24)+DATE(1970,1,1)</f>
        <v>42628.849120370374</v>
      </c>
      <c r="M3602">
        <f>MONTH(Table1[[#This Row],[Date Created Conversion]])</f>
        <v>9</v>
      </c>
      <c r="N3602">
        <f>YEAR(Table1[[#This Row],[Date Created Conversion]])</f>
        <v>2016</v>
      </c>
      <c r="O3602" t="b">
        <v>0</v>
      </c>
      <c r="P3602">
        <v>4</v>
      </c>
      <c r="Q3602" t="b">
        <v>1</v>
      </c>
      <c r="R3602" t="s">
        <v>8271</v>
      </c>
      <c r="S3602" s="6">
        <f>Table1[[#This Row],[pledged]]/Table1[[#This Row],[goal]]</f>
        <v>1.3</v>
      </c>
      <c r="T3602" s="8">
        <f>IF(Table1[[#This Row],[pledged]]=0,"no backers",Table1[[#This Row],[pledged]]/Table1[[#This Row],[backers_count]])</f>
        <v>3.25</v>
      </c>
      <c r="U3602" t="str">
        <f>LEFT(Table1[[#This Row],[Category and Sub-Category]],FIND("/",Table1[[#This Row],[Category and Sub-Category]])-1)</f>
        <v>theater</v>
      </c>
      <c r="V3602" t="str">
        <f>RIGHT(Table1[[#This Row],[Category and Sub-Category]],LEN(Table1[[#This Row],[Category and Sub-Category]])-FIND("/",Table1[[#This Row],[Category and Sub-Category]]))</f>
        <v>plays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 s="12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>((Table1[[#This Row],[deadline]]/60)/60/24)+DATE(1970,1,1)</f>
        <v>42020.99863425926</v>
      </c>
      <c r="K3603">
        <v>1418860682</v>
      </c>
      <c r="L3603" s="11">
        <f>((Table1[[#This Row],[launched_at]]/60)/60/24)+DATE(1970,1,1)</f>
        <v>41990.99863425926</v>
      </c>
      <c r="M3603">
        <f>MONTH(Table1[[#This Row],[Date Created Conversion]])</f>
        <v>12</v>
      </c>
      <c r="N3603">
        <f>YEAR(Table1[[#This Row],[Date Created Conversion]])</f>
        <v>2014</v>
      </c>
      <c r="O3603" t="b">
        <v>0</v>
      </c>
      <c r="P3603">
        <v>53</v>
      </c>
      <c r="Q3603" t="b">
        <v>1</v>
      </c>
      <c r="R3603" t="s">
        <v>8271</v>
      </c>
      <c r="S3603" s="6">
        <f>Table1[[#This Row],[pledged]]/Table1[[#This Row],[goal]]</f>
        <v>1.0435000000000001</v>
      </c>
      <c r="T3603" s="8">
        <f>IF(Table1[[#This Row],[pledged]]=0,"no backers",Table1[[#This Row],[pledged]]/Table1[[#This Row],[backers_count]])</f>
        <v>39.377358490566039</v>
      </c>
      <c r="U3603" t="str">
        <f>LEFT(Table1[[#This Row],[Category and Sub-Category]],FIND("/",Table1[[#This Row],[Category and Sub-Category]])-1)</f>
        <v>theater</v>
      </c>
      <c r="V3603" t="str">
        <f>RIGHT(Table1[[#This Row],[Category and Sub-Category]],LEN(Table1[[#This Row],[Category and Sub-Category]])-FIND("/",Table1[[#This Row],[Category and Sub-Category]]))</f>
        <v>plays</v>
      </c>
    </row>
    <row r="3604" spans="1:22" ht="57.6" x14ac:dyDescent="0.3">
      <c r="A3604">
        <v>3602</v>
      </c>
      <c r="B3604" s="3" t="s">
        <v>3601</v>
      </c>
      <c r="C3604" s="3" t="s">
        <v>7712</v>
      </c>
      <c r="D3604" s="12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>((Table1[[#This Row],[deadline]]/60)/60/24)+DATE(1970,1,1)</f>
        <v>42507.894432870366</v>
      </c>
      <c r="K3604">
        <v>1458336479</v>
      </c>
      <c r="L3604" s="11">
        <f>((Table1[[#This Row],[launched_at]]/60)/60/24)+DATE(1970,1,1)</f>
        <v>42447.894432870366</v>
      </c>
      <c r="M3604">
        <f>MONTH(Table1[[#This Row],[Date Created Conversion]])</f>
        <v>3</v>
      </c>
      <c r="N3604">
        <f>YEAR(Table1[[#This Row],[Date Created Conversion]])</f>
        <v>2016</v>
      </c>
      <c r="O3604" t="b">
        <v>0</v>
      </c>
      <c r="P3604">
        <v>49</v>
      </c>
      <c r="Q3604" t="b">
        <v>1</v>
      </c>
      <c r="R3604" t="s">
        <v>8271</v>
      </c>
      <c r="S3604" s="6">
        <f>Table1[[#This Row],[pledged]]/Table1[[#This Row],[goal]]</f>
        <v>1.0004999999999999</v>
      </c>
      <c r="T3604" s="8">
        <f>IF(Table1[[#This Row],[pledged]]=0,"no backers",Table1[[#This Row],[pledged]]/Table1[[#This Row],[backers_count]])</f>
        <v>81.673469387755105</v>
      </c>
      <c r="U3604" t="str">
        <f>LEFT(Table1[[#This Row],[Category and Sub-Category]],FIND("/",Table1[[#This Row],[Category and Sub-Category]])-1)</f>
        <v>theater</v>
      </c>
      <c r="V3604" t="str">
        <f>RIGHT(Table1[[#This Row],[Category and Sub-Category]],LEN(Table1[[#This Row],[Category and Sub-Category]])-FIND("/",Table1[[#This Row],[Category and Sub-Category]]))</f>
        <v>plays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 s="12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>((Table1[[#This Row],[deadline]]/60)/60/24)+DATE(1970,1,1)</f>
        <v>42313.906018518523</v>
      </c>
      <c r="K3605">
        <v>1444164280</v>
      </c>
      <c r="L3605" s="11">
        <f>((Table1[[#This Row],[launched_at]]/60)/60/24)+DATE(1970,1,1)</f>
        <v>42283.864351851851</v>
      </c>
      <c r="M3605">
        <f>MONTH(Table1[[#This Row],[Date Created Conversion]])</f>
        <v>10</v>
      </c>
      <c r="N3605">
        <f>YEAR(Table1[[#This Row],[Date Created Conversion]])</f>
        <v>2015</v>
      </c>
      <c r="O3605" t="b">
        <v>0</v>
      </c>
      <c r="P3605">
        <v>57</v>
      </c>
      <c r="Q3605" t="b">
        <v>1</v>
      </c>
      <c r="R3605" t="s">
        <v>8271</v>
      </c>
      <c r="S3605" s="6">
        <f>Table1[[#This Row],[pledged]]/Table1[[#This Row],[goal]]</f>
        <v>1.7066666666666668</v>
      </c>
      <c r="T3605" s="8">
        <f>IF(Table1[[#This Row],[pledged]]=0,"no backers",Table1[[#This Row],[pledged]]/Table1[[#This Row],[backers_count]])</f>
        <v>44.912280701754383</v>
      </c>
      <c r="U3605" t="str">
        <f>LEFT(Table1[[#This Row],[Category and Sub-Category]],FIND("/",Table1[[#This Row],[Category and Sub-Category]])-1)</f>
        <v>theater</v>
      </c>
      <c r="V3605" t="str">
        <f>RIGHT(Table1[[#This Row],[Category and Sub-Category]],LEN(Table1[[#This Row],[Category and Sub-Category]])-FIND("/",Table1[[#This Row],[Category and Sub-Category]]))</f>
        <v>plays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 s="12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>((Table1[[#This Row],[deadline]]/60)/60/24)+DATE(1970,1,1)</f>
        <v>42489.290972222225</v>
      </c>
      <c r="K3606">
        <v>1461370956</v>
      </c>
      <c r="L3606" s="11">
        <f>((Table1[[#This Row],[launched_at]]/60)/60/24)+DATE(1970,1,1)</f>
        <v>42483.015694444446</v>
      </c>
      <c r="M3606">
        <f>MONTH(Table1[[#This Row],[Date Created Conversion]])</f>
        <v>4</v>
      </c>
      <c r="N3606">
        <f>YEAR(Table1[[#This Row],[Date Created Conversion]])</f>
        <v>2016</v>
      </c>
      <c r="O3606" t="b">
        <v>0</v>
      </c>
      <c r="P3606">
        <v>69</v>
      </c>
      <c r="Q3606" t="b">
        <v>1</v>
      </c>
      <c r="R3606" t="s">
        <v>8271</v>
      </c>
      <c r="S3606" s="6">
        <f>Table1[[#This Row],[pledged]]/Table1[[#This Row],[goal]]</f>
        <v>1.1283333333333334</v>
      </c>
      <c r="T3606" s="8">
        <f>IF(Table1[[#This Row],[pledged]]=0,"no backers",Table1[[#This Row],[pledged]]/Table1[[#This Row],[backers_count]])</f>
        <v>49.05797101449275</v>
      </c>
      <c r="U3606" t="str">
        <f>LEFT(Table1[[#This Row],[Category and Sub-Category]],FIND("/",Table1[[#This Row],[Category and Sub-Category]])-1)</f>
        <v>theater</v>
      </c>
      <c r="V3606" t="str">
        <f>RIGHT(Table1[[#This Row],[Category and Sub-Category]],LEN(Table1[[#This Row],[Category and Sub-Category]])-FIND("/",Table1[[#This Row],[Category and Sub-Category]]))</f>
        <v>plays</v>
      </c>
    </row>
    <row r="3607" spans="1:22" ht="57.6" x14ac:dyDescent="0.3">
      <c r="A3607">
        <v>3605</v>
      </c>
      <c r="B3607" s="3" t="s">
        <v>3604</v>
      </c>
      <c r="C3607" s="3" t="s">
        <v>7715</v>
      </c>
      <c r="D3607" s="12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>((Table1[[#This Row],[deadline]]/60)/60/24)+DATE(1970,1,1)</f>
        <v>42413.793124999997</v>
      </c>
      <c r="K3607">
        <v>1452798126</v>
      </c>
      <c r="L3607" s="11">
        <f>((Table1[[#This Row],[launched_at]]/60)/60/24)+DATE(1970,1,1)</f>
        <v>42383.793124999997</v>
      </c>
      <c r="M3607">
        <f>MONTH(Table1[[#This Row],[Date Created Conversion]])</f>
        <v>1</v>
      </c>
      <c r="N3607">
        <f>YEAR(Table1[[#This Row],[Date Created Conversion]])</f>
        <v>2016</v>
      </c>
      <c r="O3607" t="b">
        <v>0</v>
      </c>
      <c r="P3607">
        <v>15</v>
      </c>
      <c r="Q3607" t="b">
        <v>1</v>
      </c>
      <c r="R3607" t="s">
        <v>8271</v>
      </c>
      <c r="S3607" s="6">
        <f>Table1[[#This Row],[pledged]]/Table1[[#This Row],[goal]]</f>
        <v>1.84</v>
      </c>
      <c r="T3607" s="8">
        <f>IF(Table1[[#This Row],[pledged]]=0,"no backers",Table1[[#This Row],[pledged]]/Table1[[#This Row],[backers_count]])</f>
        <v>30.666666666666668</v>
      </c>
      <c r="U3607" t="str">
        <f>LEFT(Table1[[#This Row],[Category and Sub-Category]],FIND("/",Table1[[#This Row],[Category and Sub-Category]])-1)</f>
        <v>theater</v>
      </c>
      <c r="V3607" t="str">
        <f>RIGHT(Table1[[#This Row],[Category and Sub-Category]],LEN(Table1[[#This Row],[Category and Sub-Category]])-FIND("/",Table1[[#This Row],[Category and Sub-Category]]))</f>
        <v>plays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 s="12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>((Table1[[#This Row],[deadline]]/60)/60/24)+DATE(1970,1,1)</f>
        <v>42596.604826388888</v>
      </c>
      <c r="K3608">
        <v>1468593057</v>
      </c>
      <c r="L3608" s="11">
        <f>((Table1[[#This Row],[launched_at]]/60)/60/24)+DATE(1970,1,1)</f>
        <v>42566.604826388888</v>
      </c>
      <c r="M3608">
        <f>MONTH(Table1[[#This Row],[Date Created Conversion]])</f>
        <v>7</v>
      </c>
      <c r="N3608">
        <f>YEAR(Table1[[#This Row],[Date Created Conversion]])</f>
        <v>2016</v>
      </c>
      <c r="O3608" t="b">
        <v>0</v>
      </c>
      <c r="P3608">
        <v>64</v>
      </c>
      <c r="Q3608" t="b">
        <v>1</v>
      </c>
      <c r="R3608" t="s">
        <v>8271</v>
      </c>
      <c r="S3608" s="6">
        <f>Table1[[#This Row],[pledged]]/Table1[[#This Row],[goal]]</f>
        <v>1.3026666666666666</v>
      </c>
      <c r="T3608" s="8">
        <f>IF(Table1[[#This Row],[pledged]]=0,"no backers",Table1[[#This Row],[pledged]]/Table1[[#This Row],[backers_count]])</f>
        <v>61.0625</v>
      </c>
      <c r="U3608" t="str">
        <f>LEFT(Table1[[#This Row],[Category and Sub-Category]],FIND("/",Table1[[#This Row],[Category and Sub-Category]])-1)</f>
        <v>theater</v>
      </c>
      <c r="V3608" t="str">
        <f>RIGHT(Table1[[#This Row],[Category and Sub-Category]],LEN(Table1[[#This Row],[Category and Sub-Category]])-FIND("/",Table1[[#This Row],[Category and Sub-Category]]))</f>
        <v>plays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 s="12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>((Table1[[#This Row],[deadline]]/60)/60/24)+DATE(1970,1,1)</f>
        <v>42353</v>
      </c>
      <c r="K3609">
        <v>1448924882</v>
      </c>
      <c r="L3609" s="11">
        <f>((Table1[[#This Row],[launched_at]]/60)/60/24)+DATE(1970,1,1)</f>
        <v>42338.963912037041</v>
      </c>
      <c r="M3609">
        <f>MONTH(Table1[[#This Row],[Date Created Conversion]])</f>
        <v>11</v>
      </c>
      <c r="N3609">
        <f>YEAR(Table1[[#This Row],[Date Created Conversion]])</f>
        <v>2015</v>
      </c>
      <c r="O3609" t="b">
        <v>0</v>
      </c>
      <c r="P3609">
        <v>20</v>
      </c>
      <c r="Q3609" t="b">
        <v>1</v>
      </c>
      <c r="R3609" t="s">
        <v>8271</v>
      </c>
      <c r="S3609" s="6">
        <f>Table1[[#This Row],[pledged]]/Table1[[#This Row],[goal]]</f>
        <v>1.0545454545454545</v>
      </c>
      <c r="T3609" s="8">
        <f>IF(Table1[[#This Row],[pledged]]=0,"no backers",Table1[[#This Row],[pledged]]/Table1[[#This Row],[backers_count]])</f>
        <v>29</v>
      </c>
      <c r="U3609" t="str">
        <f>LEFT(Table1[[#This Row],[Category and Sub-Category]],FIND("/",Table1[[#This Row],[Category and Sub-Category]])-1)</f>
        <v>theater</v>
      </c>
      <c r="V3609" t="str">
        <f>RIGHT(Table1[[#This Row],[Category and Sub-Category]],LEN(Table1[[#This Row],[Category and Sub-Category]])-FIND("/",Table1[[#This Row],[Category and Sub-Category]]))</f>
        <v>plays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 s="12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>((Table1[[#This Row],[deadline]]/60)/60/24)+DATE(1970,1,1)</f>
        <v>42538.583333333328</v>
      </c>
      <c r="K3610">
        <v>1463418090</v>
      </c>
      <c r="L3610" s="11">
        <f>((Table1[[#This Row],[launched_at]]/60)/60/24)+DATE(1970,1,1)</f>
        <v>42506.709375000006</v>
      </c>
      <c r="M3610">
        <f>MONTH(Table1[[#This Row],[Date Created Conversion]])</f>
        <v>5</v>
      </c>
      <c r="N3610">
        <f>YEAR(Table1[[#This Row],[Date Created Conversion]])</f>
        <v>2016</v>
      </c>
      <c r="O3610" t="b">
        <v>0</v>
      </c>
      <c r="P3610">
        <v>27</v>
      </c>
      <c r="Q3610" t="b">
        <v>1</v>
      </c>
      <c r="R3610" t="s">
        <v>8271</v>
      </c>
      <c r="S3610" s="6">
        <f>Table1[[#This Row],[pledged]]/Table1[[#This Row],[goal]]</f>
        <v>1</v>
      </c>
      <c r="T3610" s="8">
        <f>IF(Table1[[#This Row],[pledged]]=0,"no backers",Table1[[#This Row],[pledged]]/Table1[[#This Row],[backers_count]])</f>
        <v>29.62962962962963</v>
      </c>
      <c r="U3610" t="str">
        <f>LEFT(Table1[[#This Row],[Category and Sub-Category]],FIND("/",Table1[[#This Row],[Category and Sub-Category]])-1)</f>
        <v>theater</v>
      </c>
      <c r="V3610" t="str">
        <f>RIGHT(Table1[[#This Row],[Category and Sub-Category]],LEN(Table1[[#This Row],[Category and Sub-Category]])-FIND("/",Table1[[#This Row],[Category and Sub-Category]]))</f>
        <v>plays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 s="12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>((Table1[[#This Row],[deadline]]/60)/60/24)+DATE(1970,1,1)</f>
        <v>42459.950057870374</v>
      </c>
      <c r="K3611">
        <v>1456789685</v>
      </c>
      <c r="L3611" s="11">
        <f>((Table1[[#This Row],[launched_at]]/60)/60/24)+DATE(1970,1,1)</f>
        <v>42429.991724537031</v>
      </c>
      <c r="M3611">
        <f>MONTH(Table1[[#This Row],[Date Created Conversion]])</f>
        <v>2</v>
      </c>
      <c r="N3611">
        <f>YEAR(Table1[[#This Row],[Date Created Conversion]])</f>
        <v>2016</v>
      </c>
      <c r="O3611" t="b">
        <v>0</v>
      </c>
      <c r="P3611">
        <v>21</v>
      </c>
      <c r="Q3611" t="b">
        <v>1</v>
      </c>
      <c r="R3611" t="s">
        <v>8271</v>
      </c>
      <c r="S3611" s="6">
        <f>Table1[[#This Row],[pledged]]/Table1[[#This Row],[goal]]</f>
        <v>1.5331632653061225</v>
      </c>
      <c r="T3611" s="8">
        <f>IF(Table1[[#This Row],[pledged]]=0,"no backers",Table1[[#This Row],[pledged]]/Table1[[#This Row],[backers_count]])</f>
        <v>143.0952380952381</v>
      </c>
      <c r="U3611" t="str">
        <f>LEFT(Table1[[#This Row],[Category and Sub-Category]],FIND("/",Table1[[#This Row],[Category and Sub-Category]])-1)</f>
        <v>theater</v>
      </c>
      <c r="V3611" t="str">
        <f>RIGHT(Table1[[#This Row],[Category and Sub-Category]],LEN(Table1[[#This Row],[Category and Sub-Category]])-FIND("/",Table1[[#This Row],[Category and Sub-Category]]))</f>
        <v>plays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 s="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>((Table1[[#This Row],[deadline]]/60)/60/24)+DATE(1970,1,1)</f>
        <v>42233.432129629626</v>
      </c>
      <c r="K3612">
        <v>1437214936</v>
      </c>
      <c r="L3612" s="11">
        <f>((Table1[[#This Row],[launched_at]]/60)/60/24)+DATE(1970,1,1)</f>
        <v>42203.432129629626</v>
      </c>
      <c r="M3612">
        <f>MONTH(Table1[[#This Row],[Date Created Conversion]])</f>
        <v>7</v>
      </c>
      <c r="N3612">
        <f>YEAR(Table1[[#This Row],[Date Created Conversion]])</f>
        <v>2015</v>
      </c>
      <c r="O3612" t="b">
        <v>0</v>
      </c>
      <c r="P3612">
        <v>31</v>
      </c>
      <c r="Q3612" t="b">
        <v>1</v>
      </c>
      <c r="R3612" t="s">
        <v>8271</v>
      </c>
      <c r="S3612" s="6">
        <f>Table1[[#This Row],[pledged]]/Table1[[#This Row],[goal]]</f>
        <v>1.623</v>
      </c>
      <c r="T3612" s="8">
        <f>IF(Table1[[#This Row],[pledged]]=0,"no backers",Table1[[#This Row],[pledged]]/Table1[[#This Row],[backers_count]])</f>
        <v>52.354838709677416</v>
      </c>
      <c r="U3612" t="str">
        <f>LEFT(Table1[[#This Row],[Category and Sub-Category]],FIND("/",Table1[[#This Row],[Category and Sub-Category]])-1)</f>
        <v>theater</v>
      </c>
      <c r="V3612" t="str">
        <f>RIGHT(Table1[[#This Row],[Category and Sub-Category]],LEN(Table1[[#This Row],[Category and Sub-Category]])-FIND("/",Table1[[#This Row],[Category and Sub-Category]]))</f>
        <v>plays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 s="12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>((Table1[[#This Row],[deadline]]/60)/60/24)+DATE(1970,1,1)</f>
        <v>42102.370381944449</v>
      </c>
      <c r="K3613">
        <v>1425891201</v>
      </c>
      <c r="L3613" s="11">
        <f>((Table1[[#This Row],[launched_at]]/60)/60/24)+DATE(1970,1,1)</f>
        <v>42072.370381944449</v>
      </c>
      <c r="M3613">
        <f>MONTH(Table1[[#This Row],[Date Created Conversion]])</f>
        <v>3</v>
      </c>
      <c r="N3613">
        <f>YEAR(Table1[[#This Row],[Date Created Conversion]])</f>
        <v>2015</v>
      </c>
      <c r="O3613" t="b">
        <v>0</v>
      </c>
      <c r="P3613">
        <v>51</v>
      </c>
      <c r="Q3613" t="b">
        <v>1</v>
      </c>
      <c r="R3613" t="s">
        <v>8271</v>
      </c>
      <c r="S3613" s="6">
        <f>Table1[[#This Row],[pledged]]/Table1[[#This Row],[goal]]</f>
        <v>1.36</v>
      </c>
      <c r="T3613" s="8">
        <f>IF(Table1[[#This Row],[pledged]]=0,"no backers",Table1[[#This Row],[pledged]]/Table1[[#This Row],[backers_count]])</f>
        <v>66.666666666666671</v>
      </c>
      <c r="U3613" t="str">
        <f>LEFT(Table1[[#This Row],[Category and Sub-Category]],FIND("/",Table1[[#This Row],[Category and Sub-Category]])-1)</f>
        <v>theater</v>
      </c>
      <c r="V3613" t="str">
        <f>RIGHT(Table1[[#This Row],[Category and Sub-Category]],LEN(Table1[[#This Row],[Category and Sub-Category]])-FIND("/",Table1[[#This Row],[Category and Sub-Category]]))</f>
        <v>plays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 s="12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>((Table1[[#This Row],[deadline]]/60)/60/24)+DATE(1970,1,1)</f>
        <v>41799.726979166669</v>
      </c>
      <c r="K3614">
        <v>1401470811</v>
      </c>
      <c r="L3614" s="11">
        <f>((Table1[[#This Row],[launched_at]]/60)/60/24)+DATE(1970,1,1)</f>
        <v>41789.726979166669</v>
      </c>
      <c r="M3614">
        <f>MONTH(Table1[[#This Row],[Date Created Conversion]])</f>
        <v>5</v>
      </c>
      <c r="N3614">
        <f>YEAR(Table1[[#This Row],[Date Created Conversion]])</f>
        <v>2014</v>
      </c>
      <c r="O3614" t="b">
        <v>0</v>
      </c>
      <c r="P3614">
        <v>57</v>
      </c>
      <c r="Q3614" t="b">
        <v>1</v>
      </c>
      <c r="R3614" t="s">
        <v>8271</v>
      </c>
      <c r="S3614" s="6">
        <f>Table1[[#This Row],[pledged]]/Table1[[#This Row],[goal]]</f>
        <v>1.444</v>
      </c>
      <c r="T3614" s="8">
        <f>IF(Table1[[#This Row],[pledged]]=0,"no backers",Table1[[#This Row],[pledged]]/Table1[[#This Row],[backers_count]])</f>
        <v>126.66666666666667</v>
      </c>
      <c r="U3614" t="str">
        <f>LEFT(Table1[[#This Row],[Category and Sub-Category]],FIND("/",Table1[[#This Row],[Category and Sub-Category]])-1)</f>
        <v>theater</v>
      </c>
      <c r="V3614" t="str">
        <f>RIGHT(Table1[[#This Row],[Category and Sub-Category]],LEN(Table1[[#This Row],[Category and Sub-Category]])-FIND("/",Table1[[#This Row],[Category and Sub-Category]]))</f>
        <v>plays</v>
      </c>
    </row>
    <row r="3615" spans="1:22" ht="43.2" x14ac:dyDescent="0.3">
      <c r="A3615">
        <v>3613</v>
      </c>
      <c r="B3615" s="3" t="s">
        <v>3612</v>
      </c>
      <c r="C3615" s="3" t="s">
        <v>7723</v>
      </c>
      <c r="D3615" s="12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>((Table1[[#This Row],[deadline]]/60)/60/24)+DATE(1970,1,1)</f>
        <v>41818.58997685185</v>
      </c>
      <c r="K3615">
        <v>1401372574</v>
      </c>
      <c r="L3615" s="11">
        <f>((Table1[[#This Row],[launched_at]]/60)/60/24)+DATE(1970,1,1)</f>
        <v>41788.58997685185</v>
      </c>
      <c r="M3615">
        <f>MONTH(Table1[[#This Row],[Date Created Conversion]])</f>
        <v>5</v>
      </c>
      <c r="N3615">
        <f>YEAR(Table1[[#This Row],[Date Created Conversion]])</f>
        <v>2014</v>
      </c>
      <c r="O3615" t="b">
        <v>0</v>
      </c>
      <c r="P3615">
        <v>20</v>
      </c>
      <c r="Q3615" t="b">
        <v>1</v>
      </c>
      <c r="R3615" t="s">
        <v>8271</v>
      </c>
      <c r="S3615" s="6">
        <f>Table1[[#This Row],[pledged]]/Table1[[#This Row],[goal]]</f>
        <v>1</v>
      </c>
      <c r="T3615" s="8">
        <f>IF(Table1[[#This Row],[pledged]]=0,"no backers",Table1[[#This Row],[pledged]]/Table1[[#This Row],[backers_count]])</f>
        <v>62.5</v>
      </c>
      <c r="U3615" t="str">
        <f>LEFT(Table1[[#This Row],[Category and Sub-Category]],FIND("/",Table1[[#This Row],[Category and Sub-Category]])-1)</f>
        <v>theater</v>
      </c>
      <c r="V3615" t="str">
        <f>RIGHT(Table1[[#This Row],[Category and Sub-Category]],LEN(Table1[[#This Row],[Category and Sub-Category]])-FIND("/",Table1[[#This Row],[Category and Sub-Category]]))</f>
        <v>plays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 s="12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>((Table1[[#This Row],[deadline]]/60)/60/24)+DATE(1970,1,1)</f>
        <v>42174.041851851856</v>
      </c>
      <c r="K3616">
        <v>1432083616</v>
      </c>
      <c r="L3616" s="11">
        <f>((Table1[[#This Row],[launched_at]]/60)/60/24)+DATE(1970,1,1)</f>
        <v>42144.041851851856</v>
      </c>
      <c r="M3616">
        <f>MONTH(Table1[[#This Row],[Date Created Conversion]])</f>
        <v>5</v>
      </c>
      <c r="N3616">
        <f>YEAR(Table1[[#This Row],[Date Created Conversion]])</f>
        <v>2015</v>
      </c>
      <c r="O3616" t="b">
        <v>0</v>
      </c>
      <c r="P3616">
        <v>71</v>
      </c>
      <c r="Q3616" t="b">
        <v>1</v>
      </c>
      <c r="R3616" t="s">
        <v>8271</v>
      </c>
      <c r="S3616" s="6">
        <f>Table1[[#This Row],[pledged]]/Table1[[#This Row],[goal]]</f>
        <v>1.008</v>
      </c>
      <c r="T3616" s="8">
        <f>IF(Table1[[#This Row],[pledged]]=0,"no backers",Table1[[#This Row],[pledged]]/Table1[[#This Row],[backers_count]])</f>
        <v>35.492957746478872</v>
      </c>
      <c r="U3616" t="str">
        <f>LEFT(Table1[[#This Row],[Category and Sub-Category]],FIND("/",Table1[[#This Row],[Category and Sub-Category]])-1)</f>
        <v>theater</v>
      </c>
      <c r="V3616" t="str">
        <f>RIGHT(Table1[[#This Row],[Category and Sub-Category]],LEN(Table1[[#This Row],[Category and Sub-Category]])-FIND("/",Table1[[#This Row],[Category and Sub-Category]]))</f>
        <v>plays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 s="12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>((Table1[[#This Row],[deadline]]/60)/60/24)+DATE(1970,1,1)</f>
        <v>42348.593703703707</v>
      </c>
      <c r="K3617">
        <v>1447164896</v>
      </c>
      <c r="L3617" s="11">
        <f>((Table1[[#This Row],[launched_at]]/60)/60/24)+DATE(1970,1,1)</f>
        <v>42318.593703703707</v>
      </c>
      <c r="M3617">
        <f>MONTH(Table1[[#This Row],[Date Created Conversion]])</f>
        <v>11</v>
      </c>
      <c r="N3617">
        <f>YEAR(Table1[[#This Row],[Date Created Conversion]])</f>
        <v>2015</v>
      </c>
      <c r="O3617" t="b">
        <v>0</v>
      </c>
      <c r="P3617">
        <v>72</v>
      </c>
      <c r="Q3617" t="b">
        <v>1</v>
      </c>
      <c r="R3617" t="s">
        <v>8271</v>
      </c>
      <c r="S3617" s="6">
        <f>Table1[[#This Row],[pledged]]/Table1[[#This Row],[goal]]</f>
        <v>1.0680000000000001</v>
      </c>
      <c r="T3617" s="8">
        <f>IF(Table1[[#This Row],[pledged]]=0,"no backers",Table1[[#This Row],[pledged]]/Table1[[#This Row],[backers_count]])</f>
        <v>37.083333333333336</v>
      </c>
      <c r="U3617" t="str">
        <f>LEFT(Table1[[#This Row],[Category and Sub-Category]],FIND("/",Table1[[#This Row],[Category and Sub-Category]])-1)</f>
        <v>theater</v>
      </c>
      <c r="V3617" t="str">
        <f>RIGHT(Table1[[#This Row],[Category and Sub-Category]],LEN(Table1[[#This Row],[Category and Sub-Category]])-FIND("/",Table1[[#This Row],[Category and Sub-Category]]))</f>
        <v>plays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 s="12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>((Table1[[#This Row],[deadline]]/60)/60/24)+DATE(1970,1,1)</f>
        <v>42082.908148148148</v>
      </c>
      <c r="K3618">
        <v>1424213264</v>
      </c>
      <c r="L3618" s="11">
        <f>((Table1[[#This Row],[launched_at]]/60)/60/24)+DATE(1970,1,1)</f>
        <v>42052.949814814812</v>
      </c>
      <c r="M3618">
        <f>MONTH(Table1[[#This Row],[Date Created Conversion]])</f>
        <v>2</v>
      </c>
      <c r="N3618">
        <f>YEAR(Table1[[#This Row],[Date Created Conversion]])</f>
        <v>2015</v>
      </c>
      <c r="O3618" t="b">
        <v>0</v>
      </c>
      <c r="P3618">
        <v>45</v>
      </c>
      <c r="Q3618" t="b">
        <v>1</v>
      </c>
      <c r="R3618" t="s">
        <v>8271</v>
      </c>
      <c r="S3618" s="6">
        <f>Table1[[#This Row],[pledged]]/Table1[[#This Row],[goal]]</f>
        <v>1.248</v>
      </c>
      <c r="T3618" s="8">
        <f>IF(Table1[[#This Row],[pledged]]=0,"no backers",Table1[[#This Row],[pledged]]/Table1[[#This Row],[backers_count]])</f>
        <v>69.333333333333329</v>
      </c>
      <c r="U3618" t="str">
        <f>LEFT(Table1[[#This Row],[Category and Sub-Category]],FIND("/",Table1[[#This Row],[Category and Sub-Category]])-1)</f>
        <v>theater</v>
      </c>
      <c r="V3618" t="str">
        <f>RIGHT(Table1[[#This Row],[Category and Sub-Category]],LEN(Table1[[#This Row],[Category and Sub-Category]])-FIND("/",Table1[[#This Row],[Category and Sub-Category]]))</f>
        <v>plays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 s="12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>((Table1[[#This Row],[deadline]]/60)/60/24)+DATE(1970,1,1)</f>
        <v>42794</v>
      </c>
      <c r="K3619">
        <v>1486996729</v>
      </c>
      <c r="L3619" s="11">
        <f>((Table1[[#This Row],[launched_at]]/60)/60/24)+DATE(1970,1,1)</f>
        <v>42779.610289351855</v>
      </c>
      <c r="M3619">
        <f>MONTH(Table1[[#This Row],[Date Created Conversion]])</f>
        <v>2</v>
      </c>
      <c r="N3619">
        <f>YEAR(Table1[[#This Row],[Date Created Conversion]])</f>
        <v>2017</v>
      </c>
      <c r="O3619" t="b">
        <v>0</v>
      </c>
      <c r="P3619">
        <v>51</v>
      </c>
      <c r="Q3619" t="b">
        <v>1</v>
      </c>
      <c r="R3619" t="s">
        <v>8271</v>
      </c>
      <c r="S3619" s="6">
        <f>Table1[[#This Row],[pledged]]/Table1[[#This Row],[goal]]</f>
        <v>1.1891891891891893</v>
      </c>
      <c r="T3619" s="8">
        <f>IF(Table1[[#This Row],[pledged]]=0,"no backers",Table1[[#This Row],[pledged]]/Table1[[#This Row],[backers_count]])</f>
        <v>17.254901960784313</v>
      </c>
      <c r="U3619" t="str">
        <f>LEFT(Table1[[#This Row],[Category and Sub-Category]],FIND("/",Table1[[#This Row],[Category and Sub-Category]])-1)</f>
        <v>theater</v>
      </c>
      <c r="V3619" t="str">
        <f>RIGHT(Table1[[#This Row],[Category and Sub-Category]],LEN(Table1[[#This Row],[Category and Sub-Category]])-FIND("/",Table1[[#This Row],[Category and Sub-Category]]))</f>
        <v>plays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 s="12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>((Table1[[#This Row],[deadline]]/60)/60/24)+DATE(1970,1,1)</f>
        <v>42158.627893518518</v>
      </c>
      <c r="K3620">
        <v>1430751850</v>
      </c>
      <c r="L3620" s="11">
        <f>((Table1[[#This Row],[launched_at]]/60)/60/24)+DATE(1970,1,1)</f>
        <v>42128.627893518518</v>
      </c>
      <c r="M3620">
        <f>MONTH(Table1[[#This Row],[Date Created Conversion]])</f>
        <v>5</v>
      </c>
      <c r="N3620">
        <f>YEAR(Table1[[#This Row],[Date Created Conversion]])</f>
        <v>2015</v>
      </c>
      <c r="O3620" t="b">
        <v>0</v>
      </c>
      <c r="P3620">
        <v>56</v>
      </c>
      <c r="Q3620" t="b">
        <v>1</v>
      </c>
      <c r="R3620" t="s">
        <v>8271</v>
      </c>
      <c r="S3620" s="6">
        <f>Table1[[#This Row],[pledged]]/Table1[[#This Row],[goal]]</f>
        <v>1.01</v>
      </c>
      <c r="T3620" s="8">
        <f>IF(Table1[[#This Row],[pledged]]=0,"no backers",Table1[[#This Row],[pledged]]/Table1[[#This Row],[backers_count]])</f>
        <v>36.071428571428569</v>
      </c>
      <c r="U3620" t="str">
        <f>LEFT(Table1[[#This Row],[Category and Sub-Category]],FIND("/",Table1[[#This Row],[Category and Sub-Category]])-1)</f>
        <v>theater</v>
      </c>
      <c r="V3620" t="str">
        <f>RIGHT(Table1[[#This Row],[Category and Sub-Category]],LEN(Table1[[#This Row],[Category and Sub-Category]])-FIND("/",Table1[[#This Row],[Category and Sub-Category]]))</f>
        <v>plays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 s="12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>((Table1[[#This Row],[deadline]]/60)/60/24)+DATE(1970,1,1)</f>
        <v>42693.916666666672</v>
      </c>
      <c r="K3621">
        <v>1476760226</v>
      </c>
      <c r="L3621" s="11">
        <f>((Table1[[#This Row],[launched_at]]/60)/60/24)+DATE(1970,1,1)</f>
        <v>42661.132245370376</v>
      </c>
      <c r="M3621">
        <f>MONTH(Table1[[#This Row],[Date Created Conversion]])</f>
        <v>10</v>
      </c>
      <c r="N3621">
        <f>YEAR(Table1[[#This Row],[Date Created Conversion]])</f>
        <v>2016</v>
      </c>
      <c r="O3621" t="b">
        <v>0</v>
      </c>
      <c r="P3621">
        <v>17</v>
      </c>
      <c r="Q3621" t="b">
        <v>1</v>
      </c>
      <c r="R3621" t="s">
        <v>8271</v>
      </c>
      <c r="S3621" s="6">
        <f>Table1[[#This Row],[pledged]]/Table1[[#This Row],[goal]]</f>
        <v>1.1299999999999999</v>
      </c>
      <c r="T3621" s="8">
        <f>IF(Table1[[#This Row],[pledged]]=0,"no backers",Table1[[#This Row],[pledged]]/Table1[[#This Row],[backers_count]])</f>
        <v>66.470588235294116</v>
      </c>
      <c r="U3621" t="str">
        <f>LEFT(Table1[[#This Row],[Category and Sub-Category]],FIND("/",Table1[[#This Row],[Category and Sub-Category]])-1)</f>
        <v>theater</v>
      </c>
      <c r="V3621" t="str">
        <f>RIGHT(Table1[[#This Row],[Category and Sub-Category]],LEN(Table1[[#This Row],[Category and Sub-Category]])-FIND("/",Table1[[#This Row],[Category and Sub-Category]]))</f>
        <v>plays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 s="1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>((Table1[[#This Row],[deadline]]/60)/60/24)+DATE(1970,1,1)</f>
        <v>42068.166666666672</v>
      </c>
      <c r="K3622">
        <v>1422916261</v>
      </c>
      <c r="L3622" s="11">
        <f>((Table1[[#This Row],[launched_at]]/60)/60/24)+DATE(1970,1,1)</f>
        <v>42037.938206018516</v>
      </c>
      <c r="M3622">
        <f>MONTH(Table1[[#This Row],[Date Created Conversion]])</f>
        <v>2</v>
      </c>
      <c r="N3622">
        <f>YEAR(Table1[[#This Row],[Date Created Conversion]])</f>
        <v>2015</v>
      </c>
      <c r="O3622" t="b">
        <v>0</v>
      </c>
      <c r="P3622">
        <v>197</v>
      </c>
      <c r="Q3622" t="b">
        <v>1</v>
      </c>
      <c r="R3622" t="s">
        <v>8271</v>
      </c>
      <c r="S3622" s="6">
        <f>Table1[[#This Row],[pledged]]/Table1[[#This Row],[goal]]</f>
        <v>1.0519047619047619</v>
      </c>
      <c r="T3622" s="8">
        <f>IF(Table1[[#This Row],[pledged]]=0,"no backers",Table1[[#This Row],[pledged]]/Table1[[#This Row],[backers_count]])</f>
        <v>56.065989847715734</v>
      </c>
      <c r="U3622" t="str">
        <f>LEFT(Table1[[#This Row],[Category and Sub-Category]],FIND("/",Table1[[#This Row],[Category and Sub-Category]])-1)</f>
        <v>theater</v>
      </c>
      <c r="V3622" t="str">
        <f>RIGHT(Table1[[#This Row],[Category and Sub-Category]],LEN(Table1[[#This Row],[Category and Sub-Category]])-FIND("/",Table1[[#This Row],[Category and Sub-Category]]))</f>
        <v>plays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 s="12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>((Table1[[#This Row],[deadline]]/60)/60/24)+DATE(1970,1,1)</f>
        <v>42643.875</v>
      </c>
      <c r="K3623">
        <v>1473200844</v>
      </c>
      <c r="L3623" s="11">
        <f>((Table1[[#This Row],[launched_at]]/60)/60/24)+DATE(1970,1,1)</f>
        <v>42619.935694444444</v>
      </c>
      <c r="M3623">
        <f>MONTH(Table1[[#This Row],[Date Created Conversion]])</f>
        <v>9</v>
      </c>
      <c r="N3623">
        <f>YEAR(Table1[[#This Row],[Date Created Conversion]])</f>
        <v>2016</v>
      </c>
      <c r="O3623" t="b">
        <v>0</v>
      </c>
      <c r="P3623">
        <v>70</v>
      </c>
      <c r="Q3623" t="b">
        <v>1</v>
      </c>
      <c r="R3623" t="s">
        <v>8271</v>
      </c>
      <c r="S3623" s="6">
        <f>Table1[[#This Row],[pledged]]/Table1[[#This Row],[goal]]</f>
        <v>1.0973333333333333</v>
      </c>
      <c r="T3623" s="8">
        <f>IF(Table1[[#This Row],[pledged]]=0,"no backers",Table1[[#This Row],[pledged]]/Table1[[#This Row],[backers_count]])</f>
        <v>47.028571428571432</v>
      </c>
      <c r="U3623" t="str">
        <f>LEFT(Table1[[#This Row],[Category and Sub-Category]],FIND("/",Table1[[#This Row],[Category and Sub-Category]])-1)</f>
        <v>theater</v>
      </c>
      <c r="V3623" t="str">
        <f>RIGHT(Table1[[#This Row],[Category and Sub-Category]],LEN(Table1[[#This Row],[Category and Sub-Category]])-FIND("/",Table1[[#This Row],[Category and Sub-Category]]))</f>
        <v>plays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 s="12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>((Table1[[#This Row],[deadline]]/60)/60/24)+DATE(1970,1,1)</f>
        <v>41910.140972222223</v>
      </c>
      <c r="K3624">
        <v>1409030371</v>
      </c>
      <c r="L3624" s="11">
        <f>((Table1[[#This Row],[launched_at]]/60)/60/24)+DATE(1970,1,1)</f>
        <v>41877.221886574072</v>
      </c>
      <c r="M3624">
        <f>MONTH(Table1[[#This Row],[Date Created Conversion]])</f>
        <v>8</v>
      </c>
      <c r="N3624">
        <f>YEAR(Table1[[#This Row],[Date Created Conversion]])</f>
        <v>2014</v>
      </c>
      <c r="O3624" t="b">
        <v>0</v>
      </c>
      <c r="P3624">
        <v>21</v>
      </c>
      <c r="Q3624" t="b">
        <v>1</v>
      </c>
      <c r="R3624" t="s">
        <v>8271</v>
      </c>
      <c r="S3624" s="6">
        <f>Table1[[#This Row],[pledged]]/Table1[[#This Row],[goal]]</f>
        <v>1.00099</v>
      </c>
      <c r="T3624" s="8">
        <f>IF(Table1[[#This Row],[pledged]]=0,"no backers",Table1[[#This Row],[pledged]]/Table1[[#This Row],[backers_count]])</f>
        <v>47.666190476190479</v>
      </c>
      <c r="U3624" t="str">
        <f>LEFT(Table1[[#This Row],[Category and Sub-Category]],FIND("/",Table1[[#This Row],[Category and Sub-Category]])-1)</f>
        <v>theater</v>
      </c>
      <c r="V3624" t="str">
        <f>RIGHT(Table1[[#This Row],[Category and Sub-Category]],LEN(Table1[[#This Row],[Category and Sub-Category]])-FIND("/",Table1[[#This Row],[Category and Sub-Category]]))</f>
        <v>plays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 s="12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>((Table1[[#This Row],[deadline]]/60)/60/24)+DATE(1970,1,1)</f>
        <v>41846.291666666664</v>
      </c>
      <c r="K3625">
        <v>1404841270</v>
      </c>
      <c r="L3625" s="11">
        <f>((Table1[[#This Row],[launched_at]]/60)/60/24)+DATE(1970,1,1)</f>
        <v>41828.736921296295</v>
      </c>
      <c r="M3625">
        <f>MONTH(Table1[[#This Row],[Date Created Conversion]])</f>
        <v>7</v>
      </c>
      <c r="N3625">
        <f>YEAR(Table1[[#This Row],[Date Created Conversion]])</f>
        <v>2014</v>
      </c>
      <c r="O3625" t="b">
        <v>0</v>
      </c>
      <c r="P3625">
        <v>34</v>
      </c>
      <c r="Q3625" t="b">
        <v>1</v>
      </c>
      <c r="R3625" t="s">
        <v>8271</v>
      </c>
      <c r="S3625" s="6">
        <f>Table1[[#This Row],[pledged]]/Table1[[#This Row],[goal]]</f>
        <v>1.2</v>
      </c>
      <c r="T3625" s="8">
        <f>IF(Table1[[#This Row],[pledged]]=0,"no backers",Table1[[#This Row],[pledged]]/Table1[[#This Row],[backers_count]])</f>
        <v>88.235294117647058</v>
      </c>
      <c r="U3625" t="str">
        <f>LEFT(Table1[[#This Row],[Category and Sub-Category]],FIND("/",Table1[[#This Row],[Category and Sub-Category]])-1)</f>
        <v>theater</v>
      </c>
      <c r="V3625" t="str">
        <f>RIGHT(Table1[[#This Row],[Category and Sub-Category]],LEN(Table1[[#This Row],[Category and Sub-Category]])-FIND("/",Table1[[#This Row],[Category and Sub-Category]]))</f>
        <v>plays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 s="12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>((Table1[[#This Row],[deadline]]/60)/60/24)+DATE(1970,1,1)</f>
        <v>42605.774189814809</v>
      </c>
      <c r="K3626">
        <v>1466793290</v>
      </c>
      <c r="L3626" s="11">
        <f>((Table1[[#This Row],[launched_at]]/60)/60/24)+DATE(1970,1,1)</f>
        <v>42545.774189814809</v>
      </c>
      <c r="M3626">
        <f>MONTH(Table1[[#This Row],[Date Created Conversion]])</f>
        <v>6</v>
      </c>
      <c r="N3626">
        <f>YEAR(Table1[[#This Row],[Date Created Conversion]])</f>
        <v>2016</v>
      </c>
      <c r="O3626" t="b">
        <v>0</v>
      </c>
      <c r="P3626">
        <v>39</v>
      </c>
      <c r="Q3626" t="b">
        <v>1</v>
      </c>
      <c r="R3626" t="s">
        <v>8271</v>
      </c>
      <c r="S3626" s="6">
        <f>Table1[[#This Row],[pledged]]/Table1[[#This Row],[goal]]</f>
        <v>1.0493333333333332</v>
      </c>
      <c r="T3626" s="8">
        <f>IF(Table1[[#This Row],[pledged]]=0,"no backers",Table1[[#This Row],[pledged]]/Table1[[#This Row],[backers_count]])</f>
        <v>80.717948717948715</v>
      </c>
      <c r="U3626" t="str">
        <f>LEFT(Table1[[#This Row],[Category and Sub-Category]],FIND("/",Table1[[#This Row],[Category and Sub-Category]])-1)</f>
        <v>theater</v>
      </c>
      <c r="V3626" t="str">
        <f>RIGHT(Table1[[#This Row],[Category and Sub-Category]],LEN(Table1[[#This Row],[Category and Sub-Category]])-FIND("/",Table1[[#This Row],[Category and Sub-Category]]))</f>
        <v>plays</v>
      </c>
    </row>
    <row r="3627" spans="1:22" ht="57.6" x14ac:dyDescent="0.3">
      <c r="A3627">
        <v>3625</v>
      </c>
      <c r="B3627" s="3" t="s">
        <v>3623</v>
      </c>
      <c r="C3627" s="3" t="s">
        <v>7735</v>
      </c>
      <c r="D3627" s="12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>((Table1[[#This Row],[deadline]]/60)/60/24)+DATE(1970,1,1)</f>
        <v>42187.652511574073</v>
      </c>
      <c r="K3627">
        <v>1433259577</v>
      </c>
      <c r="L3627" s="11">
        <f>((Table1[[#This Row],[launched_at]]/60)/60/24)+DATE(1970,1,1)</f>
        <v>42157.652511574073</v>
      </c>
      <c r="M3627">
        <f>MONTH(Table1[[#This Row],[Date Created Conversion]])</f>
        <v>6</v>
      </c>
      <c r="N3627">
        <f>YEAR(Table1[[#This Row],[Date Created Conversion]])</f>
        <v>2015</v>
      </c>
      <c r="O3627" t="b">
        <v>0</v>
      </c>
      <c r="P3627">
        <v>78</v>
      </c>
      <c r="Q3627" t="b">
        <v>1</v>
      </c>
      <c r="R3627" t="s">
        <v>8271</v>
      </c>
      <c r="S3627" s="6">
        <f>Table1[[#This Row],[pledged]]/Table1[[#This Row],[goal]]</f>
        <v>1.0266666666666666</v>
      </c>
      <c r="T3627" s="8">
        <f>IF(Table1[[#This Row],[pledged]]=0,"no backers",Table1[[#This Row],[pledged]]/Table1[[#This Row],[backers_count]])</f>
        <v>39.487179487179489</v>
      </c>
      <c r="U3627" t="str">
        <f>LEFT(Table1[[#This Row],[Category and Sub-Category]],FIND("/",Table1[[#This Row],[Category and Sub-Category]])-1)</f>
        <v>theater</v>
      </c>
      <c r="V3627" t="str">
        <f>RIGHT(Table1[[#This Row],[Category and Sub-Category]],LEN(Table1[[#This Row],[Category and Sub-Category]])-FIND("/",Table1[[#This Row],[Category and Sub-Category]]))</f>
        <v>plays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 s="12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>((Table1[[#This Row],[deadline]]/60)/60/24)+DATE(1970,1,1)</f>
        <v>41867.667326388888</v>
      </c>
      <c r="K3628">
        <v>1406390457</v>
      </c>
      <c r="L3628" s="11">
        <f>((Table1[[#This Row],[launched_at]]/60)/60/24)+DATE(1970,1,1)</f>
        <v>41846.667326388888</v>
      </c>
      <c r="M3628">
        <f>MONTH(Table1[[#This Row],[Date Created Conversion]])</f>
        <v>7</v>
      </c>
      <c r="N3628">
        <f>YEAR(Table1[[#This Row],[Date Created Conversion]])</f>
        <v>2014</v>
      </c>
      <c r="O3628" t="b">
        <v>0</v>
      </c>
      <c r="P3628">
        <v>48</v>
      </c>
      <c r="Q3628" t="b">
        <v>1</v>
      </c>
      <c r="R3628" t="s">
        <v>8271</v>
      </c>
      <c r="S3628" s="6">
        <f>Table1[[#This Row],[pledged]]/Table1[[#This Row],[goal]]</f>
        <v>1.0182500000000001</v>
      </c>
      <c r="T3628" s="8">
        <f>IF(Table1[[#This Row],[pledged]]=0,"no backers",Table1[[#This Row],[pledged]]/Table1[[#This Row],[backers_count]])</f>
        <v>84.854166666666671</v>
      </c>
      <c r="U3628" t="str">
        <f>LEFT(Table1[[#This Row],[Category and Sub-Category]],FIND("/",Table1[[#This Row],[Category and Sub-Category]])-1)</f>
        <v>theater</v>
      </c>
      <c r="V3628" t="str">
        <f>RIGHT(Table1[[#This Row],[Category and Sub-Category]],LEN(Table1[[#This Row],[Category and Sub-Category]])-FIND("/",Table1[[#This Row],[Category and Sub-Category]]))</f>
        <v>plays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 s="12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>((Table1[[#This Row],[deadline]]/60)/60/24)+DATE(1970,1,1)</f>
        <v>42511.165972222225</v>
      </c>
      <c r="K3629">
        <v>1459446487</v>
      </c>
      <c r="L3629" s="11">
        <f>((Table1[[#This Row],[launched_at]]/60)/60/24)+DATE(1970,1,1)</f>
        <v>42460.741747685184</v>
      </c>
      <c r="M3629">
        <f>MONTH(Table1[[#This Row],[Date Created Conversion]])</f>
        <v>3</v>
      </c>
      <c r="N3629">
        <f>YEAR(Table1[[#This Row],[Date Created Conversion]])</f>
        <v>2016</v>
      </c>
      <c r="O3629" t="b">
        <v>0</v>
      </c>
      <c r="P3629">
        <v>29</v>
      </c>
      <c r="Q3629" t="b">
        <v>1</v>
      </c>
      <c r="R3629" t="s">
        <v>8271</v>
      </c>
      <c r="S3629" s="6">
        <f>Table1[[#This Row],[pledged]]/Table1[[#This Row],[goal]]</f>
        <v>1</v>
      </c>
      <c r="T3629" s="8">
        <f>IF(Table1[[#This Row],[pledged]]=0,"no backers",Table1[[#This Row],[pledged]]/Table1[[#This Row],[backers_count]])</f>
        <v>68.965517241379317</v>
      </c>
      <c r="U3629" t="str">
        <f>LEFT(Table1[[#This Row],[Category and Sub-Category]],FIND("/",Table1[[#This Row],[Category and Sub-Category]])-1)</f>
        <v>theater</v>
      </c>
      <c r="V3629" t="str">
        <f>RIGHT(Table1[[#This Row],[Category and Sub-Category]],LEN(Table1[[#This Row],[Category and Sub-Category]])-FIND("/",Table1[[#This Row],[Category and Sub-Category]]))</f>
        <v>plays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 s="12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>((Table1[[#This Row],[deadline]]/60)/60/24)+DATE(1970,1,1)</f>
        <v>42351.874953703707</v>
      </c>
      <c r="K3630">
        <v>1444852796</v>
      </c>
      <c r="L3630" s="11">
        <f>((Table1[[#This Row],[launched_at]]/60)/60/24)+DATE(1970,1,1)</f>
        <v>42291.833287037036</v>
      </c>
      <c r="M3630">
        <f>MONTH(Table1[[#This Row],[Date Created Conversion]])</f>
        <v>10</v>
      </c>
      <c r="N3630">
        <f>YEAR(Table1[[#This Row],[Date Created Conversion]])</f>
        <v>2015</v>
      </c>
      <c r="O3630" t="b">
        <v>0</v>
      </c>
      <c r="P3630">
        <v>0</v>
      </c>
      <c r="Q3630" t="b">
        <v>0</v>
      </c>
      <c r="R3630" t="s">
        <v>8305</v>
      </c>
      <c r="S3630" s="6">
        <f>Table1[[#This Row],[pledged]]/Table1[[#This Row],[goal]]</f>
        <v>0</v>
      </c>
      <c r="T3630" s="8" t="str">
        <f>IF(Table1[[#This Row],[pledged]]=0,"no backers",Table1[[#This Row],[pledged]]/Table1[[#This Row],[backers_count]])</f>
        <v>no backers</v>
      </c>
      <c r="U3630" t="str">
        <f>LEFT(Table1[[#This Row],[Category and Sub-Category]],FIND("/",Table1[[#This Row],[Category and Sub-Category]])-1)</f>
        <v>theater</v>
      </c>
      <c r="V3630" t="str">
        <f>RIGHT(Table1[[#This Row],[Category and Sub-Category]],LEN(Table1[[#This Row],[Category and Sub-Category]])-FIND("/",Table1[[#This Row],[Category and Sub-Category]]))</f>
        <v>musical</v>
      </c>
    </row>
    <row r="3631" spans="1:22" ht="57.6" x14ac:dyDescent="0.3">
      <c r="A3631">
        <v>3629</v>
      </c>
      <c r="B3631" s="3" t="s">
        <v>3627</v>
      </c>
      <c r="C3631" s="3" t="s">
        <v>7739</v>
      </c>
      <c r="D3631" s="12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>((Table1[[#This Row],[deadline]]/60)/60/24)+DATE(1970,1,1)</f>
        <v>42495.708333333328</v>
      </c>
      <c r="K3631">
        <v>1457403364</v>
      </c>
      <c r="L3631" s="11">
        <f>((Table1[[#This Row],[launched_at]]/60)/60/24)+DATE(1970,1,1)</f>
        <v>42437.094490740739</v>
      </c>
      <c r="M3631">
        <f>MONTH(Table1[[#This Row],[Date Created Conversion]])</f>
        <v>3</v>
      </c>
      <c r="N3631">
        <f>YEAR(Table1[[#This Row],[Date Created Conversion]])</f>
        <v>2016</v>
      </c>
      <c r="O3631" t="b">
        <v>0</v>
      </c>
      <c r="P3631">
        <v>2</v>
      </c>
      <c r="Q3631" t="b">
        <v>0</v>
      </c>
      <c r="R3631" t="s">
        <v>8305</v>
      </c>
      <c r="S3631" s="6">
        <f>Table1[[#This Row],[pledged]]/Table1[[#This Row],[goal]]</f>
        <v>1.9999999999999999E-6</v>
      </c>
      <c r="T3631" s="8">
        <f>IF(Table1[[#This Row],[pledged]]=0,"no backers",Table1[[#This Row],[pledged]]/Table1[[#This Row],[backers_count]])</f>
        <v>1</v>
      </c>
      <c r="U3631" t="str">
        <f>LEFT(Table1[[#This Row],[Category and Sub-Category]],FIND("/",Table1[[#This Row],[Category and Sub-Category]])-1)</f>
        <v>theater</v>
      </c>
      <c r="V3631" t="str">
        <f>RIGHT(Table1[[#This Row],[Category and Sub-Category]],LEN(Table1[[#This Row],[Category and Sub-Category]])-FIND("/",Table1[[#This Row],[Category and Sub-Category]]))</f>
        <v>musical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 s="1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>((Table1[[#This Row],[deadline]]/60)/60/24)+DATE(1970,1,1)</f>
        <v>41972.888773148152</v>
      </c>
      <c r="K3632">
        <v>1414700390</v>
      </c>
      <c r="L3632" s="11">
        <f>((Table1[[#This Row],[launched_at]]/60)/60/24)+DATE(1970,1,1)</f>
        <v>41942.84710648148</v>
      </c>
      <c r="M3632">
        <f>MONTH(Table1[[#This Row],[Date Created Conversion]])</f>
        <v>10</v>
      </c>
      <c r="N3632">
        <f>YEAR(Table1[[#This Row],[Date Created Conversion]])</f>
        <v>2014</v>
      </c>
      <c r="O3632" t="b">
        <v>0</v>
      </c>
      <c r="P3632">
        <v>1</v>
      </c>
      <c r="Q3632" t="b">
        <v>0</v>
      </c>
      <c r="R3632" t="s">
        <v>8305</v>
      </c>
      <c r="S3632" s="6">
        <f>Table1[[#This Row],[pledged]]/Table1[[#This Row],[goal]]</f>
        <v>3.3333333333333332E-4</v>
      </c>
      <c r="T3632" s="8">
        <f>IF(Table1[[#This Row],[pledged]]=0,"no backers",Table1[[#This Row],[pledged]]/Table1[[#This Row],[backers_count]])</f>
        <v>1</v>
      </c>
      <c r="U3632" t="str">
        <f>LEFT(Table1[[#This Row],[Category and Sub-Category]],FIND("/",Table1[[#This Row],[Category and Sub-Category]])-1)</f>
        <v>theater</v>
      </c>
      <c r="V3632" t="str">
        <f>RIGHT(Table1[[#This Row],[Category and Sub-Category]],LEN(Table1[[#This Row],[Category and Sub-Category]])-FIND("/",Table1[[#This Row],[Category and Sub-Category]]))</f>
        <v>musical</v>
      </c>
    </row>
    <row r="3633" spans="1:22" ht="57.6" x14ac:dyDescent="0.3">
      <c r="A3633">
        <v>3631</v>
      </c>
      <c r="B3633" s="3" t="s">
        <v>3629</v>
      </c>
      <c r="C3633" s="3" t="s">
        <v>7741</v>
      </c>
      <c r="D3633" s="12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>((Table1[[#This Row],[deadline]]/60)/60/24)+DATE(1970,1,1)</f>
        <v>41905.165972222225</v>
      </c>
      <c r="K3633">
        <v>1409335497</v>
      </c>
      <c r="L3633" s="11">
        <f>((Table1[[#This Row],[launched_at]]/60)/60/24)+DATE(1970,1,1)</f>
        <v>41880.753437499996</v>
      </c>
      <c r="M3633">
        <f>MONTH(Table1[[#This Row],[Date Created Conversion]])</f>
        <v>8</v>
      </c>
      <c r="N3633">
        <f>YEAR(Table1[[#This Row],[Date Created Conversion]])</f>
        <v>2014</v>
      </c>
      <c r="O3633" t="b">
        <v>0</v>
      </c>
      <c r="P3633">
        <v>59</v>
      </c>
      <c r="Q3633" t="b">
        <v>0</v>
      </c>
      <c r="R3633" t="s">
        <v>8305</v>
      </c>
      <c r="S3633" s="6">
        <f>Table1[[#This Row],[pledged]]/Table1[[#This Row],[goal]]</f>
        <v>0.51023391812865493</v>
      </c>
      <c r="T3633" s="8">
        <f>IF(Table1[[#This Row],[pledged]]=0,"no backers",Table1[[#This Row],[pledged]]/Table1[[#This Row],[backers_count]])</f>
        <v>147.88135593220338</v>
      </c>
      <c r="U3633" t="str">
        <f>LEFT(Table1[[#This Row],[Category and Sub-Category]],FIND("/",Table1[[#This Row],[Category and Sub-Category]])-1)</f>
        <v>theater</v>
      </c>
      <c r="V3633" t="str">
        <f>RIGHT(Table1[[#This Row],[Category and Sub-Category]],LEN(Table1[[#This Row],[Category and Sub-Category]])-FIND("/",Table1[[#This Row],[Category and Sub-Category]]))</f>
        <v>musical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 s="12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>((Table1[[#This Row],[deadline]]/60)/60/24)+DATE(1970,1,1)</f>
        <v>41966.936909722222</v>
      </c>
      <c r="K3634">
        <v>1415053749</v>
      </c>
      <c r="L3634" s="11">
        <f>((Table1[[#This Row],[launched_at]]/60)/60/24)+DATE(1970,1,1)</f>
        <v>41946.936909722222</v>
      </c>
      <c r="M3634">
        <f>MONTH(Table1[[#This Row],[Date Created Conversion]])</f>
        <v>11</v>
      </c>
      <c r="N3634">
        <f>YEAR(Table1[[#This Row],[Date Created Conversion]])</f>
        <v>2014</v>
      </c>
      <c r="O3634" t="b">
        <v>0</v>
      </c>
      <c r="P3634">
        <v>1</v>
      </c>
      <c r="Q3634" t="b">
        <v>0</v>
      </c>
      <c r="R3634" t="s">
        <v>8305</v>
      </c>
      <c r="S3634" s="6">
        <f>Table1[[#This Row],[pledged]]/Table1[[#This Row],[goal]]</f>
        <v>0.2</v>
      </c>
      <c r="T3634" s="8">
        <f>IF(Table1[[#This Row],[pledged]]=0,"no backers",Table1[[#This Row],[pledged]]/Table1[[#This Row],[backers_count]])</f>
        <v>100</v>
      </c>
      <c r="U3634" t="str">
        <f>LEFT(Table1[[#This Row],[Category and Sub-Category]],FIND("/",Table1[[#This Row],[Category and Sub-Category]])-1)</f>
        <v>theater</v>
      </c>
      <c r="V3634" t="str">
        <f>RIGHT(Table1[[#This Row],[Category and Sub-Category]],LEN(Table1[[#This Row],[Category and Sub-Category]])-FIND("/",Table1[[#This Row],[Category and Sub-Category]]))</f>
        <v>musical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 s="12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>((Table1[[#This Row],[deadline]]/60)/60/24)+DATE(1970,1,1)</f>
        <v>42693.041666666672</v>
      </c>
      <c r="K3635">
        <v>1475765867</v>
      </c>
      <c r="L3635" s="11">
        <f>((Table1[[#This Row],[launched_at]]/60)/60/24)+DATE(1970,1,1)</f>
        <v>42649.623460648145</v>
      </c>
      <c r="M3635">
        <f>MONTH(Table1[[#This Row],[Date Created Conversion]])</f>
        <v>10</v>
      </c>
      <c r="N3635">
        <f>YEAR(Table1[[#This Row],[Date Created Conversion]])</f>
        <v>2016</v>
      </c>
      <c r="O3635" t="b">
        <v>0</v>
      </c>
      <c r="P3635">
        <v>31</v>
      </c>
      <c r="Q3635" t="b">
        <v>0</v>
      </c>
      <c r="R3635" t="s">
        <v>8305</v>
      </c>
      <c r="S3635" s="6">
        <f>Table1[[#This Row],[pledged]]/Table1[[#This Row],[goal]]</f>
        <v>0.35239999999999999</v>
      </c>
      <c r="T3635" s="8">
        <f>IF(Table1[[#This Row],[pledged]]=0,"no backers",Table1[[#This Row],[pledged]]/Table1[[#This Row],[backers_count]])</f>
        <v>56.838709677419352</v>
      </c>
      <c r="U3635" t="str">
        <f>LEFT(Table1[[#This Row],[Category and Sub-Category]],FIND("/",Table1[[#This Row],[Category and Sub-Category]])-1)</f>
        <v>theater</v>
      </c>
      <c r="V3635" t="str">
        <f>RIGHT(Table1[[#This Row],[Category and Sub-Category]],LEN(Table1[[#This Row],[Category and Sub-Category]])-FIND("/",Table1[[#This Row],[Category and Sub-Category]]))</f>
        <v>musical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 s="12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>((Table1[[#This Row],[deadline]]/60)/60/24)+DATE(1970,1,1)</f>
        <v>42749.165972222225</v>
      </c>
      <c r="K3636">
        <v>1480219174</v>
      </c>
      <c r="L3636" s="11">
        <f>((Table1[[#This Row],[launched_at]]/60)/60/24)+DATE(1970,1,1)</f>
        <v>42701.166365740741</v>
      </c>
      <c r="M3636">
        <f>MONTH(Table1[[#This Row],[Date Created Conversion]])</f>
        <v>11</v>
      </c>
      <c r="N3636">
        <f>YEAR(Table1[[#This Row],[Date Created Conversion]])</f>
        <v>2016</v>
      </c>
      <c r="O3636" t="b">
        <v>0</v>
      </c>
      <c r="P3636">
        <v>18</v>
      </c>
      <c r="Q3636" t="b">
        <v>0</v>
      </c>
      <c r="R3636" t="s">
        <v>8305</v>
      </c>
      <c r="S3636" s="6">
        <f>Table1[[#This Row],[pledged]]/Table1[[#This Row],[goal]]</f>
        <v>4.2466666666666666E-2</v>
      </c>
      <c r="T3636" s="8">
        <f>IF(Table1[[#This Row],[pledged]]=0,"no backers",Table1[[#This Row],[pledged]]/Table1[[#This Row],[backers_count]])</f>
        <v>176.94444444444446</v>
      </c>
      <c r="U3636" t="str">
        <f>LEFT(Table1[[#This Row],[Category and Sub-Category]],FIND("/",Table1[[#This Row],[Category and Sub-Category]])-1)</f>
        <v>theater</v>
      </c>
      <c r="V3636" t="str">
        <f>RIGHT(Table1[[#This Row],[Category and Sub-Category]],LEN(Table1[[#This Row],[Category and Sub-Category]])-FIND("/",Table1[[#This Row],[Category and Sub-Category]]))</f>
        <v>musical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 s="12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>((Table1[[#This Row],[deadline]]/60)/60/24)+DATE(1970,1,1)</f>
        <v>42480.88282407407</v>
      </c>
      <c r="K3637">
        <v>1458594676</v>
      </c>
      <c r="L3637" s="11">
        <f>((Table1[[#This Row],[launched_at]]/60)/60/24)+DATE(1970,1,1)</f>
        <v>42450.88282407407</v>
      </c>
      <c r="M3637">
        <f>MONTH(Table1[[#This Row],[Date Created Conversion]])</f>
        <v>3</v>
      </c>
      <c r="N3637">
        <f>YEAR(Table1[[#This Row],[Date Created Conversion]])</f>
        <v>2016</v>
      </c>
      <c r="O3637" t="b">
        <v>0</v>
      </c>
      <c r="P3637">
        <v>10</v>
      </c>
      <c r="Q3637" t="b">
        <v>0</v>
      </c>
      <c r="R3637" t="s">
        <v>8305</v>
      </c>
      <c r="S3637" s="6">
        <f>Table1[[#This Row],[pledged]]/Table1[[#This Row],[goal]]</f>
        <v>0.36457142857142855</v>
      </c>
      <c r="T3637" s="8">
        <f>IF(Table1[[#This Row],[pledged]]=0,"no backers",Table1[[#This Row],[pledged]]/Table1[[#This Row],[backers_count]])</f>
        <v>127.6</v>
      </c>
      <c r="U3637" t="str">
        <f>LEFT(Table1[[#This Row],[Category and Sub-Category]],FIND("/",Table1[[#This Row],[Category and Sub-Category]])-1)</f>
        <v>theater</v>
      </c>
      <c r="V3637" t="str">
        <f>RIGHT(Table1[[#This Row],[Category and Sub-Category]],LEN(Table1[[#This Row],[Category and Sub-Category]])-FIND("/",Table1[[#This Row],[Category and Sub-Category]]))</f>
        <v>musical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 s="12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>((Table1[[#This Row],[deadline]]/60)/60/24)+DATE(1970,1,1)</f>
        <v>42261.694780092599</v>
      </c>
      <c r="K3638">
        <v>1439224829</v>
      </c>
      <c r="L3638" s="11">
        <f>((Table1[[#This Row],[launched_at]]/60)/60/24)+DATE(1970,1,1)</f>
        <v>42226.694780092599</v>
      </c>
      <c r="M3638">
        <f>MONTH(Table1[[#This Row],[Date Created Conversion]])</f>
        <v>8</v>
      </c>
      <c r="N3638">
        <f>YEAR(Table1[[#This Row],[Date Created Conversion]])</f>
        <v>2015</v>
      </c>
      <c r="O3638" t="b">
        <v>0</v>
      </c>
      <c r="P3638">
        <v>0</v>
      </c>
      <c r="Q3638" t="b">
        <v>0</v>
      </c>
      <c r="R3638" t="s">
        <v>8305</v>
      </c>
      <c r="S3638" s="6">
        <f>Table1[[#This Row],[pledged]]/Table1[[#This Row],[goal]]</f>
        <v>0</v>
      </c>
      <c r="T3638" s="8" t="str">
        <f>IF(Table1[[#This Row],[pledged]]=0,"no backers",Table1[[#This Row],[pledged]]/Table1[[#This Row],[backers_count]])</f>
        <v>no backers</v>
      </c>
      <c r="U3638" t="str">
        <f>LEFT(Table1[[#This Row],[Category and Sub-Category]],FIND("/",Table1[[#This Row],[Category and Sub-Category]])-1)</f>
        <v>theater</v>
      </c>
      <c r="V3638" t="str">
        <f>RIGHT(Table1[[#This Row],[Category and Sub-Category]],LEN(Table1[[#This Row],[Category and Sub-Category]])-FIND("/",Table1[[#This Row],[Category and Sub-Category]]))</f>
        <v>musical</v>
      </c>
    </row>
    <row r="3639" spans="1:22" ht="57.6" x14ac:dyDescent="0.3">
      <c r="A3639">
        <v>3637</v>
      </c>
      <c r="B3639" s="3" t="s">
        <v>3635</v>
      </c>
      <c r="C3639" s="3" t="s">
        <v>7747</v>
      </c>
      <c r="D3639" s="12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>((Table1[[#This Row],[deadline]]/60)/60/24)+DATE(1970,1,1)</f>
        <v>42005.700636574074</v>
      </c>
      <c r="K3639">
        <v>1417538935</v>
      </c>
      <c r="L3639" s="11">
        <f>((Table1[[#This Row],[launched_at]]/60)/60/24)+DATE(1970,1,1)</f>
        <v>41975.700636574074</v>
      </c>
      <c r="M3639">
        <f>MONTH(Table1[[#This Row],[Date Created Conversion]])</f>
        <v>12</v>
      </c>
      <c r="N3639">
        <f>YEAR(Table1[[#This Row],[Date Created Conversion]])</f>
        <v>2014</v>
      </c>
      <c r="O3639" t="b">
        <v>0</v>
      </c>
      <c r="P3639">
        <v>14</v>
      </c>
      <c r="Q3639" t="b">
        <v>0</v>
      </c>
      <c r="R3639" t="s">
        <v>8305</v>
      </c>
      <c r="S3639" s="6">
        <f>Table1[[#This Row],[pledged]]/Table1[[#This Row],[goal]]</f>
        <v>0.30866666666666664</v>
      </c>
      <c r="T3639" s="8">
        <f>IF(Table1[[#This Row],[pledged]]=0,"no backers",Table1[[#This Row],[pledged]]/Table1[[#This Row],[backers_count]])</f>
        <v>66.142857142857139</v>
      </c>
      <c r="U3639" t="str">
        <f>LEFT(Table1[[#This Row],[Category and Sub-Category]],FIND("/",Table1[[#This Row],[Category and Sub-Category]])-1)</f>
        <v>theater</v>
      </c>
      <c r="V3639" t="str">
        <f>RIGHT(Table1[[#This Row],[Category and Sub-Category]],LEN(Table1[[#This Row],[Category and Sub-Category]])-FIND("/",Table1[[#This Row],[Category and Sub-Category]]))</f>
        <v>musical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 s="12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>((Table1[[#This Row],[deadline]]/60)/60/24)+DATE(1970,1,1)</f>
        <v>42113.631157407406</v>
      </c>
      <c r="K3640">
        <v>1424275732</v>
      </c>
      <c r="L3640" s="11">
        <f>((Table1[[#This Row],[launched_at]]/60)/60/24)+DATE(1970,1,1)</f>
        <v>42053.672824074078</v>
      </c>
      <c r="M3640">
        <f>MONTH(Table1[[#This Row],[Date Created Conversion]])</f>
        <v>2</v>
      </c>
      <c r="N3640">
        <f>YEAR(Table1[[#This Row],[Date Created Conversion]])</f>
        <v>2015</v>
      </c>
      <c r="O3640" t="b">
        <v>0</v>
      </c>
      <c r="P3640">
        <v>2</v>
      </c>
      <c r="Q3640" t="b">
        <v>0</v>
      </c>
      <c r="R3640" t="s">
        <v>8305</v>
      </c>
      <c r="S3640" s="6">
        <f>Table1[[#This Row],[pledged]]/Table1[[#This Row],[goal]]</f>
        <v>6.545454545454546E-2</v>
      </c>
      <c r="T3640" s="8">
        <f>IF(Table1[[#This Row],[pledged]]=0,"no backers",Table1[[#This Row],[pledged]]/Table1[[#This Row],[backers_count]])</f>
        <v>108</v>
      </c>
      <c r="U3640" t="str">
        <f>LEFT(Table1[[#This Row],[Category and Sub-Category]],FIND("/",Table1[[#This Row],[Category and Sub-Category]])-1)</f>
        <v>theater</v>
      </c>
      <c r="V3640" t="str">
        <f>RIGHT(Table1[[#This Row],[Category and Sub-Category]],LEN(Table1[[#This Row],[Category and Sub-Category]])-FIND("/",Table1[[#This Row],[Category and Sub-Category]]))</f>
        <v>musical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 s="12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>((Table1[[#This Row],[deadline]]/60)/60/24)+DATE(1970,1,1)</f>
        <v>42650.632638888885</v>
      </c>
      <c r="K3641">
        <v>1470672906</v>
      </c>
      <c r="L3641" s="11">
        <f>((Table1[[#This Row],[launched_at]]/60)/60/24)+DATE(1970,1,1)</f>
        <v>42590.677152777775</v>
      </c>
      <c r="M3641">
        <f>MONTH(Table1[[#This Row],[Date Created Conversion]])</f>
        <v>8</v>
      </c>
      <c r="N3641">
        <f>YEAR(Table1[[#This Row],[Date Created Conversion]])</f>
        <v>2016</v>
      </c>
      <c r="O3641" t="b">
        <v>0</v>
      </c>
      <c r="P3641">
        <v>1</v>
      </c>
      <c r="Q3641" t="b">
        <v>0</v>
      </c>
      <c r="R3641" t="s">
        <v>8305</v>
      </c>
      <c r="S3641" s="6">
        <f>Table1[[#This Row],[pledged]]/Table1[[#This Row],[goal]]</f>
        <v>4.0000000000000003E-5</v>
      </c>
      <c r="T3641" s="8">
        <f>IF(Table1[[#This Row],[pledged]]=0,"no backers",Table1[[#This Row],[pledged]]/Table1[[#This Row],[backers_count]])</f>
        <v>1</v>
      </c>
      <c r="U3641" t="str">
        <f>LEFT(Table1[[#This Row],[Category and Sub-Category]],FIND("/",Table1[[#This Row],[Category and Sub-Category]])-1)</f>
        <v>theater</v>
      </c>
      <c r="V3641" t="str">
        <f>RIGHT(Table1[[#This Row],[Category and Sub-Category]],LEN(Table1[[#This Row],[Category and Sub-Category]])-FIND("/",Table1[[#This Row],[Category and Sub-Category]]))</f>
        <v>musical</v>
      </c>
    </row>
    <row r="3642" spans="1:22" ht="72" x14ac:dyDescent="0.3">
      <c r="A3642">
        <v>3640</v>
      </c>
      <c r="B3642" s="3" t="s">
        <v>3638</v>
      </c>
      <c r="C3642" s="3" t="s">
        <v>7750</v>
      </c>
      <c r="D3642" s="1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>((Table1[[#This Row],[deadline]]/60)/60/24)+DATE(1970,1,1)</f>
        <v>42134.781597222223</v>
      </c>
      <c r="K3642">
        <v>1428691530</v>
      </c>
      <c r="L3642" s="11">
        <f>((Table1[[#This Row],[launched_at]]/60)/60/24)+DATE(1970,1,1)</f>
        <v>42104.781597222223</v>
      </c>
      <c r="M3642">
        <f>MONTH(Table1[[#This Row],[Date Created Conversion]])</f>
        <v>4</v>
      </c>
      <c r="N3642">
        <f>YEAR(Table1[[#This Row],[Date Created Conversion]])</f>
        <v>2015</v>
      </c>
      <c r="O3642" t="b">
        <v>0</v>
      </c>
      <c r="P3642">
        <v>3</v>
      </c>
      <c r="Q3642" t="b">
        <v>0</v>
      </c>
      <c r="R3642" t="s">
        <v>8305</v>
      </c>
      <c r="S3642" s="6">
        <f>Table1[[#This Row],[pledged]]/Table1[[#This Row],[goal]]</f>
        <v>5.5E-2</v>
      </c>
      <c r="T3642" s="8">
        <f>IF(Table1[[#This Row],[pledged]]=0,"no backers",Table1[[#This Row],[pledged]]/Table1[[#This Row],[backers_count]])</f>
        <v>18.333333333333332</v>
      </c>
      <c r="U3642" t="str">
        <f>LEFT(Table1[[#This Row],[Category and Sub-Category]],FIND("/",Table1[[#This Row],[Category and Sub-Category]])-1)</f>
        <v>theater</v>
      </c>
      <c r="V3642" t="str">
        <f>RIGHT(Table1[[#This Row],[Category and Sub-Category]],LEN(Table1[[#This Row],[Category and Sub-Category]])-FIND("/",Table1[[#This Row],[Category and Sub-Category]]))</f>
        <v>musical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 s="12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>((Table1[[#This Row],[deadline]]/60)/60/24)+DATE(1970,1,1)</f>
        <v>41917.208333333336</v>
      </c>
      <c r="K3643">
        <v>1410966179</v>
      </c>
      <c r="L3643" s="11">
        <f>((Table1[[#This Row],[launched_at]]/60)/60/24)+DATE(1970,1,1)</f>
        <v>41899.627071759263</v>
      </c>
      <c r="M3643">
        <f>MONTH(Table1[[#This Row],[Date Created Conversion]])</f>
        <v>9</v>
      </c>
      <c r="N3643">
        <f>YEAR(Table1[[#This Row],[Date Created Conversion]])</f>
        <v>2014</v>
      </c>
      <c r="O3643" t="b">
        <v>0</v>
      </c>
      <c r="P3643">
        <v>0</v>
      </c>
      <c r="Q3643" t="b">
        <v>0</v>
      </c>
      <c r="R3643" t="s">
        <v>8305</v>
      </c>
      <c r="S3643" s="6">
        <f>Table1[[#This Row],[pledged]]/Table1[[#This Row],[goal]]</f>
        <v>0</v>
      </c>
      <c r="T3643" s="8" t="str">
        <f>IF(Table1[[#This Row],[pledged]]=0,"no backers",Table1[[#This Row],[pledged]]/Table1[[#This Row],[backers_count]])</f>
        <v>no backers</v>
      </c>
      <c r="U3643" t="str">
        <f>LEFT(Table1[[#This Row],[Category and Sub-Category]],FIND("/",Table1[[#This Row],[Category and Sub-Category]])-1)</f>
        <v>theater</v>
      </c>
      <c r="V3643" t="str">
        <f>RIGHT(Table1[[#This Row],[Category and Sub-Category]],LEN(Table1[[#This Row],[Category and Sub-Category]])-FIND("/",Table1[[#This Row],[Category and Sub-Category]]))</f>
        <v>musical</v>
      </c>
    </row>
    <row r="3644" spans="1:22" ht="57.6" x14ac:dyDescent="0.3">
      <c r="A3644">
        <v>3642</v>
      </c>
      <c r="B3644" s="3" t="s">
        <v>3640</v>
      </c>
      <c r="C3644" s="3" t="s">
        <v>7752</v>
      </c>
      <c r="D3644" s="12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>((Table1[[#This Row],[deadline]]/60)/60/24)+DATE(1970,1,1)</f>
        <v>42338.708333333328</v>
      </c>
      <c r="K3644">
        <v>1445369727</v>
      </c>
      <c r="L3644" s="11">
        <f>((Table1[[#This Row],[launched_at]]/60)/60/24)+DATE(1970,1,1)</f>
        <v>42297.816284722227</v>
      </c>
      <c r="M3644">
        <f>MONTH(Table1[[#This Row],[Date Created Conversion]])</f>
        <v>10</v>
      </c>
      <c r="N3644">
        <f>YEAR(Table1[[#This Row],[Date Created Conversion]])</f>
        <v>2015</v>
      </c>
      <c r="O3644" t="b">
        <v>0</v>
      </c>
      <c r="P3644">
        <v>2</v>
      </c>
      <c r="Q3644" t="b">
        <v>0</v>
      </c>
      <c r="R3644" t="s">
        <v>8305</v>
      </c>
      <c r="S3644" s="6">
        <f>Table1[[#This Row],[pledged]]/Table1[[#This Row],[goal]]</f>
        <v>2.1428571428571429E-2</v>
      </c>
      <c r="T3644" s="8">
        <f>IF(Table1[[#This Row],[pledged]]=0,"no backers",Table1[[#This Row],[pledged]]/Table1[[#This Row],[backers_count]])</f>
        <v>7.5</v>
      </c>
      <c r="U3644" t="str">
        <f>LEFT(Table1[[#This Row],[Category and Sub-Category]],FIND("/",Table1[[#This Row],[Category and Sub-Category]])-1)</f>
        <v>theater</v>
      </c>
      <c r="V3644" t="str">
        <f>RIGHT(Table1[[#This Row],[Category and Sub-Category]],LEN(Table1[[#This Row],[Category and Sub-Category]])-FIND("/",Table1[[#This Row],[Category and Sub-Category]]))</f>
        <v>musical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 s="12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>((Table1[[#This Row],[deadline]]/60)/60/24)+DATE(1970,1,1)</f>
        <v>42325.185636574075</v>
      </c>
      <c r="K3645">
        <v>1444274839</v>
      </c>
      <c r="L3645" s="11">
        <f>((Table1[[#This Row],[launched_at]]/60)/60/24)+DATE(1970,1,1)</f>
        <v>42285.143969907411</v>
      </c>
      <c r="M3645">
        <f>MONTH(Table1[[#This Row],[Date Created Conversion]])</f>
        <v>10</v>
      </c>
      <c r="N3645">
        <f>YEAR(Table1[[#This Row],[Date Created Conversion]])</f>
        <v>2015</v>
      </c>
      <c r="O3645" t="b">
        <v>0</v>
      </c>
      <c r="P3645">
        <v>0</v>
      </c>
      <c r="Q3645" t="b">
        <v>0</v>
      </c>
      <c r="R3645" t="s">
        <v>8305</v>
      </c>
      <c r="S3645" s="6">
        <f>Table1[[#This Row],[pledged]]/Table1[[#This Row],[goal]]</f>
        <v>0</v>
      </c>
      <c r="T3645" s="8" t="str">
        <f>IF(Table1[[#This Row],[pledged]]=0,"no backers",Table1[[#This Row],[pledged]]/Table1[[#This Row],[backers_count]])</f>
        <v>no backers</v>
      </c>
      <c r="U3645" t="str">
        <f>LEFT(Table1[[#This Row],[Category and Sub-Category]],FIND("/",Table1[[#This Row],[Category and Sub-Category]])-1)</f>
        <v>theater</v>
      </c>
      <c r="V3645" t="str">
        <f>RIGHT(Table1[[#This Row],[Category and Sub-Category]],LEN(Table1[[#This Row],[Category and Sub-Category]])-FIND("/",Table1[[#This Row],[Category and Sub-Category]]))</f>
        <v>musical</v>
      </c>
    </row>
    <row r="3646" spans="1:22" ht="43.2" x14ac:dyDescent="0.3">
      <c r="A3646">
        <v>3644</v>
      </c>
      <c r="B3646" s="3" t="s">
        <v>3642</v>
      </c>
      <c r="C3646" s="3" t="s">
        <v>7754</v>
      </c>
      <c r="D3646" s="12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>((Table1[[#This Row],[deadline]]/60)/60/24)+DATE(1970,1,1)</f>
        <v>42437.207638888889</v>
      </c>
      <c r="K3646">
        <v>1454996887</v>
      </c>
      <c r="L3646" s="11">
        <f>((Table1[[#This Row],[launched_at]]/60)/60/24)+DATE(1970,1,1)</f>
        <v>42409.241747685184</v>
      </c>
      <c r="M3646">
        <f>MONTH(Table1[[#This Row],[Date Created Conversion]])</f>
        <v>2</v>
      </c>
      <c r="N3646">
        <f>YEAR(Table1[[#This Row],[Date Created Conversion]])</f>
        <v>2016</v>
      </c>
      <c r="O3646" t="b">
        <v>0</v>
      </c>
      <c r="P3646">
        <v>12</v>
      </c>
      <c r="Q3646" t="b">
        <v>0</v>
      </c>
      <c r="R3646" t="s">
        <v>8305</v>
      </c>
      <c r="S3646" s="6">
        <f>Table1[[#This Row],[pledged]]/Table1[[#This Row],[goal]]</f>
        <v>0.16420000000000001</v>
      </c>
      <c r="T3646" s="8">
        <f>IF(Table1[[#This Row],[pledged]]=0,"no backers",Table1[[#This Row],[pledged]]/Table1[[#This Row],[backers_count]])</f>
        <v>68.416666666666671</v>
      </c>
      <c r="U3646" t="str">
        <f>LEFT(Table1[[#This Row],[Category and Sub-Category]],FIND("/",Table1[[#This Row],[Category and Sub-Category]])-1)</f>
        <v>theater</v>
      </c>
      <c r="V3646" t="str">
        <f>RIGHT(Table1[[#This Row],[Category and Sub-Category]],LEN(Table1[[#This Row],[Category and Sub-Category]])-FIND("/",Table1[[#This Row],[Category and Sub-Category]]))</f>
        <v>musical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 s="12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>((Table1[[#This Row],[deadline]]/60)/60/24)+DATE(1970,1,1)</f>
        <v>42696.012013888889</v>
      </c>
      <c r="K3647">
        <v>1477178238</v>
      </c>
      <c r="L3647" s="11">
        <f>((Table1[[#This Row],[launched_at]]/60)/60/24)+DATE(1970,1,1)</f>
        <v>42665.970347222217</v>
      </c>
      <c r="M3647">
        <f>MONTH(Table1[[#This Row],[Date Created Conversion]])</f>
        <v>10</v>
      </c>
      <c r="N3647">
        <f>YEAR(Table1[[#This Row],[Date Created Conversion]])</f>
        <v>2016</v>
      </c>
      <c r="O3647" t="b">
        <v>0</v>
      </c>
      <c r="P3647">
        <v>1</v>
      </c>
      <c r="Q3647" t="b">
        <v>0</v>
      </c>
      <c r="R3647" t="s">
        <v>8305</v>
      </c>
      <c r="S3647" s="6">
        <f>Table1[[#This Row],[pledged]]/Table1[[#This Row],[goal]]</f>
        <v>1E-3</v>
      </c>
      <c r="T3647" s="8">
        <f>IF(Table1[[#This Row],[pledged]]=0,"no backers",Table1[[#This Row],[pledged]]/Table1[[#This Row],[backers_count]])</f>
        <v>1</v>
      </c>
      <c r="U3647" t="str">
        <f>LEFT(Table1[[#This Row],[Category and Sub-Category]],FIND("/",Table1[[#This Row],[Category and Sub-Category]])-1)</f>
        <v>theater</v>
      </c>
      <c r="V3647" t="str">
        <f>RIGHT(Table1[[#This Row],[Category and Sub-Category]],LEN(Table1[[#This Row],[Category and Sub-Category]])-FIND("/",Table1[[#This Row],[Category and Sub-Category]]))</f>
        <v>musical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 s="12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>((Table1[[#This Row],[deadline]]/60)/60/24)+DATE(1970,1,1)</f>
        <v>42171.979166666672</v>
      </c>
      <c r="K3648">
        <v>1431770802</v>
      </c>
      <c r="L3648" s="11">
        <f>((Table1[[#This Row],[launched_at]]/60)/60/24)+DATE(1970,1,1)</f>
        <v>42140.421319444446</v>
      </c>
      <c r="M3648">
        <f>MONTH(Table1[[#This Row],[Date Created Conversion]])</f>
        <v>5</v>
      </c>
      <c r="N3648">
        <f>YEAR(Table1[[#This Row],[Date Created Conversion]])</f>
        <v>2015</v>
      </c>
      <c r="O3648" t="b">
        <v>0</v>
      </c>
      <c r="P3648">
        <v>8</v>
      </c>
      <c r="Q3648" t="b">
        <v>0</v>
      </c>
      <c r="R3648" t="s">
        <v>8305</v>
      </c>
      <c r="S3648" s="6">
        <f>Table1[[#This Row],[pledged]]/Table1[[#This Row],[goal]]</f>
        <v>4.8099999999999997E-2</v>
      </c>
      <c r="T3648" s="8">
        <f>IF(Table1[[#This Row],[pledged]]=0,"no backers",Table1[[#This Row],[pledged]]/Table1[[#This Row],[backers_count]])</f>
        <v>60.125</v>
      </c>
      <c r="U3648" t="str">
        <f>LEFT(Table1[[#This Row],[Category and Sub-Category]],FIND("/",Table1[[#This Row],[Category and Sub-Category]])-1)</f>
        <v>theater</v>
      </c>
      <c r="V3648" t="str">
        <f>RIGHT(Table1[[#This Row],[Category and Sub-Category]],LEN(Table1[[#This Row],[Category and Sub-Category]])-FIND("/",Table1[[#This Row],[Category and Sub-Category]]))</f>
        <v>musical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 s="12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>((Table1[[#This Row],[deadline]]/60)/60/24)+DATE(1970,1,1)</f>
        <v>42643.749155092592</v>
      </c>
      <c r="K3649">
        <v>1471370327</v>
      </c>
      <c r="L3649" s="11">
        <f>((Table1[[#This Row],[launched_at]]/60)/60/24)+DATE(1970,1,1)</f>
        <v>42598.749155092592</v>
      </c>
      <c r="M3649">
        <f>MONTH(Table1[[#This Row],[Date Created Conversion]])</f>
        <v>8</v>
      </c>
      <c r="N3649">
        <f>YEAR(Table1[[#This Row],[Date Created Conversion]])</f>
        <v>2016</v>
      </c>
      <c r="O3649" t="b">
        <v>0</v>
      </c>
      <c r="P3649">
        <v>2</v>
      </c>
      <c r="Q3649" t="b">
        <v>0</v>
      </c>
      <c r="R3649" t="s">
        <v>8305</v>
      </c>
      <c r="S3649" s="6">
        <f>Table1[[#This Row],[pledged]]/Table1[[#This Row],[goal]]</f>
        <v>0.06</v>
      </c>
      <c r="T3649" s="8">
        <f>IF(Table1[[#This Row],[pledged]]=0,"no backers",Table1[[#This Row],[pledged]]/Table1[[#This Row],[backers_count]])</f>
        <v>15</v>
      </c>
      <c r="U3649" t="str">
        <f>LEFT(Table1[[#This Row],[Category and Sub-Category]],FIND("/",Table1[[#This Row],[Category and Sub-Category]])-1)</f>
        <v>theater</v>
      </c>
      <c r="V3649" t="str">
        <f>RIGHT(Table1[[#This Row],[Category and Sub-Category]],LEN(Table1[[#This Row],[Category and Sub-Category]])-FIND("/",Table1[[#This Row],[Category and Sub-Category]]))</f>
        <v>musical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 s="12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>((Table1[[#This Row],[deadline]]/60)/60/24)+DATE(1970,1,1)</f>
        <v>41917.292187500003</v>
      </c>
      <c r="K3650">
        <v>1409900445</v>
      </c>
      <c r="L3650" s="11">
        <f>((Table1[[#This Row],[launched_at]]/60)/60/24)+DATE(1970,1,1)</f>
        <v>41887.292187500003</v>
      </c>
      <c r="M3650">
        <f>MONTH(Table1[[#This Row],[Date Created Conversion]])</f>
        <v>9</v>
      </c>
      <c r="N3650">
        <f>YEAR(Table1[[#This Row],[Date Created Conversion]])</f>
        <v>2014</v>
      </c>
      <c r="O3650" t="b">
        <v>0</v>
      </c>
      <c r="P3650">
        <v>73</v>
      </c>
      <c r="Q3650" t="b">
        <v>1</v>
      </c>
      <c r="R3650" t="s">
        <v>8271</v>
      </c>
      <c r="S3650" s="6">
        <f>Table1[[#This Row],[pledged]]/Table1[[#This Row],[goal]]</f>
        <v>1.003825</v>
      </c>
      <c r="T3650" s="8">
        <f>IF(Table1[[#This Row],[pledged]]=0,"no backers",Table1[[#This Row],[pledged]]/Table1[[#This Row],[backers_count]])</f>
        <v>550.04109589041093</v>
      </c>
      <c r="U3650" t="str">
        <f>LEFT(Table1[[#This Row],[Category and Sub-Category]],FIND("/",Table1[[#This Row],[Category and Sub-Category]])-1)</f>
        <v>theater</v>
      </c>
      <c r="V3650" t="str">
        <f>RIGHT(Table1[[#This Row],[Category and Sub-Category]],LEN(Table1[[#This Row],[Category and Sub-Category]])-FIND("/",Table1[[#This Row],[Category and Sub-Category]]))</f>
        <v>plays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 s="12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>((Table1[[#This Row],[deadline]]/60)/60/24)+DATE(1970,1,1)</f>
        <v>41806.712893518517</v>
      </c>
      <c r="K3651">
        <v>1400691994</v>
      </c>
      <c r="L3651" s="11">
        <f>((Table1[[#This Row],[launched_at]]/60)/60/24)+DATE(1970,1,1)</f>
        <v>41780.712893518517</v>
      </c>
      <c r="M3651">
        <f>MONTH(Table1[[#This Row],[Date Created Conversion]])</f>
        <v>5</v>
      </c>
      <c r="N3651">
        <f>YEAR(Table1[[#This Row],[Date Created Conversion]])</f>
        <v>2014</v>
      </c>
      <c r="O3651" t="b">
        <v>0</v>
      </c>
      <c r="P3651">
        <v>8</v>
      </c>
      <c r="Q3651" t="b">
        <v>1</v>
      </c>
      <c r="R3651" t="s">
        <v>8271</v>
      </c>
      <c r="S3651" s="6">
        <f>Table1[[#This Row],[pledged]]/Table1[[#This Row],[goal]]</f>
        <v>1.04</v>
      </c>
      <c r="T3651" s="8">
        <f>IF(Table1[[#This Row],[pledged]]=0,"no backers",Table1[[#This Row],[pledged]]/Table1[[#This Row],[backers_count]])</f>
        <v>97.5</v>
      </c>
      <c r="U3651" t="str">
        <f>LEFT(Table1[[#This Row],[Category and Sub-Category]],FIND("/",Table1[[#This Row],[Category and Sub-Category]])-1)</f>
        <v>theater</v>
      </c>
      <c r="V3651" t="str">
        <f>RIGHT(Table1[[#This Row],[Category and Sub-Category]],LEN(Table1[[#This Row],[Category and Sub-Category]])-FIND("/",Table1[[#This Row],[Category and Sub-Category]]))</f>
        <v>plays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 s="1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>((Table1[[#This Row],[deadline]]/60)/60/24)+DATE(1970,1,1)</f>
        <v>42402.478981481487</v>
      </c>
      <c r="K3652">
        <v>1452598184</v>
      </c>
      <c r="L3652" s="11">
        <f>((Table1[[#This Row],[launched_at]]/60)/60/24)+DATE(1970,1,1)</f>
        <v>42381.478981481487</v>
      </c>
      <c r="M3652">
        <f>MONTH(Table1[[#This Row],[Date Created Conversion]])</f>
        <v>1</v>
      </c>
      <c r="N3652">
        <f>YEAR(Table1[[#This Row],[Date Created Conversion]])</f>
        <v>2016</v>
      </c>
      <c r="O3652" t="b">
        <v>0</v>
      </c>
      <c r="P3652">
        <v>17</v>
      </c>
      <c r="Q3652" t="b">
        <v>1</v>
      </c>
      <c r="R3652" t="s">
        <v>8271</v>
      </c>
      <c r="S3652" s="6">
        <f>Table1[[#This Row],[pledged]]/Table1[[#This Row],[goal]]</f>
        <v>1</v>
      </c>
      <c r="T3652" s="8">
        <f>IF(Table1[[#This Row],[pledged]]=0,"no backers",Table1[[#This Row],[pledged]]/Table1[[#This Row],[backers_count]])</f>
        <v>29.411764705882351</v>
      </c>
      <c r="U3652" t="str">
        <f>LEFT(Table1[[#This Row],[Category and Sub-Category]],FIND("/",Table1[[#This Row],[Category and Sub-Category]])-1)</f>
        <v>theater</v>
      </c>
      <c r="V3652" t="str">
        <f>RIGHT(Table1[[#This Row],[Category and Sub-Category]],LEN(Table1[[#This Row],[Category and Sub-Category]])-FIND("/",Table1[[#This Row],[Category and Sub-Category]]))</f>
        <v>plays</v>
      </c>
    </row>
    <row r="3653" spans="1:22" ht="43.2" x14ac:dyDescent="0.3">
      <c r="A3653">
        <v>3651</v>
      </c>
      <c r="B3653" s="3" t="s">
        <v>3649</v>
      </c>
      <c r="C3653" s="3" t="s">
        <v>7761</v>
      </c>
      <c r="D3653" s="12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>((Table1[[#This Row],[deadline]]/60)/60/24)+DATE(1970,1,1)</f>
        <v>41861.665972222225</v>
      </c>
      <c r="K3653">
        <v>1404833442</v>
      </c>
      <c r="L3653" s="11">
        <f>((Table1[[#This Row],[launched_at]]/60)/60/24)+DATE(1970,1,1)</f>
        <v>41828.646319444444</v>
      </c>
      <c r="M3653">
        <f>MONTH(Table1[[#This Row],[Date Created Conversion]])</f>
        <v>7</v>
      </c>
      <c r="N3653">
        <f>YEAR(Table1[[#This Row],[Date Created Conversion]])</f>
        <v>2014</v>
      </c>
      <c r="O3653" t="b">
        <v>0</v>
      </c>
      <c r="P3653">
        <v>9</v>
      </c>
      <c r="Q3653" t="b">
        <v>1</v>
      </c>
      <c r="R3653" t="s">
        <v>8271</v>
      </c>
      <c r="S3653" s="6">
        <f>Table1[[#This Row],[pledged]]/Table1[[#This Row],[goal]]</f>
        <v>1.04</v>
      </c>
      <c r="T3653" s="8">
        <f>IF(Table1[[#This Row],[pledged]]=0,"no backers",Table1[[#This Row],[pledged]]/Table1[[#This Row],[backers_count]])</f>
        <v>57.777777777777779</v>
      </c>
      <c r="U3653" t="str">
        <f>LEFT(Table1[[#This Row],[Category and Sub-Category]],FIND("/",Table1[[#This Row],[Category and Sub-Category]])-1)</f>
        <v>theater</v>
      </c>
      <c r="V3653" t="str">
        <f>RIGHT(Table1[[#This Row],[Category and Sub-Category]],LEN(Table1[[#This Row],[Category and Sub-Category]])-FIND("/",Table1[[#This Row],[Category and Sub-Category]]))</f>
        <v>plays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 s="12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>((Table1[[#This Row],[deadline]]/60)/60/24)+DATE(1970,1,1)</f>
        <v>42607.165972222225</v>
      </c>
      <c r="K3654">
        <v>1471188502</v>
      </c>
      <c r="L3654" s="11">
        <f>((Table1[[#This Row],[launched_at]]/60)/60/24)+DATE(1970,1,1)</f>
        <v>42596.644699074073</v>
      </c>
      <c r="M3654">
        <f>MONTH(Table1[[#This Row],[Date Created Conversion]])</f>
        <v>8</v>
      </c>
      <c r="N3654">
        <f>YEAR(Table1[[#This Row],[Date Created Conversion]])</f>
        <v>2016</v>
      </c>
      <c r="O3654" t="b">
        <v>0</v>
      </c>
      <c r="P3654">
        <v>17</v>
      </c>
      <c r="Q3654" t="b">
        <v>1</v>
      </c>
      <c r="R3654" t="s">
        <v>8271</v>
      </c>
      <c r="S3654" s="6">
        <f>Table1[[#This Row],[pledged]]/Table1[[#This Row],[goal]]</f>
        <v>2.5066666666666668</v>
      </c>
      <c r="T3654" s="8">
        <f>IF(Table1[[#This Row],[pledged]]=0,"no backers",Table1[[#This Row],[pledged]]/Table1[[#This Row],[backers_count]])</f>
        <v>44.235294117647058</v>
      </c>
      <c r="U3654" t="str">
        <f>LEFT(Table1[[#This Row],[Category and Sub-Category]],FIND("/",Table1[[#This Row],[Category and Sub-Category]])-1)</f>
        <v>theater</v>
      </c>
      <c r="V3654" t="str">
        <f>RIGHT(Table1[[#This Row],[Category and Sub-Category]],LEN(Table1[[#This Row],[Category and Sub-Category]])-FIND("/",Table1[[#This Row],[Category and Sub-Category]]))</f>
        <v>plays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 s="12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>((Table1[[#This Row],[deadline]]/60)/60/24)+DATE(1970,1,1)</f>
        <v>42221.363506944443</v>
      </c>
      <c r="K3655">
        <v>1436172207</v>
      </c>
      <c r="L3655" s="11">
        <f>((Table1[[#This Row],[launched_at]]/60)/60/24)+DATE(1970,1,1)</f>
        <v>42191.363506944443</v>
      </c>
      <c r="M3655">
        <f>MONTH(Table1[[#This Row],[Date Created Conversion]])</f>
        <v>7</v>
      </c>
      <c r="N3655">
        <f>YEAR(Table1[[#This Row],[Date Created Conversion]])</f>
        <v>2015</v>
      </c>
      <c r="O3655" t="b">
        <v>0</v>
      </c>
      <c r="P3655">
        <v>33</v>
      </c>
      <c r="Q3655" t="b">
        <v>1</v>
      </c>
      <c r="R3655" t="s">
        <v>8271</v>
      </c>
      <c r="S3655" s="6">
        <f>Table1[[#This Row],[pledged]]/Table1[[#This Row],[goal]]</f>
        <v>1.0049999999999999</v>
      </c>
      <c r="T3655" s="8">
        <f>IF(Table1[[#This Row],[pledged]]=0,"no backers",Table1[[#This Row],[pledged]]/Table1[[#This Row],[backers_count]])</f>
        <v>60.909090909090907</v>
      </c>
      <c r="U3655" t="str">
        <f>LEFT(Table1[[#This Row],[Category and Sub-Category]],FIND("/",Table1[[#This Row],[Category and Sub-Category]])-1)</f>
        <v>theater</v>
      </c>
      <c r="V3655" t="str">
        <f>RIGHT(Table1[[#This Row],[Category and Sub-Category]],LEN(Table1[[#This Row],[Category and Sub-Category]])-FIND("/",Table1[[#This Row],[Category and Sub-Category]]))</f>
        <v>plays</v>
      </c>
    </row>
    <row r="3656" spans="1:22" ht="57.6" x14ac:dyDescent="0.3">
      <c r="A3656">
        <v>3654</v>
      </c>
      <c r="B3656" s="3" t="s">
        <v>3651</v>
      </c>
      <c r="C3656" s="3" t="s">
        <v>7764</v>
      </c>
      <c r="D3656" s="12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>((Table1[[#This Row],[deadline]]/60)/60/24)+DATE(1970,1,1)</f>
        <v>42463.708333333328</v>
      </c>
      <c r="K3656">
        <v>1457690386</v>
      </c>
      <c r="L3656" s="11">
        <f>((Table1[[#This Row],[launched_at]]/60)/60/24)+DATE(1970,1,1)</f>
        <v>42440.416504629626</v>
      </c>
      <c r="M3656">
        <f>MONTH(Table1[[#This Row],[Date Created Conversion]])</f>
        <v>3</v>
      </c>
      <c r="N3656">
        <f>YEAR(Table1[[#This Row],[Date Created Conversion]])</f>
        <v>2016</v>
      </c>
      <c r="O3656" t="b">
        <v>0</v>
      </c>
      <c r="P3656">
        <v>38</v>
      </c>
      <c r="Q3656" t="b">
        <v>1</v>
      </c>
      <c r="R3656" t="s">
        <v>8271</v>
      </c>
      <c r="S3656" s="6">
        <f>Table1[[#This Row],[pledged]]/Table1[[#This Row],[goal]]</f>
        <v>1.744</v>
      </c>
      <c r="T3656" s="8">
        <f>IF(Table1[[#This Row],[pledged]]=0,"no backers",Table1[[#This Row],[pledged]]/Table1[[#This Row],[backers_count]])</f>
        <v>68.84210526315789</v>
      </c>
      <c r="U3656" t="str">
        <f>LEFT(Table1[[#This Row],[Category and Sub-Category]],FIND("/",Table1[[#This Row],[Category and Sub-Category]])-1)</f>
        <v>theater</v>
      </c>
      <c r="V3656" t="str">
        <f>RIGHT(Table1[[#This Row],[Category and Sub-Category]],LEN(Table1[[#This Row],[Category and Sub-Category]])-FIND("/",Table1[[#This Row],[Category and Sub-Category]]))</f>
        <v>plays</v>
      </c>
    </row>
    <row r="3657" spans="1:22" ht="57.6" x14ac:dyDescent="0.3">
      <c r="A3657">
        <v>3655</v>
      </c>
      <c r="B3657" s="3" t="s">
        <v>3652</v>
      </c>
      <c r="C3657" s="3" t="s">
        <v>7765</v>
      </c>
      <c r="D3657" s="12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>((Table1[[#This Row],[deadline]]/60)/60/24)+DATE(1970,1,1)</f>
        <v>42203.290972222225</v>
      </c>
      <c r="K3657">
        <v>1434654998</v>
      </c>
      <c r="L3657" s="11">
        <f>((Table1[[#This Row],[launched_at]]/60)/60/24)+DATE(1970,1,1)</f>
        <v>42173.803217592591</v>
      </c>
      <c r="M3657">
        <f>MONTH(Table1[[#This Row],[Date Created Conversion]])</f>
        <v>6</v>
      </c>
      <c r="N3657">
        <f>YEAR(Table1[[#This Row],[Date Created Conversion]])</f>
        <v>2015</v>
      </c>
      <c r="O3657" t="b">
        <v>0</v>
      </c>
      <c r="P3657">
        <v>79</v>
      </c>
      <c r="Q3657" t="b">
        <v>1</v>
      </c>
      <c r="R3657" t="s">
        <v>8271</v>
      </c>
      <c r="S3657" s="6">
        <f>Table1[[#This Row],[pledged]]/Table1[[#This Row],[goal]]</f>
        <v>1.1626000000000001</v>
      </c>
      <c r="T3657" s="8">
        <f>IF(Table1[[#This Row],[pledged]]=0,"no backers",Table1[[#This Row],[pledged]]/Table1[[#This Row],[backers_count]])</f>
        <v>73.582278481012665</v>
      </c>
      <c r="U3657" t="str">
        <f>LEFT(Table1[[#This Row],[Category and Sub-Category]],FIND("/",Table1[[#This Row],[Category and Sub-Category]])-1)</f>
        <v>theater</v>
      </c>
      <c r="V3657" t="str">
        <f>RIGHT(Table1[[#This Row],[Category and Sub-Category]],LEN(Table1[[#This Row],[Category and Sub-Category]])-FIND("/",Table1[[#This Row],[Category and Sub-Category]]))</f>
        <v>plays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 s="12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>((Table1[[#This Row],[deadline]]/60)/60/24)+DATE(1970,1,1)</f>
        <v>42767.957638888889</v>
      </c>
      <c r="K3658">
        <v>1483393836</v>
      </c>
      <c r="L3658" s="11">
        <f>((Table1[[#This Row],[launched_at]]/60)/60/24)+DATE(1970,1,1)</f>
        <v>42737.910138888896</v>
      </c>
      <c r="M3658">
        <f>MONTH(Table1[[#This Row],[Date Created Conversion]])</f>
        <v>1</v>
      </c>
      <c r="N3658">
        <f>YEAR(Table1[[#This Row],[Date Created Conversion]])</f>
        <v>2017</v>
      </c>
      <c r="O3658" t="b">
        <v>0</v>
      </c>
      <c r="P3658">
        <v>46</v>
      </c>
      <c r="Q3658" t="b">
        <v>1</v>
      </c>
      <c r="R3658" t="s">
        <v>8271</v>
      </c>
      <c r="S3658" s="6">
        <f>Table1[[#This Row],[pledged]]/Table1[[#This Row],[goal]]</f>
        <v>1.0582</v>
      </c>
      <c r="T3658" s="8">
        <f>IF(Table1[[#This Row],[pledged]]=0,"no backers",Table1[[#This Row],[pledged]]/Table1[[#This Row],[backers_count]])</f>
        <v>115.02173913043478</v>
      </c>
      <c r="U3658" t="str">
        <f>LEFT(Table1[[#This Row],[Category and Sub-Category]],FIND("/",Table1[[#This Row],[Category and Sub-Category]])-1)</f>
        <v>theater</v>
      </c>
      <c r="V3658" t="str">
        <f>RIGHT(Table1[[#This Row],[Category and Sub-Category]],LEN(Table1[[#This Row],[Category and Sub-Category]])-FIND("/",Table1[[#This Row],[Category and Sub-Category]]))</f>
        <v>plays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 s="12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>((Table1[[#This Row],[deadline]]/60)/60/24)+DATE(1970,1,1)</f>
        <v>42522.904166666667</v>
      </c>
      <c r="K3659">
        <v>1462806419</v>
      </c>
      <c r="L3659" s="11">
        <f>((Table1[[#This Row],[launched_at]]/60)/60/24)+DATE(1970,1,1)</f>
        <v>42499.629849537043</v>
      </c>
      <c r="M3659">
        <f>MONTH(Table1[[#This Row],[Date Created Conversion]])</f>
        <v>5</v>
      </c>
      <c r="N3659">
        <f>YEAR(Table1[[#This Row],[Date Created Conversion]])</f>
        <v>2016</v>
      </c>
      <c r="O3659" t="b">
        <v>0</v>
      </c>
      <c r="P3659">
        <v>20</v>
      </c>
      <c r="Q3659" t="b">
        <v>1</v>
      </c>
      <c r="R3659" t="s">
        <v>8271</v>
      </c>
      <c r="S3659" s="6">
        <f>Table1[[#This Row],[pledged]]/Table1[[#This Row],[goal]]</f>
        <v>1.1074999999999999</v>
      </c>
      <c r="T3659" s="8">
        <f>IF(Table1[[#This Row],[pledged]]=0,"no backers",Table1[[#This Row],[pledged]]/Table1[[#This Row],[backers_count]])</f>
        <v>110.75</v>
      </c>
      <c r="U3659" t="str">
        <f>LEFT(Table1[[#This Row],[Category and Sub-Category]],FIND("/",Table1[[#This Row],[Category and Sub-Category]])-1)</f>
        <v>theater</v>
      </c>
      <c r="V3659" t="str">
        <f>RIGHT(Table1[[#This Row],[Category and Sub-Category]],LEN(Table1[[#This Row],[Category and Sub-Category]])-FIND("/",Table1[[#This Row],[Category and Sub-Category]]))</f>
        <v>plays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 s="12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>((Table1[[#This Row],[deadline]]/60)/60/24)+DATE(1970,1,1)</f>
        <v>41822.165972222225</v>
      </c>
      <c r="K3660">
        <v>1400272580</v>
      </c>
      <c r="L3660" s="11">
        <f>((Table1[[#This Row],[launched_at]]/60)/60/24)+DATE(1970,1,1)</f>
        <v>41775.858564814815</v>
      </c>
      <c r="M3660">
        <f>MONTH(Table1[[#This Row],[Date Created Conversion]])</f>
        <v>5</v>
      </c>
      <c r="N3660">
        <f>YEAR(Table1[[#This Row],[Date Created Conversion]])</f>
        <v>2014</v>
      </c>
      <c r="O3660" t="b">
        <v>0</v>
      </c>
      <c r="P3660">
        <v>20</v>
      </c>
      <c r="Q3660" t="b">
        <v>1</v>
      </c>
      <c r="R3660" t="s">
        <v>8271</v>
      </c>
      <c r="S3660" s="6">
        <f>Table1[[#This Row],[pledged]]/Table1[[#This Row],[goal]]</f>
        <v>1.0066666666666666</v>
      </c>
      <c r="T3660" s="8">
        <f>IF(Table1[[#This Row],[pledged]]=0,"no backers",Table1[[#This Row],[pledged]]/Table1[[#This Row],[backers_count]])</f>
        <v>75.5</v>
      </c>
      <c r="U3660" t="str">
        <f>LEFT(Table1[[#This Row],[Category and Sub-Category]],FIND("/",Table1[[#This Row],[Category and Sub-Category]])-1)</f>
        <v>theater</v>
      </c>
      <c r="V3660" t="str">
        <f>RIGHT(Table1[[#This Row],[Category and Sub-Category]],LEN(Table1[[#This Row],[Category and Sub-Category]])-FIND("/",Table1[[#This Row],[Category and Sub-Category]]))</f>
        <v>plays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 s="12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>((Table1[[#This Row],[deadline]]/60)/60/24)+DATE(1970,1,1)</f>
        <v>42082.610416666663</v>
      </c>
      <c r="K3661">
        <v>1424414350</v>
      </c>
      <c r="L3661" s="11">
        <f>((Table1[[#This Row],[launched_at]]/60)/60/24)+DATE(1970,1,1)</f>
        <v>42055.277199074073</v>
      </c>
      <c r="M3661">
        <f>MONTH(Table1[[#This Row],[Date Created Conversion]])</f>
        <v>2</v>
      </c>
      <c r="N3661">
        <f>YEAR(Table1[[#This Row],[Date Created Conversion]])</f>
        <v>2015</v>
      </c>
      <c r="O3661" t="b">
        <v>0</v>
      </c>
      <c r="P3661">
        <v>13</v>
      </c>
      <c r="Q3661" t="b">
        <v>1</v>
      </c>
      <c r="R3661" t="s">
        <v>8271</v>
      </c>
      <c r="S3661" s="6">
        <f>Table1[[#This Row],[pledged]]/Table1[[#This Row],[goal]]</f>
        <v>1.0203333333333333</v>
      </c>
      <c r="T3661" s="8">
        <f>IF(Table1[[#This Row],[pledged]]=0,"no backers",Table1[[#This Row],[pledged]]/Table1[[#This Row],[backers_count]])</f>
        <v>235.46153846153845</v>
      </c>
      <c r="U3661" t="str">
        <f>LEFT(Table1[[#This Row],[Category and Sub-Category]],FIND("/",Table1[[#This Row],[Category and Sub-Category]])-1)</f>
        <v>theater</v>
      </c>
      <c r="V3661" t="str">
        <f>RIGHT(Table1[[#This Row],[Category and Sub-Category]],LEN(Table1[[#This Row],[Category and Sub-Category]])-FIND("/",Table1[[#This Row],[Category and Sub-Category]]))</f>
        <v>plays</v>
      </c>
    </row>
    <row r="3662" spans="1:22" ht="57.6" x14ac:dyDescent="0.3">
      <c r="A3662">
        <v>3660</v>
      </c>
      <c r="B3662" s="3" t="s">
        <v>3657</v>
      </c>
      <c r="C3662" s="3" t="s">
        <v>7770</v>
      </c>
      <c r="D3662" s="1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>((Table1[[#This Row],[deadline]]/60)/60/24)+DATE(1970,1,1)</f>
        <v>41996.881076388891</v>
      </c>
      <c r="K3662">
        <v>1417208925</v>
      </c>
      <c r="L3662" s="11">
        <f>((Table1[[#This Row],[launched_at]]/60)/60/24)+DATE(1970,1,1)</f>
        <v>41971.881076388891</v>
      </c>
      <c r="M3662">
        <f>MONTH(Table1[[#This Row],[Date Created Conversion]])</f>
        <v>11</v>
      </c>
      <c r="N3662">
        <f>YEAR(Table1[[#This Row],[Date Created Conversion]])</f>
        <v>2014</v>
      </c>
      <c r="O3662" t="b">
        <v>0</v>
      </c>
      <c r="P3662">
        <v>22</v>
      </c>
      <c r="Q3662" t="b">
        <v>1</v>
      </c>
      <c r="R3662" t="s">
        <v>8271</v>
      </c>
      <c r="S3662" s="6">
        <f>Table1[[#This Row],[pledged]]/Table1[[#This Row],[goal]]</f>
        <v>1</v>
      </c>
      <c r="T3662" s="8">
        <f>IF(Table1[[#This Row],[pledged]]=0,"no backers",Table1[[#This Row],[pledged]]/Table1[[#This Row],[backers_count]])</f>
        <v>11.363636363636363</v>
      </c>
      <c r="U3662" t="str">
        <f>LEFT(Table1[[#This Row],[Category and Sub-Category]],FIND("/",Table1[[#This Row],[Category and Sub-Category]])-1)</f>
        <v>theater</v>
      </c>
      <c r="V3662" t="str">
        <f>RIGHT(Table1[[#This Row],[Category and Sub-Category]],LEN(Table1[[#This Row],[Category and Sub-Category]])-FIND("/",Table1[[#This Row],[Category and Sub-Category]]))</f>
        <v>plays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 s="12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>((Table1[[#This Row],[deadline]]/60)/60/24)+DATE(1970,1,1)</f>
        <v>42470.166666666672</v>
      </c>
      <c r="K3663">
        <v>1458336672</v>
      </c>
      <c r="L3663" s="11">
        <f>((Table1[[#This Row],[launched_at]]/60)/60/24)+DATE(1970,1,1)</f>
        <v>42447.896666666667</v>
      </c>
      <c r="M3663">
        <f>MONTH(Table1[[#This Row],[Date Created Conversion]])</f>
        <v>3</v>
      </c>
      <c r="N3663">
        <f>YEAR(Table1[[#This Row],[Date Created Conversion]])</f>
        <v>2016</v>
      </c>
      <c r="O3663" t="b">
        <v>0</v>
      </c>
      <c r="P3663">
        <v>36</v>
      </c>
      <c r="Q3663" t="b">
        <v>1</v>
      </c>
      <c r="R3663" t="s">
        <v>8271</v>
      </c>
      <c r="S3663" s="6">
        <f>Table1[[#This Row],[pledged]]/Table1[[#This Row],[goal]]</f>
        <v>1.1100000000000001</v>
      </c>
      <c r="T3663" s="8">
        <f>IF(Table1[[#This Row],[pledged]]=0,"no backers",Table1[[#This Row],[pledged]]/Table1[[#This Row],[backers_count]])</f>
        <v>92.5</v>
      </c>
      <c r="U3663" t="str">
        <f>LEFT(Table1[[#This Row],[Category and Sub-Category]],FIND("/",Table1[[#This Row],[Category and Sub-Category]])-1)</f>
        <v>theater</v>
      </c>
      <c r="V3663" t="str">
        <f>RIGHT(Table1[[#This Row],[Category and Sub-Category]],LEN(Table1[[#This Row],[Category and Sub-Category]])-FIND("/",Table1[[#This Row],[Category and Sub-Category]]))</f>
        <v>plays</v>
      </c>
    </row>
    <row r="3664" spans="1:22" ht="57.6" x14ac:dyDescent="0.3">
      <c r="A3664">
        <v>3662</v>
      </c>
      <c r="B3664" s="3" t="s">
        <v>3659</v>
      </c>
      <c r="C3664" s="3" t="s">
        <v>7772</v>
      </c>
      <c r="D3664" s="12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>((Table1[[#This Row],[deadline]]/60)/60/24)+DATE(1970,1,1)</f>
        <v>42094.178402777776</v>
      </c>
      <c r="K3664">
        <v>1425187014</v>
      </c>
      <c r="L3664" s="11">
        <f>((Table1[[#This Row],[launched_at]]/60)/60/24)+DATE(1970,1,1)</f>
        <v>42064.220069444447</v>
      </c>
      <c r="M3664">
        <f>MONTH(Table1[[#This Row],[Date Created Conversion]])</f>
        <v>3</v>
      </c>
      <c r="N3664">
        <f>YEAR(Table1[[#This Row],[Date Created Conversion]])</f>
        <v>2015</v>
      </c>
      <c r="O3664" t="b">
        <v>0</v>
      </c>
      <c r="P3664">
        <v>40</v>
      </c>
      <c r="Q3664" t="b">
        <v>1</v>
      </c>
      <c r="R3664" t="s">
        <v>8271</v>
      </c>
      <c r="S3664" s="6">
        <f>Table1[[#This Row],[pledged]]/Table1[[#This Row],[goal]]</f>
        <v>1.0142500000000001</v>
      </c>
      <c r="T3664" s="8">
        <f>IF(Table1[[#This Row],[pledged]]=0,"no backers",Table1[[#This Row],[pledged]]/Table1[[#This Row],[backers_count]])</f>
        <v>202.85</v>
      </c>
      <c r="U3664" t="str">
        <f>LEFT(Table1[[#This Row],[Category and Sub-Category]],FIND("/",Table1[[#This Row],[Category and Sub-Category]])-1)</f>
        <v>theater</v>
      </c>
      <c r="V3664" t="str">
        <f>RIGHT(Table1[[#This Row],[Category and Sub-Category]],LEN(Table1[[#This Row],[Category and Sub-Category]])-FIND("/",Table1[[#This Row],[Category and Sub-Category]]))</f>
        <v>plays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 s="12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>((Table1[[#This Row],[deadline]]/60)/60/24)+DATE(1970,1,1)</f>
        <v>42725.493402777778</v>
      </c>
      <c r="K3665">
        <v>1477133430</v>
      </c>
      <c r="L3665" s="11">
        <f>((Table1[[#This Row],[launched_at]]/60)/60/24)+DATE(1970,1,1)</f>
        <v>42665.451736111107</v>
      </c>
      <c r="M3665">
        <f>MONTH(Table1[[#This Row],[Date Created Conversion]])</f>
        <v>10</v>
      </c>
      <c r="N3665">
        <f>YEAR(Table1[[#This Row],[Date Created Conversion]])</f>
        <v>2016</v>
      </c>
      <c r="O3665" t="b">
        <v>0</v>
      </c>
      <c r="P3665">
        <v>9</v>
      </c>
      <c r="Q3665" t="b">
        <v>1</v>
      </c>
      <c r="R3665" t="s">
        <v>8271</v>
      </c>
      <c r="S3665" s="6">
        <f>Table1[[#This Row],[pledged]]/Table1[[#This Row],[goal]]</f>
        <v>1.04</v>
      </c>
      <c r="T3665" s="8">
        <f>IF(Table1[[#This Row],[pledged]]=0,"no backers",Table1[[#This Row],[pledged]]/Table1[[#This Row],[backers_count]])</f>
        <v>26</v>
      </c>
      <c r="U3665" t="str">
        <f>LEFT(Table1[[#This Row],[Category and Sub-Category]],FIND("/",Table1[[#This Row],[Category and Sub-Category]])-1)</f>
        <v>theater</v>
      </c>
      <c r="V3665" t="str">
        <f>RIGHT(Table1[[#This Row],[Category and Sub-Category]],LEN(Table1[[#This Row],[Category and Sub-Category]])-FIND("/",Table1[[#This Row],[Category and Sub-Category]]))</f>
        <v>plays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 s="12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>((Table1[[#This Row],[deadline]]/60)/60/24)+DATE(1970,1,1)</f>
        <v>42537.248715277776</v>
      </c>
      <c r="K3666">
        <v>1464847089</v>
      </c>
      <c r="L3666" s="11">
        <f>((Table1[[#This Row],[launched_at]]/60)/60/24)+DATE(1970,1,1)</f>
        <v>42523.248715277776</v>
      </c>
      <c r="M3666">
        <f>MONTH(Table1[[#This Row],[Date Created Conversion]])</f>
        <v>6</v>
      </c>
      <c r="N3666">
        <f>YEAR(Table1[[#This Row],[Date Created Conversion]])</f>
        <v>2016</v>
      </c>
      <c r="O3666" t="b">
        <v>0</v>
      </c>
      <c r="P3666">
        <v>19</v>
      </c>
      <c r="Q3666" t="b">
        <v>1</v>
      </c>
      <c r="R3666" t="s">
        <v>8271</v>
      </c>
      <c r="S3666" s="6">
        <f>Table1[[#This Row],[pledged]]/Table1[[#This Row],[goal]]</f>
        <v>1.09375</v>
      </c>
      <c r="T3666" s="8">
        <f>IF(Table1[[#This Row],[pledged]]=0,"no backers",Table1[[#This Row],[pledged]]/Table1[[#This Row],[backers_count]])</f>
        <v>46.05263157894737</v>
      </c>
      <c r="U3666" t="str">
        <f>LEFT(Table1[[#This Row],[Category and Sub-Category]],FIND("/",Table1[[#This Row],[Category and Sub-Category]])-1)</f>
        <v>theater</v>
      </c>
      <c r="V3666" t="str">
        <f>RIGHT(Table1[[#This Row],[Category and Sub-Category]],LEN(Table1[[#This Row],[Category and Sub-Category]])-FIND("/",Table1[[#This Row],[Category and Sub-Category]]))</f>
        <v>plays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 s="12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>((Table1[[#This Row],[deadline]]/60)/60/24)+DATE(1970,1,1)</f>
        <v>42305.829166666663</v>
      </c>
      <c r="K3667">
        <v>1445109822</v>
      </c>
      <c r="L3667" s="11">
        <f>((Table1[[#This Row],[launched_at]]/60)/60/24)+DATE(1970,1,1)</f>
        <v>42294.808124999996</v>
      </c>
      <c r="M3667">
        <f>MONTH(Table1[[#This Row],[Date Created Conversion]])</f>
        <v>10</v>
      </c>
      <c r="N3667">
        <f>YEAR(Table1[[#This Row],[Date Created Conversion]])</f>
        <v>2015</v>
      </c>
      <c r="O3667" t="b">
        <v>0</v>
      </c>
      <c r="P3667">
        <v>14</v>
      </c>
      <c r="Q3667" t="b">
        <v>1</v>
      </c>
      <c r="R3667" t="s">
        <v>8271</v>
      </c>
      <c r="S3667" s="6">
        <f>Table1[[#This Row],[pledged]]/Table1[[#This Row],[goal]]</f>
        <v>1.1516129032258065</v>
      </c>
      <c r="T3667" s="8">
        <f>IF(Table1[[#This Row],[pledged]]=0,"no backers",Table1[[#This Row],[pledged]]/Table1[[#This Row],[backers_count]])</f>
        <v>51</v>
      </c>
      <c r="U3667" t="str">
        <f>LEFT(Table1[[#This Row],[Category and Sub-Category]],FIND("/",Table1[[#This Row],[Category and Sub-Category]])-1)</f>
        <v>theater</v>
      </c>
      <c r="V3667" t="str">
        <f>RIGHT(Table1[[#This Row],[Category and Sub-Category]],LEN(Table1[[#This Row],[Category and Sub-Category]])-FIND("/",Table1[[#This Row],[Category and Sub-Category]]))</f>
        <v>plays</v>
      </c>
    </row>
    <row r="3668" spans="1:22" ht="28.8" x14ac:dyDescent="0.3">
      <c r="A3668">
        <v>3666</v>
      </c>
      <c r="B3668" s="3" t="s">
        <v>3663</v>
      </c>
      <c r="C3668" s="3" t="s">
        <v>7776</v>
      </c>
      <c r="D3668" s="12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>((Table1[[#This Row],[deadline]]/60)/60/24)+DATE(1970,1,1)</f>
        <v>41844.291666666664</v>
      </c>
      <c r="K3668">
        <v>1404337382</v>
      </c>
      <c r="L3668" s="11">
        <f>((Table1[[#This Row],[launched_at]]/60)/60/24)+DATE(1970,1,1)</f>
        <v>41822.90488425926</v>
      </c>
      <c r="M3668">
        <f>MONTH(Table1[[#This Row],[Date Created Conversion]])</f>
        <v>7</v>
      </c>
      <c r="N3668">
        <f>YEAR(Table1[[#This Row],[Date Created Conversion]])</f>
        <v>2014</v>
      </c>
      <c r="O3668" t="b">
        <v>0</v>
      </c>
      <c r="P3668">
        <v>38</v>
      </c>
      <c r="Q3668" t="b">
        <v>1</v>
      </c>
      <c r="R3668" t="s">
        <v>8271</v>
      </c>
      <c r="S3668" s="6">
        <f>Table1[[#This Row],[pledged]]/Table1[[#This Row],[goal]]</f>
        <v>1</v>
      </c>
      <c r="T3668" s="8">
        <f>IF(Table1[[#This Row],[pledged]]=0,"no backers",Table1[[#This Row],[pledged]]/Table1[[#This Row],[backers_count]])</f>
        <v>31.578947368421051</v>
      </c>
      <c r="U3668" t="str">
        <f>LEFT(Table1[[#This Row],[Category and Sub-Category]],FIND("/",Table1[[#This Row],[Category and Sub-Category]])-1)</f>
        <v>theater</v>
      </c>
      <c r="V3668" t="str">
        <f>RIGHT(Table1[[#This Row],[Category and Sub-Category]],LEN(Table1[[#This Row],[Category and Sub-Category]])-FIND("/",Table1[[#This Row],[Category and Sub-Category]]))</f>
        <v>plays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 s="12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>((Table1[[#This Row],[deadline]]/60)/60/24)+DATE(1970,1,1)</f>
        <v>42203.970127314817</v>
      </c>
      <c r="K3669">
        <v>1434669419</v>
      </c>
      <c r="L3669" s="11">
        <f>((Table1[[#This Row],[launched_at]]/60)/60/24)+DATE(1970,1,1)</f>
        <v>42173.970127314817</v>
      </c>
      <c r="M3669">
        <f>MONTH(Table1[[#This Row],[Date Created Conversion]])</f>
        <v>6</v>
      </c>
      <c r="N3669">
        <f>YEAR(Table1[[#This Row],[Date Created Conversion]])</f>
        <v>2015</v>
      </c>
      <c r="O3669" t="b">
        <v>0</v>
      </c>
      <c r="P3669">
        <v>58</v>
      </c>
      <c r="Q3669" t="b">
        <v>1</v>
      </c>
      <c r="R3669" t="s">
        <v>8271</v>
      </c>
      <c r="S3669" s="6">
        <f>Table1[[#This Row],[pledged]]/Table1[[#This Row],[goal]]</f>
        <v>1.0317033333333334</v>
      </c>
      <c r="T3669" s="8">
        <f>IF(Table1[[#This Row],[pledged]]=0,"no backers",Table1[[#This Row],[pledged]]/Table1[[#This Row],[backers_count]])</f>
        <v>53.363965517241382</v>
      </c>
      <c r="U3669" t="str">
        <f>LEFT(Table1[[#This Row],[Category and Sub-Category]],FIND("/",Table1[[#This Row],[Category and Sub-Category]])-1)</f>
        <v>theater</v>
      </c>
      <c r="V3669" t="str">
        <f>RIGHT(Table1[[#This Row],[Category and Sub-Category]],LEN(Table1[[#This Row],[Category and Sub-Category]])-FIND("/",Table1[[#This Row],[Category and Sub-Category]]))</f>
        <v>plays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 s="12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>((Table1[[#This Row],[deadline]]/60)/60/24)+DATE(1970,1,1)</f>
        <v>42208.772916666669</v>
      </c>
      <c r="K3670">
        <v>1435670452</v>
      </c>
      <c r="L3670" s="11">
        <f>((Table1[[#This Row],[launched_at]]/60)/60/24)+DATE(1970,1,1)</f>
        <v>42185.556157407409</v>
      </c>
      <c r="M3670">
        <f>MONTH(Table1[[#This Row],[Date Created Conversion]])</f>
        <v>6</v>
      </c>
      <c r="N3670">
        <f>YEAR(Table1[[#This Row],[Date Created Conversion]])</f>
        <v>2015</v>
      </c>
      <c r="O3670" t="b">
        <v>0</v>
      </c>
      <c r="P3670">
        <v>28</v>
      </c>
      <c r="Q3670" t="b">
        <v>1</v>
      </c>
      <c r="R3670" t="s">
        <v>8271</v>
      </c>
      <c r="S3670" s="6">
        <f>Table1[[#This Row],[pledged]]/Table1[[#This Row],[goal]]</f>
        <v>1.0349999999999999</v>
      </c>
      <c r="T3670" s="8">
        <f>IF(Table1[[#This Row],[pledged]]=0,"no backers",Table1[[#This Row],[pledged]]/Table1[[#This Row],[backers_count]])</f>
        <v>36.964285714285715</v>
      </c>
      <c r="U3670" t="str">
        <f>LEFT(Table1[[#This Row],[Category and Sub-Category]],FIND("/",Table1[[#This Row],[Category and Sub-Category]])-1)</f>
        <v>theater</v>
      </c>
      <c r="V3670" t="str">
        <f>RIGHT(Table1[[#This Row],[Category and Sub-Category]],LEN(Table1[[#This Row],[Category and Sub-Category]])-FIND("/",Table1[[#This Row],[Category and Sub-Category]]))</f>
        <v>plays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 s="12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>((Table1[[#This Row],[deadline]]/60)/60/24)+DATE(1970,1,1)</f>
        <v>42166.675196759257</v>
      </c>
      <c r="K3671">
        <v>1431447137</v>
      </c>
      <c r="L3671" s="11">
        <f>((Table1[[#This Row],[launched_at]]/60)/60/24)+DATE(1970,1,1)</f>
        <v>42136.675196759257</v>
      </c>
      <c r="M3671">
        <f>MONTH(Table1[[#This Row],[Date Created Conversion]])</f>
        <v>5</v>
      </c>
      <c r="N3671">
        <f>YEAR(Table1[[#This Row],[Date Created Conversion]])</f>
        <v>2015</v>
      </c>
      <c r="O3671" t="b">
        <v>0</v>
      </c>
      <c r="P3671">
        <v>17</v>
      </c>
      <c r="Q3671" t="b">
        <v>1</v>
      </c>
      <c r="R3671" t="s">
        <v>8271</v>
      </c>
      <c r="S3671" s="6">
        <f>Table1[[#This Row],[pledged]]/Table1[[#This Row],[goal]]</f>
        <v>1.3819999999999999</v>
      </c>
      <c r="T3671" s="8">
        <f>IF(Table1[[#This Row],[pledged]]=0,"no backers",Table1[[#This Row],[pledged]]/Table1[[#This Row],[backers_count]])</f>
        <v>81.294117647058826</v>
      </c>
      <c r="U3671" t="str">
        <f>LEFT(Table1[[#This Row],[Category and Sub-Category]],FIND("/",Table1[[#This Row],[Category and Sub-Category]])-1)</f>
        <v>theater</v>
      </c>
      <c r="V3671" t="str">
        <f>RIGHT(Table1[[#This Row],[Category and Sub-Category]],LEN(Table1[[#This Row],[Category and Sub-Category]])-FIND("/",Table1[[#This Row],[Category and Sub-Category]]))</f>
        <v>plays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 s="1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>((Table1[[#This Row],[deadline]]/60)/60/24)+DATE(1970,1,1)</f>
        <v>42155.958333333328</v>
      </c>
      <c r="K3672">
        <v>1431951611</v>
      </c>
      <c r="L3672" s="11">
        <f>((Table1[[#This Row],[launched_at]]/60)/60/24)+DATE(1970,1,1)</f>
        <v>42142.514016203699</v>
      </c>
      <c r="M3672">
        <f>MONTH(Table1[[#This Row],[Date Created Conversion]])</f>
        <v>5</v>
      </c>
      <c r="N3672">
        <f>YEAR(Table1[[#This Row],[Date Created Conversion]])</f>
        <v>2015</v>
      </c>
      <c r="O3672" t="b">
        <v>0</v>
      </c>
      <c r="P3672">
        <v>12</v>
      </c>
      <c r="Q3672" t="b">
        <v>1</v>
      </c>
      <c r="R3672" t="s">
        <v>8271</v>
      </c>
      <c r="S3672" s="6">
        <f>Table1[[#This Row],[pledged]]/Table1[[#This Row],[goal]]</f>
        <v>1.0954545454545455</v>
      </c>
      <c r="T3672" s="8">
        <f>IF(Table1[[#This Row],[pledged]]=0,"no backers",Table1[[#This Row],[pledged]]/Table1[[#This Row],[backers_count]])</f>
        <v>20.083333333333332</v>
      </c>
      <c r="U3672" t="str">
        <f>LEFT(Table1[[#This Row],[Category and Sub-Category]],FIND("/",Table1[[#This Row],[Category and Sub-Category]])-1)</f>
        <v>theater</v>
      </c>
      <c r="V3672" t="str">
        <f>RIGHT(Table1[[#This Row],[Category and Sub-Category]],LEN(Table1[[#This Row],[Category and Sub-Category]])-FIND("/",Table1[[#This Row],[Category and Sub-Category]]))</f>
        <v>plays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 s="12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>((Table1[[#This Row],[deadline]]/60)/60/24)+DATE(1970,1,1)</f>
        <v>41841.165972222225</v>
      </c>
      <c r="K3673">
        <v>1404140667</v>
      </c>
      <c r="L3673" s="11">
        <f>((Table1[[#This Row],[launched_at]]/60)/60/24)+DATE(1970,1,1)</f>
        <v>41820.62809027778</v>
      </c>
      <c r="M3673">
        <f>MONTH(Table1[[#This Row],[Date Created Conversion]])</f>
        <v>6</v>
      </c>
      <c r="N3673">
        <f>YEAR(Table1[[#This Row],[Date Created Conversion]])</f>
        <v>2014</v>
      </c>
      <c r="O3673" t="b">
        <v>0</v>
      </c>
      <c r="P3673">
        <v>40</v>
      </c>
      <c r="Q3673" t="b">
        <v>1</v>
      </c>
      <c r="R3673" t="s">
        <v>8271</v>
      </c>
      <c r="S3673" s="6">
        <f>Table1[[#This Row],[pledged]]/Table1[[#This Row],[goal]]</f>
        <v>1.0085714285714287</v>
      </c>
      <c r="T3673" s="8">
        <f>IF(Table1[[#This Row],[pledged]]=0,"no backers",Table1[[#This Row],[pledged]]/Table1[[#This Row],[backers_count]])</f>
        <v>88.25</v>
      </c>
      <c r="U3673" t="str">
        <f>LEFT(Table1[[#This Row],[Category and Sub-Category]],FIND("/",Table1[[#This Row],[Category and Sub-Category]])-1)</f>
        <v>theater</v>
      </c>
      <c r="V3673" t="str">
        <f>RIGHT(Table1[[#This Row],[Category and Sub-Category]],LEN(Table1[[#This Row],[Category and Sub-Category]])-FIND("/",Table1[[#This Row],[Category and Sub-Category]]))</f>
        <v>plays</v>
      </c>
    </row>
    <row r="3674" spans="1:22" ht="57.6" x14ac:dyDescent="0.3">
      <c r="A3674">
        <v>3672</v>
      </c>
      <c r="B3674" s="3" t="s">
        <v>3669</v>
      </c>
      <c r="C3674" s="3" t="s">
        <v>7782</v>
      </c>
      <c r="D3674" s="12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>((Table1[[#This Row],[deadline]]/60)/60/24)+DATE(1970,1,1)</f>
        <v>41908.946574074071</v>
      </c>
      <c r="K3674">
        <v>1409179384</v>
      </c>
      <c r="L3674" s="11">
        <f>((Table1[[#This Row],[launched_at]]/60)/60/24)+DATE(1970,1,1)</f>
        <v>41878.946574074071</v>
      </c>
      <c r="M3674">
        <f>MONTH(Table1[[#This Row],[Date Created Conversion]])</f>
        <v>8</v>
      </c>
      <c r="N3674">
        <f>YEAR(Table1[[#This Row],[Date Created Conversion]])</f>
        <v>2014</v>
      </c>
      <c r="O3674" t="b">
        <v>0</v>
      </c>
      <c r="P3674">
        <v>57</v>
      </c>
      <c r="Q3674" t="b">
        <v>1</v>
      </c>
      <c r="R3674" t="s">
        <v>8271</v>
      </c>
      <c r="S3674" s="6">
        <f>Table1[[#This Row],[pledged]]/Table1[[#This Row],[goal]]</f>
        <v>1.0153333333333334</v>
      </c>
      <c r="T3674" s="8">
        <f>IF(Table1[[#This Row],[pledged]]=0,"no backers",Table1[[#This Row],[pledged]]/Table1[[#This Row],[backers_count]])</f>
        <v>53.438596491228068</v>
      </c>
      <c r="U3674" t="str">
        <f>LEFT(Table1[[#This Row],[Category and Sub-Category]],FIND("/",Table1[[#This Row],[Category and Sub-Category]])-1)</f>
        <v>theater</v>
      </c>
      <c r="V3674" t="str">
        <f>RIGHT(Table1[[#This Row],[Category and Sub-Category]],LEN(Table1[[#This Row],[Category and Sub-Category]])-FIND("/",Table1[[#This Row],[Category and Sub-Category]]))</f>
        <v>plays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 s="12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>((Table1[[#This Row],[deadline]]/60)/60/24)+DATE(1970,1,1)</f>
        <v>41948.536111111112</v>
      </c>
      <c r="K3675">
        <v>1412233497</v>
      </c>
      <c r="L3675" s="11">
        <f>((Table1[[#This Row],[launched_at]]/60)/60/24)+DATE(1970,1,1)</f>
        <v>41914.295104166667</v>
      </c>
      <c r="M3675">
        <f>MONTH(Table1[[#This Row],[Date Created Conversion]])</f>
        <v>10</v>
      </c>
      <c r="N3675">
        <f>YEAR(Table1[[#This Row],[Date Created Conversion]])</f>
        <v>2014</v>
      </c>
      <c r="O3675" t="b">
        <v>0</v>
      </c>
      <c r="P3675">
        <v>114</v>
      </c>
      <c r="Q3675" t="b">
        <v>1</v>
      </c>
      <c r="R3675" t="s">
        <v>8271</v>
      </c>
      <c r="S3675" s="6">
        <f>Table1[[#This Row],[pledged]]/Table1[[#This Row],[goal]]</f>
        <v>1.13625</v>
      </c>
      <c r="T3675" s="8">
        <f>IF(Table1[[#This Row],[pledged]]=0,"no backers",Table1[[#This Row],[pledged]]/Table1[[#This Row],[backers_count]])</f>
        <v>39.868421052631582</v>
      </c>
      <c r="U3675" t="str">
        <f>LEFT(Table1[[#This Row],[Category and Sub-Category]],FIND("/",Table1[[#This Row],[Category and Sub-Category]])-1)</f>
        <v>theater</v>
      </c>
      <c r="V3675" t="str">
        <f>RIGHT(Table1[[#This Row],[Category and Sub-Category]],LEN(Table1[[#This Row],[Category and Sub-Category]])-FIND("/",Table1[[#This Row],[Category and Sub-Category]]))</f>
        <v>plays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 s="12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>((Table1[[#This Row],[deadline]]/60)/60/24)+DATE(1970,1,1)</f>
        <v>42616.873020833329</v>
      </c>
      <c r="K3676">
        <v>1467752229</v>
      </c>
      <c r="L3676" s="11">
        <f>((Table1[[#This Row],[launched_at]]/60)/60/24)+DATE(1970,1,1)</f>
        <v>42556.873020833329</v>
      </c>
      <c r="M3676">
        <f>MONTH(Table1[[#This Row],[Date Created Conversion]])</f>
        <v>7</v>
      </c>
      <c r="N3676">
        <f>YEAR(Table1[[#This Row],[Date Created Conversion]])</f>
        <v>2016</v>
      </c>
      <c r="O3676" t="b">
        <v>0</v>
      </c>
      <c r="P3676">
        <v>31</v>
      </c>
      <c r="Q3676" t="b">
        <v>1</v>
      </c>
      <c r="R3676" t="s">
        <v>8271</v>
      </c>
      <c r="S3676" s="6">
        <f>Table1[[#This Row],[pledged]]/Table1[[#This Row],[goal]]</f>
        <v>1</v>
      </c>
      <c r="T3676" s="8">
        <f>IF(Table1[[#This Row],[pledged]]=0,"no backers",Table1[[#This Row],[pledged]]/Table1[[#This Row],[backers_count]])</f>
        <v>145.16129032258064</v>
      </c>
      <c r="U3676" t="str">
        <f>LEFT(Table1[[#This Row],[Category and Sub-Category]],FIND("/",Table1[[#This Row],[Category and Sub-Category]])-1)</f>
        <v>theater</v>
      </c>
      <c r="V3676" t="str">
        <f>RIGHT(Table1[[#This Row],[Category and Sub-Category]],LEN(Table1[[#This Row],[Category and Sub-Category]])-FIND("/",Table1[[#This Row],[Category and Sub-Category]]))</f>
        <v>plays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 s="12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>((Table1[[#This Row],[deadline]]/60)/60/24)+DATE(1970,1,1)</f>
        <v>42505.958333333328</v>
      </c>
      <c r="K3677">
        <v>1462285182</v>
      </c>
      <c r="L3677" s="11">
        <f>((Table1[[#This Row],[launched_at]]/60)/60/24)+DATE(1970,1,1)</f>
        <v>42493.597013888888</v>
      </c>
      <c r="M3677">
        <f>MONTH(Table1[[#This Row],[Date Created Conversion]])</f>
        <v>5</v>
      </c>
      <c r="N3677">
        <f>YEAR(Table1[[#This Row],[Date Created Conversion]])</f>
        <v>2016</v>
      </c>
      <c r="O3677" t="b">
        <v>0</v>
      </c>
      <c r="P3677">
        <v>3</v>
      </c>
      <c r="Q3677" t="b">
        <v>1</v>
      </c>
      <c r="R3677" t="s">
        <v>8271</v>
      </c>
      <c r="S3677" s="6">
        <f>Table1[[#This Row],[pledged]]/Table1[[#This Row],[goal]]</f>
        <v>1.4</v>
      </c>
      <c r="T3677" s="8">
        <f>IF(Table1[[#This Row],[pledged]]=0,"no backers",Table1[[#This Row],[pledged]]/Table1[[#This Row],[backers_count]])</f>
        <v>23.333333333333332</v>
      </c>
      <c r="U3677" t="str">
        <f>LEFT(Table1[[#This Row],[Category and Sub-Category]],FIND("/",Table1[[#This Row],[Category and Sub-Category]])-1)</f>
        <v>theater</v>
      </c>
      <c r="V3677" t="str">
        <f>RIGHT(Table1[[#This Row],[Category and Sub-Category]],LEN(Table1[[#This Row],[Category and Sub-Category]])-FIND("/",Table1[[#This Row],[Category and Sub-Category]]))</f>
        <v>plays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 s="12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>((Table1[[#This Row],[deadline]]/60)/60/24)+DATE(1970,1,1)</f>
        <v>41894.815787037034</v>
      </c>
      <c r="K3678">
        <v>1408995284</v>
      </c>
      <c r="L3678" s="11">
        <f>((Table1[[#This Row],[launched_at]]/60)/60/24)+DATE(1970,1,1)</f>
        <v>41876.815787037034</v>
      </c>
      <c r="M3678">
        <f>MONTH(Table1[[#This Row],[Date Created Conversion]])</f>
        <v>8</v>
      </c>
      <c r="N3678">
        <f>YEAR(Table1[[#This Row],[Date Created Conversion]])</f>
        <v>2014</v>
      </c>
      <c r="O3678" t="b">
        <v>0</v>
      </c>
      <c r="P3678">
        <v>16</v>
      </c>
      <c r="Q3678" t="b">
        <v>1</v>
      </c>
      <c r="R3678" t="s">
        <v>8271</v>
      </c>
      <c r="S3678" s="6">
        <f>Table1[[#This Row],[pledged]]/Table1[[#This Row],[goal]]</f>
        <v>1.2875000000000001</v>
      </c>
      <c r="T3678" s="8">
        <f>IF(Table1[[#This Row],[pledged]]=0,"no backers",Table1[[#This Row],[pledged]]/Table1[[#This Row],[backers_count]])</f>
        <v>64.375</v>
      </c>
      <c r="U3678" t="str">
        <f>LEFT(Table1[[#This Row],[Category and Sub-Category]],FIND("/",Table1[[#This Row],[Category and Sub-Category]])-1)</f>
        <v>theater</v>
      </c>
      <c r="V3678" t="str">
        <f>RIGHT(Table1[[#This Row],[Category and Sub-Category]],LEN(Table1[[#This Row],[Category and Sub-Category]])-FIND("/",Table1[[#This Row],[Category and Sub-Category]]))</f>
        <v>plays</v>
      </c>
    </row>
    <row r="3679" spans="1:22" ht="43.2" x14ac:dyDescent="0.3">
      <c r="A3679">
        <v>3677</v>
      </c>
      <c r="B3679" s="3" t="s">
        <v>3674</v>
      </c>
      <c r="C3679" s="3" t="s">
        <v>7787</v>
      </c>
      <c r="D3679" s="12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>((Table1[[#This Row],[deadline]]/60)/60/24)+DATE(1970,1,1)</f>
        <v>41823.165972222225</v>
      </c>
      <c r="K3679">
        <v>1402580818</v>
      </c>
      <c r="L3679" s="11">
        <f>((Table1[[#This Row],[launched_at]]/60)/60/24)+DATE(1970,1,1)</f>
        <v>41802.574282407404</v>
      </c>
      <c r="M3679">
        <f>MONTH(Table1[[#This Row],[Date Created Conversion]])</f>
        <v>6</v>
      </c>
      <c r="N3679">
        <f>YEAR(Table1[[#This Row],[Date Created Conversion]])</f>
        <v>2014</v>
      </c>
      <c r="O3679" t="b">
        <v>0</v>
      </c>
      <c r="P3679">
        <v>199</v>
      </c>
      <c r="Q3679" t="b">
        <v>1</v>
      </c>
      <c r="R3679" t="s">
        <v>8271</v>
      </c>
      <c r="S3679" s="6">
        <f>Table1[[#This Row],[pledged]]/Table1[[#This Row],[goal]]</f>
        <v>1.0290416666666666</v>
      </c>
      <c r="T3679" s="8">
        <f>IF(Table1[[#This Row],[pledged]]=0,"no backers",Table1[[#This Row],[pledged]]/Table1[[#This Row],[backers_count]])</f>
        <v>62.052763819095475</v>
      </c>
      <c r="U3679" t="str">
        <f>LEFT(Table1[[#This Row],[Category and Sub-Category]],FIND("/",Table1[[#This Row],[Category and Sub-Category]])-1)</f>
        <v>theater</v>
      </c>
      <c r="V3679" t="str">
        <f>RIGHT(Table1[[#This Row],[Category and Sub-Category]],LEN(Table1[[#This Row],[Category and Sub-Category]])-FIND("/",Table1[[#This Row],[Category and Sub-Category]]))</f>
        <v>plays</v>
      </c>
    </row>
    <row r="3680" spans="1:22" ht="43.2" x14ac:dyDescent="0.3">
      <c r="A3680">
        <v>3678</v>
      </c>
      <c r="B3680" s="3" t="s">
        <v>3675</v>
      </c>
      <c r="C3680" s="3" t="s">
        <v>7788</v>
      </c>
      <c r="D3680" s="12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>((Table1[[#This Row],[deadline]]/60)/60/24)+DATE(1970,1,1)</f>
        <v>42155.531226851846</v>
      </c>
      <c r="K3680">
        <v>1430052298</v>
      </c>
      <c r="L3680" s="11">
        <f>((Table1[[#This Row],[launched_at]]/60)/60/24)+DATE(1970,1,1)</f>
        <v>42120.531226851846</v>
      </c>
      <c r="M3680">
        <f>MONTH(Table1[[#This Row],[Date Created Conversion]])</f>
        <v>4</v>
      </c>
      <c r="N3680">
        <f>YEAR(Table1[[#This Row],[Date Created Conversion]])</f>
        <v>2015</v>
      </c>
      <c r="O3680" t="b">
        <v>0</v>
      </c>
      <c r="P3680">
        <v>31</v>
      </c>
      <c r="Q3680" t="b">
        <v>1</v>
      </c>
      <c r="R3680" t="s">
        <v>8271</v>
      </c>
      <c r="S3680" s="6">
        <f>Table1[[#This Row],[pledged]]/Table1[[#This Row],[goal]]</f>
        <v>1.0249999999999999</v>
      </c>
      <c r="T3680" s="8">
        <f>IF(Table1[[#This Row],[pledged]]=0,"no backers",Table1[[#This Row],[pledged]]/Table1[[#This Row],[backers_count]])</f>
        <v>66.129032258064512</v>
      </c>
      <c r="U3680" t="str">
        <f>LEFT(Table1[[#This Row],[Category and Sub-Category]],FIND("/",Table1[[#This Row],[Category and Sub-Category]])-1)</f>
        <v>theater</v>
      </c>
      <c r="V3680" t="str">
        <f>RIGHT(Table1[[#This Row],[Category and Sub-Category]],LEN(Table1[[#This Row],[Category and Sub-Category]])-FIND("/",Table1[[#This Row],[Category and Sub-Category]]))</f>
        <v>plays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 s="12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>((Table1[[#This Row],[deadline]]/60)/60/24)+DATE(1970,1,1)</f>
        <v>41821.207638888889</v>
      </c>
      <c r="K3681">
        <v>1401214581</v>
      </c>
      <c r="L3681" s="11">
        <f>((Table1[[#This Row],[launched_at]]/60)/60/24)+DATE(1970,1,1)</f>
        <v>41786.761354166665</v>
      </c>
      <c r="M3681">
        <f>MONTH(Table1[[#This Row],[Date Created Conversion]])</f>
        <v>5</v>
      </c>
      <c r="N3681">
        <f>YEAR(Table1[[#This Row],[Date Created Conversion]])</f>
        <v>2014</v>
      </c>
      <c r="O3681" t="b">
        <v>0</v>
      </c>
      <c r="P3681">
        <v>30</v>
      </c>
      <c r="Q3681" t="b">
        <v>1</v>
      </c>
      <c r="R3681" t="s">
        <v>8271</v>
      </c>
      <c r="S3681" s="6">
        <f>Table1[[#This Row],[pledged]]/Table1[[#This Row],[goal]]</f>
        <v>1.101</v>
      </c>
      <c r="T3681" s="8">
        <f>IF(Table1[[#This Row],[pledged]]=0,"no backers",Table1[[#This Row],[pledged]]/Table1[[#This Row],[backers_count]])</f>
        <v>73.400000000000006</v>
      </c>
      <c r="U3681" t="str">
        <f>LEFT(Table1[[#This Row],[Category and Sub-Category]],FIND("/",Table1[[#This Row],[Category and Sub-Category]])-1)</f>
        <v>theater</v>
      </c>
      <c r="V3681" t="str">
        <f>RIGHT(Table1[[#This Row],[Category and Sub-Category]],LEN(Table1[[#This Row],[Category and Sub-Category]])-FIND("/",Table1[[#This Row],[Category and Sub-Category]]))</f>
        <v>plays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 s="1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>((Table1[[#This Row],[deadline]]/60)/60/24)+DATE(1970,1,1)</f>
        <v>42648.454097222217</v>
      </c>
      <c r="K3682">
        <v>1473850434</v>
      </c>
      <c r="L3682" s="11">
        <f>((Table1[[#This Row],[launched_at]]/60)/60/24)+DATE(1970,1,1)</f>
        <v>42627.454097222217</v>
      </c>
      <c r="M3682">
        <f>MONTH(Table1[[#This Row],[Date Created Conversion]])</f>
        <v>9</v>
      </c>
      <c r="N3682">
        <f>YEAR(Table1[[#This Row],[Date Created Conversion]])</f>
        <v>2016</v>
      </c>
      <c r="O3682" t="b">
        <v>0</v>
      </c>
      <c r="P3682">
        <v>34</v>
      </c>
      <c r="Q3682" t="b">
        <v>1</v>
      </c>
      <c r="R3682" t="s">
        <v>8271</v>
      </c>
      <c r="S3682" s="6">
        <f>Table1[[#This Row],[pledged]]/Table1[[#This Row],[goal]]</f>
        <v>1.1276666666666666</v>
      </c>
      <c r="T3682" s="8">
        <f>IF(Table1[[#This Row],[pledged]]=0,"no backers",Table1[[#This Row],[pledged]]/Table1[[#This Row],[backers_count]])</f>
        <v>99.5</v>
      </c>
      <c r="U3682" t="str">
        <f>LEFT(Table1[[#This Row],[Category and Sub-Category]],FIND("/",Table1[[#This Row],[Category and Sub-Category]])-1)</f>
        <v>theater</v>
      </c>
      <c r="V3682" t="str">
        <f>RIGHT(Table1[[#This Row],[Category and Sub-Category]],LEN(Table1[[#This Row],[Category and Sub-Category]])-FIND("/",Table1[[#This Row],[Category and Sub-Category]]))</f>
        <v>plays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 s="12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>((Table1[[#This Row],[deadline]]/60)/60/24)+DATE(1970,1,1)</f>
        <v>42384.651504629626</v>
      </c>
      <c r="K3683">
        <v>1452008290</v>
      </c>
      <c r="L3683" s="11">
        <f>((Table1[[#This Row],[launched_at]]/60)/60/24)+DATE(1970,1,1)</f>
        <v>42374.651504629626</v>
      </c>
      <c r="M3683">
        <f>MONTH(Table1[[#This Row],[Date Created Conversion]])</f>
        <v>1</v>
      </c>
      <c r="N3683">
        <f>YEAR(Table1[[#This Row],[Date Created Conversion]])</f>
        <v>2016</v>
      </c>
      <c r="O3683" t="b">
        <v>0</v>
      </c>
      <c r="P3683">
        <v>18</v>
      </c>
      <c r="Q3683" t="b">
        <v>1</v>
      </c>
      <c r="R3683" t="s">
        <v>8271</v>
      </c>
      <c r="S3683" s="6">
        <f>Table1[[#This Row],[pledged]]/Table1[[#This Row],[goal]]</f>
        <v>1.119</v>
      </c>
      <c r="T3683" s="8">
        <f>IF(Table1[[#This Row],[pledged]]=0,"no backers",Table1[[#This Row],[pledged]]/Table1[[#This Row],[backers_count]])</f>
        <v>62.166666666666664</v>
      </c>
      <c r="U3683" t="str">
        <f>LEFT(Table1[[#This Row],[Category and Sub-Category]],FIND("/",Table1[[#This Row],[Category and Sub-Category]])-1)</f>
        <v>theater</v>
      </c>
      <c r="V3683" t="str">
        <f>RIGHT(Table1[[#This Row],[Category and Sub-Category]],LEN(Table1[[#This Row],[Category and Sub-Category]])-FIND("/",Table1[[#This Row],[Category and Sub-Category]]))</f>
        <v>plays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 s="12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>((Table1[[#This Row],[deadline]]/60)/60/24)+DATE(1970,1,1)</f>
        <v>41806.290972222225</v>
      </c>
      <c r="K3684">
        <v>1399998418</v>
      </c>
      <c r="L3684" s="11">
        <f>((Table1[[#This Row],[launched_at]]/60)/60/24)+DATE(1970,1,1)</f>
        <v>41772.685393518521</v>
      </c>
      <c r="M3684">
        <f>MONTH(Table1[[#This Row],[Date Created Conversion]])</f>
        <v>5</v>
      </c>
      <c r="N3684">
        <f>YEAR(Table1[[#This Row],[Date Created Conversion]])</f>
        <v>2014</v>
      </c>
      <c r="O3684" t="b">
        <v>0</v>
      </c>
      <c r="P3684">
        <v>67</v>
      </c>
      <c r="Q3684" t="b">
        <v>1</v>
      </c>
      <c r="R3684" t="s">
        <v>8271</v>
      </c>
      <c r="S3684" s="6">
        <f>Table1[[#This Row],[pledged]]/Table1[[#This Row],[goal]]</f>
        <v>1.3919999999999999</v>
      </c>
      <c r="T3684" s="8">
        <f>IF(Table1[[#This Row],[pledged]]=0,"no backers",Table1[[#This Row],[pledged]]/Table1[[#This Row],[backers_count]])</f>
        <v>62.328358208955223</v>
      </c>
      <c r="U3684" t="str">
        <f>LEFT(Table1[[#This Row],[Category and Sub-Category]],FIND("/",Table1[[#This Row],[Category and Sub-Category]])-1)</f>
        <v>theater</v>
      </c>
      <c r="V3684" t="str">
        <f>RIGHT(Table1[[#This Row],[Category and Sub-Category]],LEN(Table1[[#This Row],[Category and Sub-Category]])-FIND("/",Table1[[#This Row],[Category and Sub-Category]]))</f>
        <v>plays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 s="12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>((Table1[[#This Row],[deadline]]/60)/60/24)+DATE(1970,1,1)</f>
        <v>42663.116851851853</v>
      </c>
      <c r="K3685">
        <v>1474339696</v>
      </c>
      <c r="L3685" s="11">
        <f>((Table1[[#This Row],[launched_at]]/60)/60/24)+DATE(1970,1,1)</f>
        <v>42633.116851851853</v>
      </c>
      <c r="M3685">
        <f>MONTH(Table1[[#This Row],[Date Created Conversion]])</f>
        <v>9</v>
      </c>
      <c r="N3685">
        <f>YEAR(Table1[[#This Row],[Date Created Conversion]])</f>
        <v>2016</v>
      </c>
      <c r="O3685" t="b">
        <v>0</v>
      </c>
      <c r="P3685">
        <v>66</v>
      </c>
      <c r="Q3685" t="b">
        <v>1</v>
      </c>
      <c r="R3685" t="s">
        <v>8271</v>
      </c>
      <c r="S3685" s="6">
        <f>Table1[[#This Row],[pledged]]/Table1[[#This Row],[goal]]</f>
        <v>1.1085714285714285</v>
      </c>
      <c r="T3685" s="8">
        <f>IF(Table1[[#This Row],[pledged]]=0,"no backers",Table1[[#This Row],[pledged]]/Table1[[#This Row],[backers_count]])</f>
        <v>58.787878787878789</v>
      </c>
      <c r="U3685" t="str">
        <f>LEFT(Table1[[#This Row],[Category and Sub-Category]],FIND("/",Table1[[#This Row],[Category and Sub-Category]])-1)</f>
        <v>theater</v>
      </c>
      <c r="V3685" t="str">
        <f>RIGHT(Table1[[#This Row],[Category and Sub-Category]],LEN(Table1[[#This Row],[Category and Sub-Category]])-FIND("/",Table1[[#This Row],[Category and Sub-Category]]))</f>
        <v>plays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 s="12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>((Table1[[#This Row],[deadline]]/60)/60/24)+DATE(1970,1,1)</f>
        <v>42249.180393518516</v>
      </c>
      <c r="K3686">
        <v>1438575586</v>
      </c>
      <c r="L3686" s="11">
        <f>((Table1[[#This Row],[launched_at]]/60)/60/24)+DATE(1970,1,1)</f>
        <v>42219.180393518516</v>
      </c>
      <c r="M3686">
        <f>MONTH(Table1[[#This Row],[Date Created Conversion]])</f>
        <v>8</v>
      </c>
      <c r="N3686">
        <f>YEAR(Table1[[#This Row],[Date Created Conversion]])</f>
        <v>2015</v>
      </c>
      <c r="O3686" t="b">
        <v>0</v>
      </c>
      <c r="P3686">
        <v>23</v>
      </c>
      <c r="Q3686" t="b">
        <v>1</v>
      </c>
      <c r="R3686" t="s">
        <v>8271</v>
      </c>
      <c r="S3686" s="6">
        <f>Table1[[#This Row],[pledged]]/Table1[[#This Row],[goal]]</f>
        <v>1.3906666666666667</v>
      </c>
      <c r="T3686" s="8">
        <f>IF(Table1[[#This Row],[pledged]]=0,"no backers",Table1[[#This Row],[pledged]]/Table1[[#This Row],[backers_count]])</f>
        <v>45.347826086956523</v>
      </c>
      <c r="U3686" t="str">
        <f>LEFT(Table1[[#This Row],[Category and Sub-Category]],FIND("/",Table1[[#This Row],[Category and Sub-Category]])-1)</f>
        <v>theater</v>
      </c>
      <c r="V3686" t="str">
        <f>RIGHT(Table1[[#This Row],[Category and Sub-Category]],LEN(Table1[[#This Row],[Category and Sub-Category]])-FIND("/",Table1[[#This Row],[Category and Sub-Category]]))</f>
        <v>plays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 s="12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>((Table1[[#This Row],[deadline]]/60)/60/24)+DATE(1970,1,1)</f>
        <v>41778.875</v>
      </c>
      <c r="K3687">
        <v>1398348859</v>
      </c>
      <c r="L3687" s="11">
        <f>((Table1[[#This Row],[launched_at]]/60)/60/24)+DATE(1970,1,1)</f>
        <v>41753.593275462961</v>
      </c>
      <c r="M3687">
        <f>MONTH(Table1[[#This Row],[Date Created Conversion]])</f>
        <v>4</v>
      </c>
      <c r="N3687">
        <f>YEAR(Table1[[#This Row],[Date Created Conversion]])</f>
        <v>2014</v>
      </c>
      <c r="O3687" t="b">
        <v>0</v>
      </c>
      <c r="P3687">
        <v>126</v>
      </c>
      <c r="Q3687" t="b">
        <v>1</v>
      </c>
      <c r="R3687" t="s">
        <v>8271</v>
      </c>
      <c r="S3687" s="6">
        <f>Table1[[#This Row],[pledged]]/Table1[[#This Row],[goal]]</f>
        <v>1.0569999999999999</v>
      </c>
      <c r="T3687" s="8">
        <f>IF(Table1[[#This Row],[pledged]]=0,"no backers",Table1[[#This Row],[pledged]]/Table1[[#This Row],[backers_count]])</f>
        <v>41.944444444444443</v>
      </c>
      <c r="U3687" t="str">
        <f>LEFT(Table1[[#This Row],[Category and Sub-Category]],FIND("/",Table1[[#This Row],[Category and Sub-Category]])-1)</f>
        <v>theater</v>
      </c>
      <c r="V3687" t="str">
        <f>RIGHT(Table1[[#This Row],[Category and Sub-Category]],LEN(Table1[[#This Row],[Category and Sub-Category]])-FIND("/",Table1[[#This Row],[Category and Sub-Category]]))</f>
        <v>plays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 s="12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>((Table1[[#This Row],[deadline]]/60)/60/24)+DATE(1970,1,1)</f>
        <v>42245.165972222225</v>
      </c>
      <c r="K3688">
        <v>1439567660</v>
      </c>
      <c r="L3688" s="11">
        <f>((Table1[[#This Row],[launched_at]]/60)/60/24)+DATE(1970,1,1)</f>
        <v>42230.662731481483</v>
      </c>
      <c r="M3688">
        <f>MONTH(Table1[[#This Row],[Date Created Conversion]])</f>
        <v>8</v>
      </c>
      <c r="N3688">
        <f>YEAR(Table1[[#This Row],[Date Created Conversion]])</f>
        <v>2015</v>
      </c>
      <c r="O3688" t="b">
        <v>0</v>
      </c>
      <c r="P3688">
        <v>6</v>
      </c>
      <c r="Q3688" t="b">
        <v>1</v>
      </c>
      <c r="R3688" t="s">
        <v>8271</v>
      </c>
      <c r="S3688" s="6">
        <f>Table1[[#This Row],[pledged]]/Table1[[#This Row],[goal]]</f>
        <v>1.0142857142857142</v>
      </c>
      <c r="T3688" s="8">
        <f>IF(Table1[[#This Row],[pledged]]=0,"no backers",Table1[[#This Row],[pledged]]/Table1[[#This Row],[backers_count]])</f>
        <v>59.166666666666664</v>
      </c>
      <c r="U3688" t="str">
        <f>LEFT(Table1[[#This Row],[Category and Sub-Category]],FIND("/",Table1[[#This Row],[Category and Sub-Category]])-1)</f>
        <v>theater</v>
      </c>
      <c r="V3688" t="str">
        <f>RIGHT(Table1[[#This Row],[Category and Sub-Category]],LEN(Table1[[#This Row],[Category and Sub-Category]])-FIND("/",Table1[[#This Row],[Category and Sub-Category]]))</f>
        <v>plays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 s="12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>((Table1[[#This Row],[deadline]]/60)/60/24)+DATE(1970,1,1)</f>
        <v>41817.218229166669</v>
      </c>
      <c r="K3689">
        <v>1401254055</v>
      </c>
      <c r="L3689" s="11">
        <f>((Table1[[#This Row],[launched_at]]/60)/60/24)+DATE(1970,1,1)</f>
        <v>41787.218229166669</v>
      </c>
      <c r="M3689">
        <f>MONTH(Table1[[#This Row],[Date Created Conversion]])</f>
        <v>5</v>
      </c>
      <c r="N3689">
        <f>YEAR(Table1[[#This Row],[Date Created Conversion]])</f>
        <v>2014</v>
      </c>
      <c r="O3689" t="b">
        <v>0</v>
      </c>
      <c r="P3689">
        <v>25</v>
      </c>
      <c r="Q3689" t="b">
        <v>1</v>
      </c>
      <c r="R3689" t="s">
        <v>8271</v>
      </c>
      <c r="S3689" s="6">
        <f>Table1[[#This Row],[pledged]]/Table1[[#This Row],[goal]]</f>
        <v>1.0024500000000001</v>
      </c>
      <c r="T3689" s="8">
        <f>IF(Table1[[#This Row],[pledged]]=0,"no backers",Table1[[#This Row],[pledged]]/Table1[[#This Row],[backers_count]])</f>
        <v>200.49</v>
      </c>
      <c r="U3689" t="str">
        <f>LEFT(Table1[[#This Row],[Category and Sub-Category]],FIND("/",Table1[[#This Row],[Category and Sub-Category]])-1)</f>
        <v>theater</v>
      </c>
      <c r="V3689" t="str">
        <f>RIGHT(Table1[[#This Row],[Category and Sub-Category]],LEN(Table1[[#This Row],[Category and Sub-Category]])-FIND("/",Table1[[#This Row],[Category and Sub-Category]]))</f>
        <v>plays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 s="12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>((Table1[[#This Row],[deadline]]/60)/60/24)+DATE(1970,1,1)</f>
        <v>41859.787083333329</v>
      </c>
      <c r="K3690">
        <v>1404932004</v>
      </c>
      <c r="L3690" s="11">
        <f>((Table1[[#This Row],[launched_at]]/60)/60/24)+DATE(1970,1,1)</f>
        <v>41829.787083333329</v>
      </c>
      <c r="M3690">
        <f>MONTH(Table1[[#This Row],[Date Created Conversion]])</f>
        <v>7</v>
      </c>
      <c r="N3690">
        <f>YEAR(Table1[[#This Row],[Date Created Conversion]])</f>
        <v>2014</v>
      </c>
      <c r="O3690" t="b">
        <v>0</v>
      </c>
      <c r="P3690">
        <v>39</v>
      </c>
      <c r="Q3690" t="b">
        <v>1</v>
      </c>
      <c r="R3690" t="s">
        <v>8271</v>
      </c>
      <c r="S3690" s="6">
        <f>Table1[[#This Row],[pledged]]/Table1[[#This Row],[goal]]</f>
        <v>1.0916666666666666</v>
      </c>
      <c r="T3690" s="8">
        <f>IF(Table1[[#This Row],[pledged]]=0,"no backers",Table1[[#This Row],[pledged]]/Table1[[#This Row],[backers_count]])</f>
        <v>83.974358974358978</v>
      </c>
      <c r="U3690" t="str">
        <f>LEFT(Table1[[#This Row],[Category and Sub-Category]],FIND("/",Table1[[#This Row],[Category and Sub-Category]])-1)</f>
        <v>theater</v>
      </c>
      <c r="V3690" t="str">
        <f>RIGHT(Table1[[#This Row],[Category and Sub-Category]],LEN(Table1[[#This Row],[Category and Sub-Category]])-FIND("/",Table1[[#This Row],[Category and Sub-Category]]))</f>
        <v>plays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 s="12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>((Table1[[#This Row],[deadline]]/60)/60/24)+DATE(1970,1,1)</f>
        <v>42176.934027777781</v>
      </c>
      <c r="K3691">
        <v>1432410639</v>
      </c>
      <c r="L3691" s="11">
        <f>((Table1[[#This Row],[launched_at]]/60)/60/24)+DATE(1970,1,1)</f>
        <v>42147.826840277776</v>
      </c>
      <c r="M3691">
        <f>MONTH(Table1[[#This Row],[Date Created Conversion]])</f>
        <v>5</v>
      </c>
      <c r="N3691">
        <f>YEAR(Table1[[#This Row],[Date Created Conversion]])</f>
        <v>2015</v>
      </c>
      <c r="O3691" t="b">
        <v>0</v>
      </c>
      <c r="P3691">
        <v>62</v>
      </c>
      <c r="Q3691" t="b">
        <v>1</v>
      </c>
      <c r="R3691" t="s">
        <v>8271</v>
      </c>
      <c r="S3691" s="6">
        <f>Table1[[#This Row],[pledged]]/Table1[[#This Row],[goal]]</f>
        <v>1.1833333333333333</v>
      </c>
      <c r="T3691" s="8">
        <f>IF(Table1[[#This Row],[pledged]]=0,"no backers",Table1[[#This Row],[pledged]]/Table1[[#This Row],[backers_count]])</f>
        <v>57.258064516129032</v>
      </c>
      <c r="U3691" t="str">
        <f>LEFT(Table1[[#This Row],[Category and Sub-Category]],FIND("/",Table1[[#This Row],[Category and Sub-Category]])-1)</f>
        <v>theater</v>
      </c>
      <c r="V3691" t="str">
        <f>RIGHT(Table1[[#This Row],[Category and Sub-Category]],LEN(Table1[[#This Row],[Category and Sub-Category]])-FIND("/",Table1[[#This Row],[Category and Sub-Category]]))</f>
        <v>plays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 s="1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>((Table1[[#This Row],[deadline]]/60)/60/24)+DATE(1970,1,1)</f>
        <v>41970.639849537038</v>
      </c>
      <c r="K3692">
        <v>1414506083</v>
      </c>
      <c r="L3692" s="11">
        <f>((Table1[[#This Row],[launched_at]]/60)/60/24)+DATE(1970,1,1)</f>
        <v>41940.598182870373</v>
      </c>
      <c r="M3692">
        <f>MONTH(Table1[[#This Row],[Date Created Conversion]])</f>
        <v>10</v>
      </c>
      <c r="N3692">
        <f>YEAR(Table1[[#This Row],[Date Created Conversion]])</f>
        <v>2014</v>
      </c>
      <c r="O3692" t="b">
        <v>0</v>
      </c>
      <c r="P3692">
        <v>31</v>
      </c>
      <c r="Q3692" t="b">
        <v>1</v>
      </c>
      <c r="R3692" t="s">
        <v>8271</v>
      </c>
      <c r="S3692" s="6">
        <f>Table1[[#This Row],[pledged]]/Table1[[#This Row],[goal]]</f>
        <v>1.2</v>
      </c>
      <c r="T3692" s="8">
        <f>IF(Table1[[#This Row],[pledged]]=0,"no backers",Table1[[#This Row],[pledged]]/Table1[[#This Row],[backers_count]])</f>
        <v>58.064516129032256</v>
      </c>
      <c r="U3692" t="str">
        <f>LEFT(Table1[[#This Row],[Category and Sub-Category]],FIND("/",Table1[[#This Row],[Category and Sub-Category]])-1)</f>
        <v>theater</v>
      </c>
      <c r="V3692" t="str">
        <f>RIGHT(Table1[[#This Row],[Category and Sub-Category]],LEN(Table1[[#This Row],[Category and Sub-Category]])-FIND("/",Table1[[#This Row],[Category and Sub-Category]]))</f>
        <v>plays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 s="12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>((Table1[[#This Row],[deadline]]/60)/60/24)+DATE(1970,1,1)</f>
        <v>42065.207638888889</v>
      </c>
      <c r="K3693">
        <v>1421426929</v>
      </c>
      <c r="L3693" s="11">
        <f>((Table1[[#This Row],[launched_at]]/60)/60/24)+DATE(1970,1,1)</f>
        <v>42020.700567129628</v>
      </c>
      <c r="M3693">
        <f>MONTH(Table1[[#This Row],[Date Created Conversion]])</f>
        <v>1</v>
      </c>
      <c r="N3693">
        <f>YEAR(Table1[[#This Row],[Date Created Conversion]])</f>
        <v>2015</v>
      </c>
      <c r="O3693" t="b">
        <v>0</v>
      </c>
      <c r="P3693">
        <v>274</v>
      </c>
      <c r="Q3693" t="b">
        <v>1</v>
      </c>
      <c r="R3693" t="s">
        <v>8271</v>
      </c>
      <c r="S3693" s="6">
        <f>Table1[[#This Row],[pledged]]/Table1[[#This Row],[goal]]</f>
        <v>1.2796000000000001</v>
      </c>
      <c r="T3693" s="8">
        <f>IF(Table1[[#This Row],[pledged]]=0,"no backers",Table1[[#This Row],[pledged]]/Table1[[#This Row],[backers_count]])</f>
        <v>186.80291970802921</v>
      </c>
      <c r="U3693" t="str">
        <f>LEFT(Table1[[#This Row],[Category and Sub-Category]],FIND("/",Table1[[#This Row],[Category and Sub-Category]])-1)</f>
        <v>theater</v>
      </c>
      <c r="V3693" t="str">
        <f>RIGHT(Table1[[#This Row],[Category and Sub-Category]],LEN(Table1[[#This Row],[Category and Sub-Category]])-FIND("/",Table1[[#This Row],[Category and Sub-Category]]))</f>
        <v>plays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 s="12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>((Table1[[#This Row],[deadline]]/60)/60/24)+DATE(1970,1,1)</f>
        <v>41901</v>
      </c>
      <c r="K3694">
        <v>1410304179</v>
      </c>
      <c r="L3694" s="11">
        <f>((Table1[[#This Row],[launched_at]]/60)/60/24)+DATE(1970,1,1)</f>
        <v>41891.96503472222</v>
      </c>
      <c r="M3694">
        <f>MONTH(Table1[[#This Row],[Date Created Conversion]])</f>
        <v>9</v>
      </c>
      <c r="N3694">
        <f>YEAR(Table1[[#This Row],[Date Created Conversion]])</f>
        <v>2014</v>
      </c>
      <c r="O3694" t="b">
        <v>0</v>
      </c>
      <c r="P3694">
        <v>17</v>
      </c>
      <c r="Q3694" t="b">
        <v>1</v>
      </c>
      <c r="R3694" t="s">
        <v>8271</v>
      </c>
      <c r="S3694" s="6">
        <f>Table1[[#This Row],[pledged]]/Table1[[#This Row],[goal]]</f>
        <v>1.26</v>
      </c>
      <c r="T3694" s="8">
        <f>IF(Table1[[#This Row],[pledged]]=0,"no backers",Table1[[#This Row],[pledged]]/Table1[[#This Row],[backers_count]])</f>
        <v>74.117647058823536</v>
      </c>
      <c r="U3694" t="str">
        <f>LEFT(Table1[[#This Row],[Category and Sub-Category]],FIND("/",Table1[[#This Row],[Category and Sub-Category]])-1)</f>
        <v>theater</v>
      </c>
      <c r="V3694" t="str">
        <f>RIGHT(Table1[[#This Row],[Category and Sub-Category]],LEN(Table1[[#This Row],[Category and Sub-Category]])-FIND("/",Table1[[#This Row],[Category and Sub-Category]]))</f>
        <v>plays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 s="12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>((Table1[[#This Row],[deadline]]/60)/60/24)+DATE(1970,1,1)</f>
        <v>42338.9375</v>
      </c>
      <c r="K3695">
        <v>1446352529</v>
      </c>
      <c r="L3695" s="11">
        <f>((Table1[[#This Row],[launched_at]]/60)/60/24)+DATE(1970,1,1)</f>
        <v>42309.191307870366</v>
      </c>
      <c r="M3695">
        <f>MONTH(Table1[[#This Row],[Date Created Conversion]])</f>
        <v>11</v>
      </c>
      <c r="N3695">
        <f>YEAR(Table1[[#This Row],[Date Created Conversion]])</f>
        <v>2015</v>
      </c>
      <c r="O3695" t="b">
        <v>0</v>
      </c>
      <c r="P3695">
        <v>14</v>
      </c>
      <c r="Q3695" t="b">
        <v>1</v>
      </c>
      <c r="R3695" t="s">
        <v>8271</v>
      </c>
      <c r="S3695" s="6">
        <f>Table1[[#This Row],[pledged]]/Table1[[#This Row],[goal]]</f>
        <v>1.2912912912912913</v>
      </c>
      <c r="T3695" s="8">
        <f>IF(Table1[[#This Row],[pledged]]=0,"no backers",Table1[[#This Row],[pledged]]/Table1[[#This Row],[backers_count]])</f>
        <v>30.714285714285715</v>
      </c>
      <c r="U3695" t="str">
        <f>LEFT(Table1[[#This Row],[Category and Sub-Category]],FIND("/",Table1[[#This Row],[Category and Sub-Category]])-1)</f>
        <v>theater</v>
      </c>
      <c r="V3695" t="str">
        <f>RIGHT(Table1[[#This Row],[Category and Sub-Category]],LEN(Table1[[#This Row],[Category and Sub-Category]])-FIND("/",Table1[[#This Row],[Category and Sub-Category]]))</f>
        <v>plays</v>
      </c>
    </row>
    <row r="3696" spans="1:22" ht="57.6" x14ac:dyDescent="0.3">
      <c r="A3696">
        <v>3694</v>
      </c>
      <c r="B3696" s="3" t="s">
        <v>3691</v>
      </c>
      <c r="C3696" s="3" t="s">
        <v>7804</v>
      </c>
      <c r="D3696" s="12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>((Table1[[#This Row],[deadline]]/60)/60/24)+DATE(1970,1,1)</f>
        <v>42527.083333333328</v>
      </c>
      <c r="K3696">
        <v>1461985967</v>
      </c>
      <c r="L3696" s="11">
        <f>((Table1[[#This Row],[launched_at]]/60)/60/24)+DATE(1970,1,1)</f>
        <v>42490.133877314816</v>
      </c>
      <c r="M3696">
        <f>MONTH(Table1[[#This Row],[Date Created Conversion]])</f>
        <v>4</v>
      </c>
      <c r="N3696">
        <f>YEAR(Table1[[#This Row],[Date Created Conversion]])</f>
        <v>2016</v>
      </c>
      <c r="O3696" t="b">
        <v>0</v>
      </c>
      <c r="P3696">
        <v>60</v>
      </c>
      <c r="Q3696" t="b">
        <v>1</v>
      </c>
      <c r="R3696" t="s">
        <v>8271</v>
      </c>
      <c r="S3696" s="6">
        <f>Table1[[#This Row],[pledged]]/Table1[[#This Row],[goal]]</f>
        <v>1.0742857142857143</v>
      </c>
      <c r="T3696" s="8">
        <f>IF(Table1[[#This Row],[pledged]]=0,"no backers",Table1[[#This Row],[pledged]]/Table1[[#This Row],[backers_count]])</f>
        <v>62.666666666666664</v>
      </c>
      <c r="U3696" t="str">
        <f>LEFT(Table1[[#This Row],[Category and Sub-Category]],FIND("/",Table1[[#This Row],[Category and Sub-Category]])-1)</f>
        <v>theater</v>
      </c>
      <c r="V3696" t="str">
        <f>RIGHT(Table1[[#This Row],[Category and Sub-Category]],LEN(Table1[[#This Row],[Category and Sub-Category]])-FIND("/",Table1[[#This Row],[Category and Sub-Category]]))</f>
        <v>plays</v>
      </c>
    </row>
    <row r="3697" spans="1:22" ht="57.6" x14ac:dyDescent="0.3">
      <c r="A3697">
        <v>3695</v>
      </c>
      <c r="B3697" s="3" t="s">
        <v>3692</v>
      </c>
      <c r="C3697" s="3" t="s">
        <v>7805</v>
      </c>
      <c r="D3697" s="12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>((Table1[[#This Row],[deadline]]/60)/60/24)+DATE(1970,1,1)</f>
        <v>42015.870486111111</v>
      </c>
      <c r="K3697">
        <v>1419281610</v>
      </c>
      <c r="L3697" s="11">
        <f>((Table1[[#This Row],[launched_at]]/60)/60/24)+DATE(1970,1,1)</f>
        <v>41995.870486111111</v>
      </c>
      <c r="M3697">
        <f>MONTH(Table1[[#This Row],[Date Created Conversion]])</f>
        <v>12</v>
      </c>
      <c r="N3697">
        <f>YEAR(Table1[[#This Row],[Date Created Conversion]])</f>
        <v>2014</v>
      </c>
      <c r="O3697" t="b">
        <v>0</v>
      </c>
      <c r="P3697">
        <v>33</v>
      </c>
      <c r="Q3697" t="b">
        <v>1</v>
      </c>
      <c r="R3697" t="s">
        <v>8271</v>
      </c>
      <c r="S3697" s="6">
        <f>Table1[[#This Row],[pledged]]/Table1[[#This Row],[goal]]</f>
        <v>1.00125</v>
      </c>
      <c r="T3697" s="8">
        <f>IF(Table1[[#This Row],[pledged]]=0,"no backers",Table1[[#This Row],[pledged]]/Table1[[#This Row],[backers_count]])</f>
        <v>121.36363636363636</v>
      </c>
      <c r="U3697" t="str">
        <f>LEFT(Table1[[#This Row],[Category and Sub-Category]],FIND("/",Table1[[#This Row],[Category and Sub-Category]])-1)</f>
        <v>theater</v>
      </c>
      <c r="V3697" t="str">
        <f>RIGHT(Table1[[#This Row],[Category and Sub-Category]],LEN(Table1[[#This Row],[Category and Sub-Category]])-FIND("/",Table1[[#This Row],[Category and Sub-Category]]))</f>
        <v>plays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 s="12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>((Table1[[#This Row],[deadline]]/60)/60/24)+DATE(1970,1,1)</f>
        <v>42048.617083333331</v>
      </c>
      <c r="K3698">
        <v>1418654916</v>
      </c>
      <c r="L3698" s="11">
        <f>((Table1[[#This Row],[launched_at]]/60)/60/24)+DATE(1970,1,1)</f>
        <v>41988.617083333331</v>
      </c>
      <c r="M3698">
        <f>MONTH(Table1[[#This Row],[Date Created Conversion]])</f>
        <v>12</v>
      </c>
      <c r="N3698">
        <f>YEAR(Table1[[#This Row],[Date Created Conversion]])</f>
        <v>2014</v>
      </c>
      <c r="O3698" t="b">
        <v>0</v>
      </c>
      <c r="P3698">
        <v>78</v>
      </c>
      <c r="Q3698" t="b">
        <v>1</v>
      </c>
      <c r="R3698" t="s">
        <v>8271</v>
      </c>
      <c r="S3698" s="6">
        <f>Table1[[#This Row],[pledged]]/Table1[[#This Row],[goal]]</f>
        <v>1.55</v>
      </c>
      <c r="T3698" s="8">
        <f>IF(Table1[[#This Row],[pledged]]=0,"no backers",Table1[[#This Row],[pledged]]/Table1[[#This Row],[backers_count]])</f>
        <v>39.743589743589745</v>
      </c>
      <c r="U3698" t="str">
        <f>LEFT(Table1[[#This Row],[Category and Sub-Category]],FIND("/",Table1[[#This Row],[Category and Sub-Category]])-1)</f>
        <v>theater</v>
      </c>
      <c r="V3698" t="str">
        <f>RIGHT(Table1[[#This Row],[Category and Sub-Category]],LEN(Table1[[#This Row],[Category and Sub-Category]])-FIND("/",Table1[[#This Row],[Category and Sub-Category]]))</f>
        <v>plays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 s="12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>((Table1[[#This Row],[deadline]]/60)/60/24)+DATE(1970,1,1)</f>
        <v>42500.465833333335</v>
      </c>
      <c r="K3699">
        <v>1461064248</v>
      </c>
      <c r="L3699" s="11">
        <f>((Table1[[#This Row],[launched_at]]/60)/60/24)+DATE(1970,1,1)</f>
        <v>42479.465833333335</v>
      </c>
      <c r="M3699">
        <f>MONTH(Table1[[#This Row],[Date Created Conversion]])</f>
        <v>4</v>
      </c>
      <c r="N3699">
        <f>YEAR(Table1[[#This Row],[Date Created Conversion]])</f>
        <v>2016</v>
      </c>
      <c r="O3699" t="b">
        <v>0</v>
      </c>
      <c r="P3699">
        <v>30</v>
      </c>
      <c r="Q3699" t="b">
        <v>1</v>
      </c>
      <c r="R3699" t="s">
        <v>8271</v>
      </c>
      <c r="S3699" s="6">
        <f>Table1[[#This Row],[pledged]]/Table1[[#This Row],[goal]]</f>
        <v>1.08</v>
      </c>
      <c r="T3699" s="8">
        <f>IF(Table1[[#This Row],[pledged]]=0,"no backers",Table1[[#This Row],[pledged]]/Table1[[#This Row],[backers_count]])</f>
        <v>72</v>
      </c>
      <c r="U3699" t="str">
        <f>LEFT(Table1[[#This Row],[Category and Sub-Category]],FIND("/",Table1[[#This Row],[Category and Sub-Category]])-1)</f>
        <v>theater</v>
      </c>
      <c r="V3699" t="str">
        <f>RIGHT(Table1[[#This Row],[Category and Sub-Category]],LEN(Table1[[#This Row],[Category and Sub-Category]])-FIND("/",Table1[[#This Row],[Category and Sub-Category]]))</f>
        <v>plays</v>
      </c>
    </row>
    <row r="3700" spans="1:22" ht="43.2" x14ac:dyDescent="0.3">
      <c r="A3700">
        <v>3698</v>
      </c>
      <c r="B3700" s="3" t="s">
        <v>3695</v>
      </c>
      <c r="C3700" s="3" t="s">
        <v>7808</v>
      </c>
      <c r="D3700" s="12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>((Table1[[#This Row],[deadline]]/60)/60/24)+DATE(1970,1,1)</f>
        <v>42431.806562500002</v>
      </c>
      <c r="K3700">
        <v>1454354487</v>
      </c>
      <c r="L3700" s="11">
        <f>((Table1[[#This Row],[launched_at]]/60)/60/24)+DATE(1970,1,1)</f>
        <v>42401.806562500002</v>
      </c>
      <c r="M3700">
        <f>MONTH(Table1[[#This Row],[Date Created Conversion]])</f>
        <v>2</v>
      </c>
      <c r="N3700">
        <f>YEAR(Table1[[#This Row],[Date Created Conversion]])</f>
        <v>2016</v>
      </c>
      <c r="O3700" t="b">
        <v>0</v>
      </c>
      <c r="P3700">
        <v>136</v>
      </c>
      <c r="Q3700" t="b">
        <v>1</v>
      </c>
      <c r="R3700" t="s">
        <v>8271</v>
      </c>
      <c r="S3700" s="6">
        <f>Table1[[#This Row],[pledged]]/Table1[[#This Row],[goal]]</f>
        <v>1.1052</v>
      </c>
      <c r="T3700" s="8">
        <f>IF(Table1[[#This Row],[pledged]]=0,"no backers",Table1[[#This Row],[pledged]]/Table1[[#This Row],[backers_count]])</f>
        <v>40.632352941176471</v>
      </c>
      <c r="U3700" t="str">
        <f>LEFT(Table1[[#This Row],[Category and Sub-Category]],FIND("/",Table1[[#This Row],[Category and Sub-Category]])-1)</f>
        <v>theater</v>
      </c>
      <c r="V3700" t="str">
        <f>RIGHT(Table1[[#This Row],[Category and Sub-Category]],LEN(Table1[[#This Row],[Category and Sub-Category]])-FIND("/",Table1[[#This Row],[Category and Sub-Category]]))</f>
        <v>plays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 s="12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>((Table1[[#This Row],[deadline]]/60)/60/24)+DATE(1970,1,1)</f>
        <v>41927.602037037039</v>
      </c>
      <c r="K3701">
        <v>1410791216</v>
      </c>
      <c r="L3701" s="11">
        <f>((Table1[[#This Row],[launched_at]]/60)/60/24)+DATE(1970,1,1)</f>
        <v>41897.602037037039</v>
      </c>
      <c r="M3701">
        <f>MONTH(Table1[[#This Row],[Date Created Conversion]])</f>
        <v>9</v>
      </c>
      <c r="N3701">
        <f>YEAR(Table1[[#This Row],[Date Created Conversion]])</f>
        <v>2014</v>
      </c>
      <c r="O3701" t="b">
        <v>0</v>
      </c>
      <c r="P3701">
        <v>40</v>
      </c>
      <c r="Q3701" t="b">
        <v>1</v>
      </c>
      <c r="R3701" t="s">
        <v>8271</v>
      </c>
      <c r="S3701" s="6">
        <f>Table1[[#This Row],[pledged]]/Table1[[#This Row],[goal]]</f>
        <v>1.008</v>
      </c>
      <c r="T3701" s="8">
        <f>IF(Table1[[#This Row],[pledged]]=0,"no backers",Table1[[#This Row],[pledged]]/Table1[[#This Row],[backers_count]])</f>
        <v>63</v>
      </c>
      <c r="U3701" t="str">
        <f>LEFT(Table1[[#This Row],[Category and Sub-Category]],FIND("/",Table1[[#This Row],[Category and Sub-Category]])-1)</f>
        <v>theater</v>
      </c>
      <c r="V3701" t="str">
        <f>RIGHT(Table1[[#This Row],[Category and Sub-Category]],LEN(Table1[[#This Row],[Category and Sub-Category]])-FIND("/",Table1[[#This Row],[Category and Sub-Category]]))</f>
        <v>plays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 s="1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>((Table1[[#This Row],[deadline]]/60)/60/24)+DATE(1970,1,1)</f>
        <v>41912.666666666664</v>
      </c>
      <c r="K3702">
        <v>1409493800</v>
      </c>
      <c r="L3702" s="11">
        <f>((Table1[[#This Row],[launched_at]]/60)/60/24)+DATE(1970,1,1)</f>
        <v>41882.585648148146</v>
      </c>
      <c r="M3702">
        <f>MONTH(Table1[[#This Row],[Date Created Conversion]])</f>
        <v>8</v>
      </c>
      <c r="N3702">
        <f>YEAR(Table1[[#This Row],[Date Created Conversion]])</f>
        <v>2014</v>
      </c>
      <c r="O3702" t="b">
        <v>0</v>
      </c>
      <c r="P3702">
        <v>18</v>
      </c>
      <c r="Q3702" t="b">
        <v>1</v>
      </c>
      <c r="R3702" t="s">
        <v>8271</v>
      </c>
      <c r="S3702" s="6">
        <f>Table1[[#This Row],[pledged]]/Table1[[#This Row],[goal]]</f>
        <v>1.212</v>
      </c>
      <c r="T3702" s="8">
        <f>IF(Table1[[#This Row],[pledged]]=0,"no backers",Table1[[#This Row],[pledged]]/Table1[[#This Row],[backers_count]])</f>
        <v>33.666666666666664</v>
      </c>
      <c r="U3702" t="str">
        <f>LEFT(Table1[[#This Row],[Category and Sub-Category]],FIND("/",Table1[[#This Row],[Category and Sub-Category]])-1)</f>
        <v>theater</v>
      </c>
      <c r="V3702" t="str">
        <f>RIGHT(Table1[[#This Row],[Category and Sub-Category]],LEN(Table1[[#This Row],[Category and Sub-Category]])-FIND("/",Table1[[#This Row],[Category and Sub-Category]]))</f>
        <v>plays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 s="12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>((Table1[[#This Row],[deadline]]/60)/60/24)+DATE(1970,1,1)</f>
        <v>42159.541585648149</v>
      </c>
      <c r="K3703">
        <v>1430830793</v>
      </c>
      <c r="L3703" s="11">
        <f>((Table1[[#This Row],[launched_at]]/60)/60/24)+DATE(1970,1,1)</f>
        <v>42129.541585648149</v>
      </c>
      <c r="M3703">
        <f>MONTH(Table1[[#This Row],[Date Created Conversion]])</f>
        <v>5</v>
      </c>
      <c r="N3703">
        <f>YEAR(Table1[[#This Row],[Date Created Conversion]])</f>
        <v>2015</v>
      </c>
      <c r="O3703" t="b">
        <v>0</v>
      </c>
      <c r="P3703">
        <v>39</v>
      </c>
      <c r="Q3703" t="b">
        <v>1</v>
      </c>
      <c r="R3703" t="s">
        <v>8271</v>
      </c>
      <c r="S3703" s="6">
        <f>Table1[[#This Row],[pledged]]/Table1[[#This Row],[goal]]</f>
        <v>1.0033333333333334</v>
      </c>
      <c r="T3703" s="8">
        <f>IF(Table1[[#This Row],[pledged]]=0,"no backers",Table1[[#This Row],[pledged]]/Table1[[#This Row],[backers_count]])</f>
        <v>38.589743589743591</v>
      </c>
      <c r="U3703" t="str">
        <f>LEFT(Table1[[#This Row],[Category and Sub-Category]],FIND("/",Table1[[#This Row],[Category and Sub-Category]])-1)</f>
        <v>theater</v>
      </c>
      <c r="V3703" t="str">
        <f>RIGHT(Table1[[#This Row],[Category and Sub-Category]],LEN(Table1[[#This Row],[Category and Sub-Category]])-FIND("/",Table1[[#This Row],[Category and Sub-Category]]))</f>
        <v>plays</v>
      </c>
    </row>
    <row r="3704" spans="1:22" ht="57.6" x14ac:dyDescent="0.3">
      <c r="A3704">
        <v>3702</v>
      </c>
      <c r="B3704" s="3" t="s">
        <v>3699</v>
      </c>
      <c r="C3704" s="3" t="s">
        <v>7812</v>
      </c>
      <c r="D3704" s="12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>((Table1[[#This Row],[deadline]]/60)/60/24)+DATE(1970,1,1)</f>
        <v>42561.957638888889</v>
      </c>
      <c r="K3704">
        <v>1464958484</v>
      </c>
      <c r="L3704" s="11">
        <f>((Table1[[#This Row],[launched_at]]/60)/60/24)+DATE(1970,1,1)</f>
        <v>42524.53800925926</v>
      </c>
      <c r="M3704">
        <f>MONTH(Table1[[#This Row],[Date Created Conversion]])</f>
        <v>6</v>
      </c>
      <c r="N3704">
        <f>YEAR(Table1[[#This Row],[Date Created Conversion]])</f>
        <v>2016</v>
      </c>
      <c r="O3704" t="b">
        <v>0</v>
      </c>
      <c r="P3704">
        <v>21</v>
      </c>
      <c r="Q3704" t="b">
        <v>1</v>
      </c>
      <c r="R3704" t="s">
        <v>8271</v>
      </c>
      <c r="S3704" s="6">
        <f>Table1[[#This Row],[pledged]]/Table1[[#This Row],[goal]]</f>
        <v>1.0916666666666666</v>
      </c>
      <c r="T3704" s="8">
        <f>IF(Table1[[#This Row],[pledged]]=0,"no backers",Table1[[#This Row],[pledged]]/Table1[[#This Row],[backers_count]])</f>
        <v>155.95238095238096</v>
      </c>
      <c r="U3704" t="str">
        <f>LEFT(Table1[[#This Row],[Category and Sub-Category]],FIND("/",Table1[[#This Row],[Category and Sub-Category]])-1)</f>
        <v>theater</v>
      </c>
      <c r="V3704" t="str">
        <f>RIGHT(Table1[[#This Row],[Category and Sub-Category]],LEN(Table1[[#This Row],[Category and Sub-Category]])-FIND("/",Table1[[#This Row],[Category and Sub-Category]]))</f>
        <v>plays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 s="12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>((Table1[[#This Row],[deadline]]/60)/60/24)+DATE(1970,1,1)</f>
        <v>42595.290972222225</v>
      </c>
      <c r="K3705">
        <v>1467720388</v>
      </c>
      <c r="L3705" s="11">
        <f>((Table1[[#This Row],[launched_at]]/60)/60/24)+DATE(1970,1,1)</f>
        <v>42556.504490740743</v>
      </c>
      <c r="M3705">
        <f>MONTH(Table1[[#This Row],[Date Created Conversion]])</f>
        <v>7</v>
      </c>
      <c r="N3705">
        <f>YEAR(Table1[[#This Row],[Date Created Conversion]])</f>
        <v>2016</v>
      </c>
      <c r="O3705" t="b">
        <v>0</v>
      </c>
      <c r="P3705">
        <v>30</v>
      </c>
      <c r="Q3705" t="b">
        <v>1</v>
      </c>
      <c r="R3705" t="s">
        <v>8271</v>
      </c>
      <c r="S3705" s="6">
        <f>Table1[[#This Row],[pledged]]/Table1[[#This Row],[goal]]</f>
        <v>1.2342857142857142</v>
      </c>
      <c r="T3705" s="8">
        <f>IF(Table1[[#This Row],[pledged]]=0,"no backers",Table1[[#This Row],[pledged]]/Table1[[#This Row],[backers_count]])</f>
        <v>43.2</v>
      </c>
      <c r="U3705" t="str">
        <f>LEFT(Table1[[#This Row],[Category and Sub-Category]],FIND("/",Table1[[#This Row],[Category and Sub-Category]])-1)</f>
        <v>theater</v>
      </c>
      <c r="V3705" t="str">
        <f>RIGHT(Table1[[#This Row],[Category and Sub-Category]],LEN(Table1[[#This Row],[Category and Sub-Category]])-FIND("/",Table1[[#This Row],[Category and Sub-Category]]))</f>
        <v>plays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 s="12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>((Table1[[#This Row],[deadline]]/60)/60/24)+DATE(1970,1,1)</f>
        <v>42521.689745370371</v>
      </c>
      <c r="K3706">
        <v>1459528394</v>
      </c>
      <c r="L3706" s="11">
        <f>((Table1[[#This Row],[launched_at]]/60)/60/24)+DATE(1970,1,1)</f>
        <v>42461.689745370371</v>
      </c>
      <c r="M3706">
        <f>MONTH(Table1[[#This Row],[Date Created Conversion]])</f>
        <v>4</v>
      </c>
      <c r="N3706">
        <f>YEAR(Table1[[#This Row],[Date Created Conversion]])</f>
        <v>2016</v>
      </c>
      <c r="O3706" t="b">
        <v>0</v>
      </c>
      <c r="P3706">
        <v>27</v>
      </c>
      <c r="Q3706" t="b">
        <v>1</v>
      </c>
      <c r="R3706" t="s">
        <v>8271</v>
      </c>
      <c r="S3706" s="6">
        <f>Table1[[#This Row],[pledged]]/Table1[[#This Row],[goal]]</f>
        <v>1.3633666666666666</v>
      </c>
      <c r="T3706" s="8">
        <f>IF(Table1[[#This Row],[pledged]]=0,"no backers",Table1[[#This Row],[pledged]]/Table1[[#This Row],[backers_count]])</f>
        <v>15.148518518518518</v>
      </c>
      <c r="U3706" t="str">
        <f>LEFT(Table1[[#This Row],[Category and Sub-Category]],FIND("/",Table1[[#This Row],[Category and Sub-Category]])-1)</f>
        <v>theater</v>
      </c>
      <c r="V3706" t="str">
        <f>RIGHT(Table1[[#This Row],[Category and Sub-Category]],LEN(Table1[[#This Row],[Category and Sub-Category]])-FIND("/",Table1[[#This Row],[Category and Sub-Category]]))</f>
        <v>plays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 s="12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>((Table1[[#This Row],[deadline]]/60)/60/24)+DATE(1970,1,1)</f>
        <v>41813.75</v>
      </c>
      <c r="K3707">
        <v>1401714114</v>
      </c>
      <c r="L3707" s="11">
        <f>((Table1[[#This Row],[launched_at]]/60)/60/24)+DATE(1970,1,1)</f>
        <v>41792.542986111112</v>
      </c>
      <c r="M3707">
        <f>MONTH(Table1[[#This Row],[Date Created Conversion]])</f>
        <v>6</v>
      </c>
      <c r="N3707">
        <f>YEAR(Table1[[#This Row],[Date Created Conversion]])</f>
        <v>2014</v>
      </c>
      <c r="O3707" t="b">
        <v>0</v>
      </c>
      <c r="P3707">
        <v>35</v>
      </c>
      <c r="Q3707" t="b">
        <v>1</v>
      </c>
      <c r="R3707" t="s">
        <v>8271</v>
      </c>
      <c r="S3707" s="6">
        <f>Table1[[#This Row],[pledged]]/Table1[[#This Row],[goal]]</f>
        <v>1.0346657233816767</v>
      </c>
      <c r="T3707" s="8">
        <f>IF(Table1[[#This Row],[pledged]]=0,"no backers",Table1[[#This Row],[pledged]]/Table1[[#This Row],[backers_count]])</f>
        <v>83.571428571428569</v>
      </c>
      <c r="U3707" t="str">
        <f>LEFT(Table1[[#This Row],[Category and Sub-Category]],FIND("/",Table1[[#This Row],[Category and Sub-Category]])-1)</f>
        <v>theater</v>
      </c>
      <c r="V3707" t="str">
        <f>RIGHT(Table1[[#This Row],[Category and Sub-Category]],LEN(Table1[[#This Row],[Category and Sub-Category]])-FIND("/",Table1[[#This Row],[Category and Sub-Category]]))</f>
        <v>plays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 s="12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>((Table1[[#This Row],[deadline]]/60)/60/24)+DATE(1970,1,1)</f>
        <v>41894.913761574076</v>
      </c>
      <c r="K3708">
        <v>1409262949</v>
      </c>
      <c r="L3708" s="11">
        <f>((Table1[[#This Row],[launched_at]]/60)/60/24)+DATE(1970,1,1)</f>
        <v>41879.913761574076</v>
      </c>
      <c r="M3708">
        <f>MONTH(Table1[[#This Row],[Date Created Conversion]])</f>
        <v>8</v>
      </c>
      <c r="N3708">
        <f>YEAR(Table1[[#This Row],[Date Created Conversion]])</f>
        <v>2014</v>
      </c>
      <c r="O3708" t="b">
        <v>0</v>
      </c>
      <c r="P3708">
        <v>13</v>
      </c>
      <c r="Q3708" t="b">
        <v>1</v>
      </c>
      <c r="R3708" t="s">
        <v>8271</v>
      </c>
      <c r="S3708" s="6">
        <f>Table1[[#This Row],[pledged]]/Table1[[#This Row],[goal]]</f>
        <v>1.2133333333333334</v>
      </c>
      <c r="T3708" s="8">
        <f>IF(Table1[[#This Row],[pledged]]=0,"no backers",Table1[[#This Row],[pledged]]/Table1[[#This Row],[backers_count]])</f>
        <v>140</v>
      </c>
      <c r="U3708" t="str">
        <f>LEFT(Table1[[#This Row],[Category and Sub-Category]],FIND("/",Table1[[#This Row],[Category and Sub-Category]])-1)</f>
        <v>theater</v>
      </c>
      <c r="V3708" t="str">
        <f>RIGHT(Table1[[#This Row],[Category and Sub-Category]],LEN(Table1[[#This Row],[Category and Sub-Category]])-FIND("/",Table1[[#This Row],[Category and Sub-Category]]))</f>
        <v>plays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 s="12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>((Table1[[#This Row],[deadline]]/60)/60/24)+DATE(1970,1,1)</f>
        <v>42573.226388888885</v>
      </c>
      <c r="K3709">
        <v>1467335378</v>
      </c>
      <c r="L3709" s="11">
        <f>((Table1[[#This Row],[launched_at]]/60)/60/24)+DATE(1970,1,1)</f>
        <v>42552.048356481479</v>
      </c>
      <c r="M3709">
        <f>MONTH(Table1[[#This Row],[Date Created Conversion]])</f>
        <v>7</v>
      </c>
      <c r="N3709">
        <f>YEAR(Table1[[#This Row],[Date Created Conversion]])</f>
        <v>2016</v>
      </c>
      <c r="O3709" t="b">
        <v>0</v>
      </c>
      <c r="P3709">
        <v>23</v>
      </c>
      <c r="Q3709" t="b">
        <v>1</v>
      </c>
      <c r="R3709" t="s">
        <v>8271</v>
      </c>
      <c r="S3709" s="6">
        <f>Table1[[#This Row],[pledged]]/Table1[[#This Row],[goal]]</f>
        <v>1.86</v>
      </c>
      <c r="T3709" s="8">
        <f>IF(Table1[[#This Row],[pledged]]=0,"no backers",Table1[[#This Row],[pledged]]/Table1[[#This Row],[backers_count]])</f>
        <v>80.869565217391298</v>
      </c>
      <c r="U3709" t="str">
        <f>LEFT(Table1[[#This Row],[Category and Sub-Category]],FIND("/",Table1[[#This Row],[Category and Sub-Category]])-1)</f>
        <v>theater</v>
      </c>
      <c r="V3709" t="str">
        <f>RIGHT(Table1[[#This Row],[Category and Sub-Category]],LEN(Table1[[#This Row],[Category and Sub-Category]])-FIND("/",Table1[[#This Row],[Category and Sub-Category]]))</f>
        <v>plays</v>
      </c>
    </row>
    <row r="3710" spans="1:22" ht="57.6" x14ac:dyDescent="0.3">
      <c r="A3710">
        <v>3708</v>
      </c>
      <c r="B3710" s="3" t="s">
        <v>3705</v>
      </c>
      <c r="C3710" s="3" t="s">
        <v>7818</v>
      </c>
      <c r="D3710" s="12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>((Table1[[#This Row],[deadline]]/60)/60/24)+DATE(1970,1,1)</f>
        <v>41824.142199074071</v>
      </c>
      <c r="K3710">
        <v>1403234686</v>
      </c>
      <c r="L3710" s="11">
        <f>((Table1[[#This Row],[launched_at]]/60)/60/24)+DATE(1970,1,1)</f>
        <v>41810.142199074071</v>
      </c>
      <c r="M3710">
        <f>MONTH(Table1[[#This Row],[Date Created Conversion]])</f>
        <v>6</v>
      </c>
      <c r="N3710">
        <f>YEAR(Table1[[#This Row],[Date Created Conversion]])</f>
        <v>2014</v>
      </c>
      <c r="O3710" t="b">
        <v>0</v>
      </c>
      <c r="P3710">
        <v>39</v>
      </c>
      <c r="Q3710" t="b">
        <v>1</v>
      </c>
      <c r="R3710" t="s">
        <v>8271</v>
      </c>
      <c r="S3710" s="6">
        <f>Table1[[#This Row],[pledged]]/Table1[[#This Row],[goal]]</f>
        <v>3</v>
      </c>
      <c r="T3710" s="8">
        <f>IF(Table1[[#This Row],[pledged]]=0,"no backers",Table1[[#This Row],[pledged]]/Table1[[#This Row],[backers_count]])</f>
        <v>53.846153846153847</v>
      </c>
      <c r="U3710" t="str">
        <f>LEFT(Table1[[#This Row],[Category and Sub-Category]],FIND("/",Table1[[#This Row],[Category and Sub-Category]])-1)</f>
        <v>theater</v>
      </c>
      <c r="V3710" t="str">
        <f>RIGHT(Table1[[#This Row],[Category and Sub-Category]],LEN(Table1[[#This Row],[Category and Sub-Category]])-FIND("/",Table1[[#This Row],[Category and Sub-Category]]))</f>
        <v>plays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 s="12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>((Table1[[#This Row],[deadline]]/60)/60/24)+DATE(1970,1,1)</f>
        <v>41815.707708333335</v>
      </c>
      <c r="K3711">
        <v>1401123546</v>
      </c>
      <c r="L3711" s="11">
        <f>((Table1[[#This Row],[launched_at]]/60)/60/24)+DATE(1970,1,1)</f>
        <v>41785.707708333335</v>
      </c>
      <c r="M3711">
        <f>MONTH(Table1[[#This Row],[Date Created Conversion]])</f>
        <v>5</v>
      </c>
      <c r="N3711">
        <f>YEAR(Table1[[#This Row],[Date Created Conversion]])</f>
        <v>2014</v>
      </c>
      <c r="O3711" t="b">
        <v>0</v>
      </c>
      <c r="P3711">
        <v>35</v>
      </c>
      <c r="Q3711" t="b">
        <v>1</v>
      </c>
      <c r="R3711" t="s">
        <v>8271</v>
      </c>
      <c r="S3711" s="6">
        <f>Table1[[#This Row],[pledged]]/Table1[[#This Row],[goal]]</f>
        <v>1.0825</v>
      </c>
      <c r="T3711" s="8">
        <f>IF(Table1[[#This Row],[pledged]]=0,"no backers",Table1[[#This Row],[pledged]]/Table1[[#This Row],[backers_count]])</f>
        <v>30.928571428571427</v>
      </c>
      <c r="U3711" t="str">
        <f>LEFT(Table1[[#This Row],[Category and Sub-Category]],FIND("/",Table1[[#This Row],[Category and Sub-Category]])-1)</f>
        <v>theater</v>
      </c>
      <c r="V3711" t="str">
        <f>RIGHT(Table1[[#This Row],[Category and Sub-Category]],LEN(Table1[[#This Row],[Category and Sub-Category]])-FIND("/",Table1[[#This Row],[Category and Sub-Category]]))</f>
        <v>plays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 s="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>((Table1[[#This Row],[deadline]]/60)/60/24)+DATE(1970,1,1)</f>
        <v>42097.576249999998</v>
      </c>
      <c r="K3712">
        <v>1425908988</v>
      </c>
      <c r="L3712" s="11">
        <f>((Table1[[#This Row],[launched_at]]/60)/60/24)+DATE(1970,1,1)</f>
        <v>42072.576249999998</v>
      </c>
      <c r="M3712">
        <f>MONTH(Table1[[#This Row],[Date Created Conversion]])</f>
        <v>3</v>
      </c>
      <c r="N3712">
        <f>YEAR(Table1[[#This Row],[Date Created Conversion]])</f>
        <v>2015</v>
      </c>
      <c r="O3712" t="b">
        <v>0</v>
      </c>
      <c r="P3712">
        <v>27</v>
      </c>
      <c r="Q3712" t="b">
        <v>1</v>
      </c>
      <c r="R3712" t="s">
        <v>8271</v>
      </c>
      <c r="S3712" s="6">
        <f>Table1[[#This Row],[pledged]]/Table1[[#This Row],[goal]]</f>
        <v>1.4115384615384616</v>
      </c>
      <c r="T3712" s="8">
        <f>IF(Table1[[#This Row],[pledged]]=0,"no backers",Table1[[#This Row],[pledged]]/Table1[[#This Row],[backers_count]])</f>
        <v>67.962962962962962</v>
      </c>
      <c r="U3712" t="str">
        <f>LEFT(Table1[[#This Row],[Category and Sub-Category]],FIND("/",Table1[[#This Row],[Category and Sub-Category]])-1)</f>
        <v>theater</v>
      </c>
      <c r="V3712" t="str">
        <f>RIGHT(Table1[[#This Row],[Category and Sub-Category]],LEN(Table1[[#This Row],[Category and Sub-Category]])-FIND("/",Table1[[#This Row],[Category and Sub-Category]]))</f>
        <v>plays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 s="12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>((Table1[[#This Row],[deadline]]/60)/60/24)+DATE(1970,1,1)</f>
        <v>41805.666666666664</v>
      </c>
      <c r="K3713">
        <v>1400606573</v>
      </c>
      <c r="L3713" s="11">
        <f>((Table1[[#This Row],[launched_at]]/60)/60/24)+DATE(1970,1,1)</f>
        <v>41779.724224537036</v>
      </c>
      <c r="M3713">
        <f>MONTH(Table1[[#This Row],[Date Created Conversion]])</f>
        <v>5</v>
      </c>
      <c r="N3713">
        <f>YEAR(Table1[[#This Row],[Date Created Conversion]])</f>
        <v>2014</v>
      </c>
      <c r="O3713" t="b">
        <v>0</v>
      </c>
      <c r="P3713">
        <v>21</v>
      </c>
      <c r="Q3713" t="b">
        <v>1</v>
      </c>
      <c r="R3713" t="s">
        <v>8271</v>
      </c>
      <c r="S3713" s="6">
        <f>Table1[[#This Row],[pledged]]/Table1[[#This Row],[goal]]</f>
        <v>1.1399999999999999</v>
      </c>
      <c r="T3713" s="8">
        <f>IF(Table1[[#This Row],[pledged]]=0,"no backers",Table1[[#This Row],[pledged]]/Table1[[#This Row],[backers_count]])</f>
        <v>27.142857142857142</v>
      </c>
      <c r="U3713" t="str">
        <f>LEFT(Table1[[#This Row],[Category and Sub-Category]],FIND("/",Table1[[#This Row],[Category and Sub-Category]])-1)</f>
        <v>theater</v>
      </c>
      <c r="V3713" t="str">
        <f>RIGHT(Table1[[#This Row],[Category and Sub-Category]],LEN(Table1[[#This Row],[Category and Sub-Category]])-FIND("/",Table1[[#This Row],[Category and Sub-Category]]))</f>
        <v>plays</v>
      </c>
    </row>
    <row r="3714" spans="1:22" ht="57.6" x14ac:dyDescent="0.3">
      <c r="A3714">
        <v>3712</v>
      </c>
      <c r="B3714" s="3" t="s">
        <v>3709</v>
      </c>
      <c r="C3714" s="3" t="s">
        <v>7822</v>
      </c>
      <c r="D3714" s="12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>((Table1[[#This Row],[deadline]]/60)/60/24)+DATE(1970,1,1)</f>
        <v>42155.290972222225</v>
      </c>
      <c r="K3714">
        <v>1431230867</v>
      </c>
      <c r="L3714" s="11">
        <f>((Table1[[#This Row],[launched_at]]/60)/60/24)+DATE(1970,1,1)</f>
        <v>42134.172071759262</v>
      </c>
      <c r="M3714">
        <f>MONTH(Table1[[#This Row],[Date Created Conversion]])</f>
        <v>5</v>
      </c>
      <c r="N3714">
        <f>YEAR(Table1[[#This Row],[Date Created Conversion]])</f>
        <v>2015</v>
      </c>
      <c r="O3714" t="b">
        <v>0</v>
      </c>
      <c r="P3714">
        <v>104</v>
      </c>
      <c r="Q3714" t="b">
        <v>1</v>
      </c>
      <c r="R3714" t="s">
        <v>8271</v>
      </c>
      <c r="S3714" s="6">
        <f>Table1[[#This Row],[pledged]]/Table1[[#This Row],[goal]]</f>
        <v>1.5373333333333334</v>
      </c>
      <c r="T3714" s="8">
        <f>IF(Table1[[#This Row],[pledged]]=0,"no backers",Table1[[#This Row],[pledged]]/Table1[[#This Row],[backers_count]])</f>
        <v>110.86538461538461</v>
      </c>
      <c r="U3714" t="str">
        <f>LEFT(Table1[[#This Row],[Category and Sub-Category]],FIND("/",Table1[[#This Row],[Category and Sub-Category]])-1)</f>
        <v>theater</v>
      </c>
      <c r="V3714" t="str">
        <f>RIGHT(Table1[[#This Row],[Category and Sub-Category]],LEN(Table1[[#This Row],[Category and Sub-Category]])-FIND("/",Table1[[#This Row],[Category and Sub-Category]]))</f>
        <v>plays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 s="12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>((Table1[[#This Row],[deadline]]/60)/60/24)+DATE(1970,1,1)</f>
        <v>42525.738032407404</v>
      </c>
      <c r="K3715">
        <v>1463334166</v>
      </c>
      <c r="L3715" s="11">
        <f>((Table1[[#This Row],[launched_at]]/60)/60/24)+DATE(1970,1,1)</f>
        <v>42505.738032407404</v>
      </c>
      <c r="M3715">
        <f>MONTH(Table1[[#This Row],[Date Created Conversion]])</f>
        <v>5</v>
      </c>
      <c r="N3715">
        <f>YEAR(Table1[[#This Row],[Date Created Conversion]])</f>
        <v>2016</v>
      </c>
      <c r="O3715" t="b">
        <v>0</v>
      </c>
      <c r="P3715">
        <v>19</v>
      </c>
      <c r="Q3715" t="b">
        <v>1</v>
      </c>
      <c r="R3715" t="s">
        <v>8271</v>
      </c>
      <c r="S3715" s="6">
        <f>Table1[[#This Row],[pledged]]/Table1[[#This Row],[goal]]</f>
        <v>1.0149999999999999</v>
      </c>
      <c r="T3715" s="8">
        <f>IF(Table1[[#This Row],[pledged]]=0,"no backers",Table1[[#This Row],[pledged]]/Table1[[#This Row],[backers_count]])</f>
        <v>106.84210526315789</v>
      </c>
      <c r="U3715" t="str">
        <f>LEFT(Table1[[#This Row],[Category and Sub-Category]],FIND("/",Table1[[#This Row],[Category and Sub-Category]])-1)</f>
        <v>theater</v>
      </c>
      <c r="V3715" t="str">
        <f>RIGHT(Table1[[#This Row],[Category and Sub-Category]],LEN(Table1[[#This Row],[Category and Sub-Category]])-FIND("/",Table1[[#This Row],[Category and Sub-Category]]))</f>
        <v>plays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 s="12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>((Table1[[#This Row],[deadline]]/60)/60/24)+DATE(1970,1,1)</f>
        <v>42150.165972222225</v>
      </c>
      <c r="K3716">
        <v>1429881667</v>
      </c>
      <c r="L3716" s="11">
        <f>((Table1[[#This Row],[launched_at]]/60)/60/24)+DATE(1970,1,1)</f>
        <v>42118.556331018524</v>
      </c>
      <c r="M3716">
        <f>MONTH(Table1[[#This Row],[Date Created Conversion]])</f>
        <v>4</v>
      </c>
      <c r="N3716">
        <f>YEAR(Table1[[#This Row],[Date Created Conversion]])</f>
        <v>2015</v>
      </c>
      <c r="O3716" t="b">
        <v>0</v>
      </c>
      <c r="P3716">
        <v>97</v>
      </c>
      <c r="Q3716" t="b">
        <v>1</v>
      </c>
      <c r="R3716" t="s">
        <v>8271</v>
      </c>
      <c r="S3716" s="6">
        <f>Table1[[#This Row],[pledged]]/Table1[[#This Row],[goal]]</f>
        <v>1.0235000000000001</v>
      </c>
      <c r="T3716" s="8">
        <f>IF(Table1[[#This Row],[pledged]]=0,"no backers",Table1[[#This Row],[pledged]]/Table1[[#This Row],[backers_count]])</f>
        <v>105.51546391752578</v>
      </c>
      <c r="U3716" t="str">
        <f>LEFT(Table1[[#This Row],[Category and Sub-Category]],FIND("/",Table1[[#This Row],[Category and Sub-Category]])-1)</f>
        <v>theater</v>
      </c>
      <c r="V3716" t="str">
        <f>RIGHT(Table1[[#This Row],[Category and Sub-Category]],LEN(Table1[[#This Row],[Category and Sub-Category]])-FIND("/",Table1[[#This Row],[Category and Sub-Category]]))</f>
        <v>plays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 s="12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>((Table1[[#This Row],[deadline]]/60)/60/24)+DATE(1970,1,1)</f>
        <v>42094.536111111112</v>
      </c>
      <c r="K3717">
        <v>1422834819</v>
      </c>
      <c r="L3717" s="11">
        <f>((Table1[[#This Row],[launched_at]]/60)/60/24)+DATE(1970,1,1)</f>
        <v>42036.995590277773</v>
      </c>
      <c r="M3717">
        <f>MONTH(Table1[[#This Row],[Date Created Conversion]])</f>
        <v>2</v>
      </c>
      <c r="N3717">
        <f>YEAR(Table1[[#This Row],[Date Created Conversion]])</f>
        <v>2015</v>
      </c>
      <c r="O3717" t="b">
        <v>0</v>
      </c>
      <c r="P3717">
        <v>27</v>
      </c>
      <c r="Q3717" t="b">
        <v>1</v>
      </c>
      <c r="R3717" t="s">
        <v>8271</v>
      </c>
      <c r="S3717" s="6">
        <f>Table1[[#This Row],[pledged]]/Table1[[#This Row],[goal]]</f>
        <v>1.0257142857142858</v>
      </c>
      <c r="T3717" s="8">
        <f>IF(Table1[[#This Row],[pledged]]=0,"no backers",Table1[[#This Row],[pledged]]/Table1[[#This Row],[backers_count]])</f>
        <v>132.96296296296296</v>
      </c>
      <c r="U3717" t="str">
        <f>LEFT(Table1[[#This Row],[Category and Sub-Category]],FIND("/",Table1[[#This Row],[Category and Sub-Category]])-1)</f>
        <v>theater</v>
      </c>
      <c r="V3717" t="str">
        <f>RIGHT(Table1[[#This Row],[Category and Sub-Category]],LEN(Table1[[#This Row],[Category and Sub-Category]])-FIND("/",Table1[[#This Row],[Category and Sub-Category]]))</f>
        <v>plays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 s="12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>((Table1[[#This Row],[deadline]]/60)/60/24)+DATE(1970,1,1)</f>
        <v>42390.887835648144</v>
      </c>
      <c r="K3718">
        <v>1450819109</v>
      </c>
      <c r="L3718" s="11">
        <f>((Table1[[#This Row],[launched_at]]/60)/60/24)+DATE(1970,1,1)</f>
        <v>42360.887835648144</v>
      </c>
      <c r="M3718">
        <f>MONTH(Table1[[#This Row],[Date Created Conversion]])</f>
        <v>12</v>
      </c>
      <c r="N3718">
        <f>YEAR(Table1[[#This Row],[Date Created Conversion]])</f>
        <v>2015</v>
      </c>
      <c r="O3718" t="b">
        <v>0</v>
      </c>
      <c r="P3718">
        <v>24</v>
      </c>
      <c r="Q3718" t="b">
        <v>1</v>
      </c>
      <c r="R3718" t="s">
        <v>8271</v>
      </c>
      <c r="S3718" s="6">
        <f>Table1[[#This Row],[pledged]]/Table1[[#This Row],[goal]]</f>
        <v>1.5575000000000001</v>
      </c>
      <c r="T3718" s="8">
        <f>IF(Table1[[#This Row],[pledged]]=0,"no backers",Table1[[#This Row],[pledged]]/Table1[[#This Row],[backers_count]])</f>
        <v>51.916666666666664</v>
      </c>
      <c r="U3718" t="str">
        <f>LEFT(Table1[[#This Row],[Category and Sub-Category]],FIND("/",Table1[[#This Row],[Category and Sub-Category]])-1)</f>
        <v>theater</v>
      </c>
      <c r="V3718" t="str">
        <f>RIGHT(Table1[[#This Row],[Category and Sub-Category]],LEN(Table1[[#This Row],[Category and Sub-Category]])-FIND("/",Table1[[#This Row],[Category and Sub-Category]]))</f>
        <v>plays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 s="12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>((Table1[[#This Row],[deadline]]/60)/60/24)+DATE(1970,1,1)</f>
        <v>42133.866307870368</v>
      </c>
      <c r="K3719">
        <v>1428526049</v>
      </c>
      <c r="L3719" s="11">
        <f>((Table1[[#This Row],[launched_at]]/60)/60/24)+DATE(1970,1,1)</f>
        <v>42102.866307870368</v>
      </c>
      <c r="M3719">
        <f>MONTH(Table1[[#This Row],[Date Created Conversion]])</f>
        <v>4</v>
      </c>
      <c r="N3719">
        <f>YEAR(Table1[[#This Row],[Date Created Conversion]])</f>
        <v>2015</v>
      </c>
      <c r="O3719" t="b">
        <v>0</v>
      </c>
      <c r="P3719">
        <v>13</v>
      </c>
      <c r="Q3719" t="b">
        <v>1</v>
      </c>
      <c r="R3719" t="s">
        <v>8271</v>
      </c>
      <c r="S3719" s="6">
        <f>Table1[[#This Row],[pledged]]/Table1[[#This Row],[goal]]</f>
        <v>1.0075000000000001</v>
      </c>
      <c r="T3719" s="8">
        <f>IF(Table1[[#This Row],[pledged]]=0,"no backers",Table1[[#This Row],[pledged]]/Table1[[#This Row],[backers_count]])</f>
        <v>310</v>
      </c>
      <c r="U3719" t="str">
        <f>LEFT(Table1[[#This Row],[Category and Sub-Category]],FIND("/",Table1[[#This Row],[Category and Sub-Category]])-1)</f>
        <v>theater</v>
      </c>
      <c r="V3719" t="str">
        <f>RIGHT(Table1[[#This Row],[Category and Sub-Category]],LEN(Table1[[#This Row],[Category and Sub-Category]])-FIND("/",Table1[[#This Row],[Category and Sub-Category]]))</f>
        <v>plays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 s="12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>((Table1[[#This Row],[deadline]]/60)/60/24)+DATE(1970,1,1)</f>
        <v>42062.716145833328</v>
      </c>
      <c r="K3720">
        <v>1422465075</v>
      </c>
      <c r="L3720" s="11">
        <f>((Table1[[#This Row],[launched_at]]/60)/60/24)+DATE(1970,1,1)</f>
        <v>42032.716145833328</v>
      </c>
      <c r="M3720">
        <f>MONTH(Table1[[#This Row],[Date Created Conversion]])</f>
        <v>1</v>
      </c>
      <c r="N3720">
        <f>YEAR(Table1[[#This Row],[Date Created Conversion]])</f>
        <v>2015</v>
      </c>
      <c r="O3720" t="b">
        <v>0</v>
      </c>
      <c r="P3720">
        <v>46</v>
      </c>
      <c r="Q3720" t="b">
        <v>1</v>
      </c>
      <c r="R3720" t="s">
        <v>8271</v>
      </c>
      <c r="S3720" s="6">
        <f>Table1[[#This Row],[pledged]]/Table1[[#This Row],[goal]]</f>
        <v>2.3940000000000001</v>
      </c>
      <c r="T3720" s="8">
        <f>IF(Table1[[#This Row],[pledged]]=0,"no backers",Table1[[#This Row],[pledged]]/Table1[[#This Row],[backers_count]])</f>
        <v>26.021739130434781</v>
      </c>
      <c r="U3720" t="str">
        <f>LEFT(Table1[[#This Row],[Category and Sub-Category]],FIND("/",Table1[[#This Row],[Category and Sub-Category]])-1)</f>
        <v>theater</v>
      </c>
      <c r="V3720" t="str">
        <f>RIGHT(Table1[[#This Row],[Category and Sub-Category]],LEN(Table1[[#This Row],[Category and Sub-Category]])-FIND("/",Table1[[#This Row],[Category and Sub-Category]]))</f>
        <v>plays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 s="12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>((Table1[[#This Row],[deadline]]/60)/60/24)+DATE(1970,1,1)</f>
        <v>42177.729930555557</v>
      </c>
      <c r="K3721">
        <v>1432402266</v>
      </c>
      <c r="L3721" s="11">
        <f>((Table1[[#This Row],[launched_at]]/60)/60/24)+DATE(1970,1,1)</f>
        <v>42147.729930555557</v>
      </c>
      <c r="M3721">
        <f>MONTH(Table1[[#This Row],[Date Created Conversion]])</f>
        <v>5</v>
      </c>
      <c r="N3721">
        <f>YEAR(Table1[[#This Row],[Date Created Conversion]])</f>
        <v>2015</v>
      </c>
      <c r="O3721" t="b">
        <v>0</v>
      </c>
      <c r="P3721">
        <v>4</v>
      </c>
      <c r="Q3721" t="b">
        <v>1</v>
      </c>
      <c r="R3721" t="s">
        <v>8271</v>
      </c>
      <c r="S3721" s="6">
        <f>Table1[[#This Row],[pledged]]/Table1[[#This Row],[goal]]</f>
        <v>2.1</v>
      </c>
      <c r="T3721" s="8">
        <f>IF(Table1[[#This Row],[pledged]]=0,"no backers",Table1[[#This Row],[pledged]]/Table1[[#This Row],[backers_count]])</f>
        <v>105</v>
      </c>
      <c r="U3721" t="str">
        <f>LEFT(Table1[[#This Row],[Category and Sub-Category]],FIND("/",Table1[[#This Row],[Category and Sub-Category]])-1)</f>
        <v>theater</v>
      </c>
      <c r="V3721" t="str">
        <f>RIGHT(Table1[[#This Row],[Category and Sub-Category]],LEN(Table1[[#This Row],[Category and Sub-Category]])-FIND("/",Table1[[#This Row],[Category and Sub-Category]]))</f>
        <v>plays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 s="1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>((Table1[[#This Row],[deadline]]/60)/60/24)+DATE(1970,1,1)</f>
        <v>42187.993125000001</v>
      </c>
      <c r="K3722">
        <v>1433980206</v>
      </c>
      <c r="L3722" s="11">
        <f>((Table1[[#This Row],[launched_at]]/60)/60/24)+DATE(1970,1,1)</f>
        <v>42165.993125000001</v>
      </c>
      <c r="M3722">
        <f>MONTH(Table1[[#This Row],[Date Created Conversion]])</f>
        <v>6</v>
      </c>
      <c r="N3722">
        <f>YEAR(Table1[[#This Row],[Date Created Conversion]])</f>
        <v>2015</v>
      </c>
      <c r="O3722" t="b">
        <v>0</v>
      </c>
      <c r="P3722">
        <v>40</v>
      </c>
      <c r="Q3722" t="b">
        <v>1</v>
      </c>
      <c r="R3722" t="s">
        <v>8271</v>
      </c>
      <c r="S3722" s="6">
        <f>Table1[[#This Row],[pledged]]/Table1[[#This Row],[goal]]</f>
        <v>1.0451515151515152</v>
      </c>
      <c r="T3722" s="8">
        <f>IF(Table1[[#This Row],[pledged]]=0,"no backers",Table1[[#This Row],[pledged]]/Table1[[#This Row],[backers_count]])</f>
        <v>86.224999999999994</v>
      </c>
      <c r="U3722" t="str">
        <f>LEFT(Table1[[#This Row],[Category and Sub-Category]],FIND("/",Table1[[#This Row],[Category and Sub-Category]])-1)</f>
        <v>theater</v>
      </c>
      <c r="V3722" t="str">
        <f>RIGHT(Table1[[#This Row],[Category and Sub-Category]],LEN(Table1[[#This Row],[Category and Sub-Category]])-FIND("/",Table1[[#This Row],[Category and Sub-Category]]))</f>
        <v>plays</v>
      </c>
    </row>
    <row r="3723" spans="1:22" ht="57.6" x14ac:dyDescent="0.3">
      <c r="A3723">
        <v>3721</v>
      </c>
      <c r="B3723" s="3" t="s">
        <v>3718</v>
      </c>
      <c r="C3723" s="3" t="s">
        <v>7831</v>
      </c>
      <c r="D3723" s="12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>((Table1[[#This Row],[deadline]]/60)/60/24)+DATE(1970,1,1)</f>
        <v>41948.977824074071</v>
      </c>
      <c r="K3723">
        <v>1413412084</v>
      </c>
      <c r="L3723" s="11">
        <f>((Table1[[#This Row],[launched_at]]/60)/60/24)+DATE(1970,1,1)</f>
        <v>41927.936157407406</v>
      </c>
      <c r="M3723">
        <f>MONTH(Table1[[#This Row],[Date Created Conversion]])</f>
        <v>10</v>
      </c>
      <c r="N3723">
        <f>YEAR(Table1[[#This Row],[Date Created Conversion]])</f>
        <v>2014</v>
      </c>
      <c r="O3723" t="b">
        <v>0</v>
      </c>
      <c r="P3723">
        <v>44</v>
      </c>
      <c r="Q3723" t="b">
        <v>1</v>
      </c>
      <c r="R3723" t="s">
        <v>8271</v>
      </c>
      <c r="S3723" s="6">
        <f>Table1[[#This Row],[pledged]]/Table1[[#This Row],[goal]]</f>
        <v>1.008</v>
      </c>
      <c r="T3723" s="8">
        <f>IF(Table1[[#This Row],[pledged]]=0,"no backers",Table1[[#This Row],[pledged]]/Table1[[#This Row],[backers_count]])</f>
        <v>114.54545454545455</v>
      </c>
      <c r="U3723" t="str">
        <f>LEFT(Table1[[#This Row],[Category and Sub-Category]],FIND("/",Table1[[#This Row],[Category and Sub-Category]])-1)</f>
        <v>theater</v>
      </c>
      <c r="V3723" t="str">
        <f>RIGHT(Table1[[#This Row],[Category and Sub-Category]],LEN(Table1[[#This Row],[Category and Sub-Category]])-FIND("/",Table1[[#This Row],[Category and Sub-Category]]))</f>
        <v>plays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 s="12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>((Table1[[#This Row],[deadline]]/60)/60/24)+DATE(1970,1,1)</f>
        <v>42411.957638888889</v>
      </c>
      <c r="K3724">
        <v>1452614847</v>
      </c>
      <c r="L3724" s="11">
        <f>((Table1[[#This Row],[launched_at]]/60)/60/24)+DATE(1970,1,1)</f>
        <v>42381.671840277777</v>
      </c>
      <c r="M3724">
        <f>MONTH(Table1[[#This Row],[Date Created Conversion]])</f>
        <v>1</v>
      </c>
      <c r="N3724">
        <f>YEAR(Table1[[#This Row],[Date Created Conversion]])</f>
        <v>2016</v>
      </c>
      <c r="O3724" t="b">
        <v>0</v>
      </c>
      <c r="P3724">
        <v>35</v>
      </c>
      <c r="Q3724" t="b">
        <v>1</v>
      </c>
      <c r="R3724" t="s">
        <v>8271</v>
      </c>
      <c r="S3724" s="6">
        <f>Table1[[#This Row],[pledged]]/Table1[[#This Row],[goal]]</f>
        <v>1.1120000000000001</v>
      </c>
      <c r="T3724" s="8">
        <f>IF(Table1[[#This Row],[pledged]]=0,"no backers",Table1[[#This Row],[pledged]]/Table1[[#This Row],[backers_count]])</f>
        <v>47.657142857142858</v>
      </c>
      <c r="U3724" t="str">
        <f>LEFT(Table1[[#This Row],[Category and Sub-Category]],FIND("/",Table1[[#This Row],[Category and Sub-Category]])-1)</f>
        <v>theater</v>
      </c>
      <c r="V3724" t="str">
        <f>RIGHT(Table1[[#This Row],[Category and Sub-Category]],LEN(Table1[[#This Row],[Category and Sub-Category]])-FIND("/",Table1[[#This Row],[Category and Sub-Category]]))</f>
        <v>plays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 s="12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>((Table1[[#This Row],[deadline]]/60)/60/24)+DATE(1970,1,1)</f>
        <v>41973.794699074075</v>
      </c>
      <c r="K3725">
        <v>1414778662</v>
      </c>
      <c r="L3725" s="11">
        <f>((Table1[[#This Row],[launched_at]]/60)/60/24)+DATE(1970,1,1)</f>
        <v>41943.753032407411</v>
      </c>
      <c r="M3725">
        <f>MONTH(Table1[[#This Row],[Date Created Conversion]])</f>
        <v>10</v>
      </c>
      <c r="N3725">
        <f>YEAR(Table1[[#This Row],[Date Created Conversion]])</f>
        <v>2014</v>
      </c>
      <c r="O3725" t="b">
        <v>0</v>
      </c>
      <c r="P3725">
        <v>63</v>
      </c>
      <c r="Q3725" t="b">
        <v>1</v>
      </c>
      <c r="R3725" t="s">
        <v>8271</v>
      </c>
      <c r="S3725" s="6">
        <f>Table1[[#This Row],[pledged]]/Table1[[#This Row],[goal]]</f>
        <v>1.0204444444444445</v>
      </c>
      <c r="T3725" s="8">
        <f>IF(Table1[[#This Row],[pledged]]=0,"no backers",Table1[[#This Row],[pledged]]/Table1[[#This Row],[backers_count]])</f>
        <v>72.888888888888886</v>
      </c>
      <c r="U3725" t="str">
        <f>LEFT(Table1[[#This Row],[Category and Sub-Category]],FIND("/",Table1[[#This Row],[Category and Sub-Category]])-1)</f>
        <v>theater</v>
      </c>
      <c r="V3725" t="str">
        <f>RIGHT(Table1[[#This Row],[Category and Sub-Category]],LEN(Table1[[#This Row],[Category and Sub-Category]])-FIND("/",Table1[[#This Row],[Category and Sub-Category]]))</f>
        <v>plays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 s="12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>((Table1[[#This Row],[deadline]]/60)/60/24)+DATE(1970,1,1)</f>
        <v>42494.958333333328</v>
      </c>
      <c r="K3726">
        <v>1459856860</v>
      </c>
      <c r="L3726" s="11">
        <f>((Table1[[#This Row],[launched_at]]/60)/60/24)+DATE(1970,1,1)</f>
        <v>42465.491435185191</v>
      </c>
      <c r="M3726">
        <f>MONTH(Table1[[#This Row],[Date Created Conversion]])</f>
        <v>4</v>
      </c>
      <c r="N3726">
        <f>YEAR(Table1[[#This Row],[Date Created Conversion]])</f>
        <v>2016</v>
      </c>
      <c r="O3726" t="b">
        <v>0</v>
      </c>
      <c r="P3726">
        <v>89</v>
      </c>
      <c r="Q3726" t="b">
        <v>1</v>
      </c>
      <c r="R3726" t="s">
        <v>8271</v>
      </c>
      <c r="S3726" s="6">
        <f>Table1[[#This Row],[pledged]]/Table1[[#This Row],[goal]]</f>
        <v>1.0254767441860466</v>
      </c>
      <c r="T3726" s="8">
        <f>IF(Table1[[#This Row],[pledged]]=0,"no backers",Table1[[#This Row],[pledged]]/Table1[[#This Row],[backers_count]])</f>
        <v>49.545505617977533</v>
      </c>
      <c r="U3726" t="str">
        <f>LEFT(Table1[[#This Row],[Category and Sub-Category]],FIND("/",Table1[[#This Row],[Category and Sub-Category]])-1)</f>
        <v>theater</v>
      </c>
      <c r="V3726" t="str">
        <f>RIGHT(Table1[[#This Row],[Category and Sub-Category]],LEN(Table1[[#This Row],[Category and Sub-Category]])-FIND("/",Table1[[#This Row],[Category and Sub-Category]]))</f>
        <v>plays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 s="12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>((Table1[[#This Row],[deadline]]/60)/60/24)+DATE(1970,1,1)</f>
        <v>42418.895833333328</v>
      </c>
      <c r="K3727">
        <v>1454366467</v>
      </c>
      <c r="L3727" s="11">
        <f>((Table1[[#This Row],[launched_at]]/60)/60/24)+DATE(1970,1,1)</f>
        <v>42401.945219907408</v>
      </c>
      <c r="M3727">
        <f>MONTH(Table1[[#This Row],[Date Created Conversion]])</f>
        <v>2</v>
      </c>
      <c r="N3727">
        <f>YEAR(Table1[[#This Row],[Date Created Conversion]])</f>
        <v>2016</v>
      </c>
      <c r="O3727" t="b">
        <v>0</v>
      </c>
      <c r="P3727">
        <v>15</v>
      </c>
      <c r="Q3727" t="b">
        <v>1</v>
      </c>
      <c r="R3727" t="s">
        <v>8271</v>
      </c>
      <c r="S3727" s="6">
        <f>Table1[[#This Row],[pledged]]/Table1[[#This Row],[goal]]</f>
        <v>1.27</v>
      </c>
      <c r="T3727" s="8">
        <f>IF(Table1[[#This Row],[pledged]]=0,"no backers",Table1[[#This Row],[pledged]]/Table1[[#This Row],[backers_count]])</f>
        <v>25.4</v>
      </c>
      <c r="U3727" t="str">
        <f>LEFT(Table1[[#This Row],[Category and Sub-Category]],FIND("/",Table1[[#This Row],[Category and Sub-Category]])-1)</f>
        <v>theater</v>
      </c>
      <c r="V3727" t="str">
        <f>RIGHT(Table1[[#This Row],[Category and Sub-Category]],LEN(Table1[[#This Row],[Category and Sub-Category]])-FIND("/",Table1[[#This Row],[Category and Sub-Category]]))</f>
        <v>plays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 s="12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>((Table1[[#This Row],[deadline]]/60)/60/24)+DATE(1970,1,1)</f>
        <v>42489.875</v>
      </c>
      <c r="K3728">
        <v>1459567371</v>
      </c>
      <c r="L3728" s="11">
        <f>((Table1[[#This Row],[launched_at]]/60)/60/24)+DATE(1970,1,1)</f>
        <v>42462.140868055561</v>
      </c>
      <c r="M3728">
        <f>MONTH(Table1[[#This Row],[Date Created Conversion]])</f>
        <v>4</v>
      </c>
      <c r="N3728">
        <f>YEAR(Table1[[#This Row],[Date Created Conversion]])</f>
        <v>2016</v>
      </c>
      <c r="O3728" t="b">
        <v>0</v>
      </c>
      <c r="P3728">
        <v>46</v>
      </c>
      <c r="Q3728" t="b">
        <v>1</v>
      </c>
      <c r="R3728" t="s">
        <v>8271</v>
      </c>
      <c r="S3728" s="6">
        <f>Table1[[#This Row],[pledged]]/Table1[[#This Row],[goal]]</f>
        <v>3.3870588235294119</v>
      </c>
      <c r="T3728" s="8">
        <f>IF(Table1[[#This Row],[pledged]]=0,"no backers",Table1[[#This Row],[pledged]]/Table1[[#This Row],[backers_count]])</f>
        <v>62.586956521739133</v>
      </c>
      <c r="U3728" t="str">
        <f>LEFT(Table1[[#This Row],[Category and Sub-Category]],FIND("/",Table1[[#This Row],[Category and Sub-Category]])-1)</f>
        <v>theater</v>
      </c>
      <c r="V3728" t="str">
        <f>RIGHT(Table1[[#This Row],[Category and Sub-Category]],LEN(Table1[[#This Row],[Category and Sub-Category]])-FIND("/",Table1[[#This Row],[Category and Sub-Category]]))</f>
        <v>plays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 s="12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>((Table1[[#This Row],[deadline]]/60)/60/24)+DATE(1970,1,1)</f>
        <v>42663.204861111109</v>
      </c>
      <c r="K3729">
        <v>1474273294</v>
      </c>
      <c r="L3729" s="11">
        <f>((Table1[[#This Row],[launched_at]]/60)/60/24)+DATE(1970,1,1)</f>
        <v>42632.348310185189</v>
      </c>
      <c r="M3729">
        <f>MONTH(Table1[[#This Row],[Date Created Conversion]])</f>
        <v>9</v>
      </c>
      <c r="N3729">
        <f>YEAR(Table1[[#This Row],[Date Created Conversion]])</f>
        <v>2016</v>
      </c>
      <c r="O3729" t="b">
        <v>0</v>
      </c>
      <c r="P3729">
        <v>33</v>
      </c>
      <c r="Q3729" t="b">
        <v>1</v>
      </c>
      <c r="R3729" t="s">
        <v>8271</v>
      </c>
      <c r="S3729" s="6">
        <f>Table1[[#This Row],[pledged]]/Table1[[#This Row],[goal]]</f>
        <v>1.0075000000000001</v>
      </c>
      <c r="T3729" s="8">
        <f>IF(Table1[[#This Row],[pledged]]=0,"no backers",Table1[[#This Row],[pledged]]/Table1[[#This Row],[backers_count]])</f>
        <v>61.060606060606062</v>
      </c>
      <c r="U3729" t="str">
        <f>LEFT(Table1[[#This Row],[Category and Sub-Category]],FIND("/",Table1[[#This Row],[Category and Sub-Category]])-1)</f>
        <v>theater</v>
      </c>
      <c r="V3729" t="str">
        <f>RIGHT(Table1[[#This Row],[Category and Sub-Category]],LEN(Table1[[#This Row],[Category and Sub-Category]])-FIND("/",Table1[[#This Row],[Category and Sub-Category]]))</f>
        <v>plays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 s="12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>((Table1[[#This Row],[deadline]]/60)/60/24)+DATE(1970,1,1)</f>
        <v>42235.171018518522</v>
      </c>
      <c r="K3730">
        <v>1437365176</v>
      </c>
      <c r="L3730" s="11">
        <f>((Table1[[#This Row],[launched_at]]/60)/60/24)+DATE(1970,1,1)</f>
        <v>42205.171018518522</v>
      </c>
      <c r="M3730">
        <f>MONTH(Table1[[#This Row],[Date Created Conversion]])</f>
        <v>7</v>
      </c>
      <c r="N3730">
        <f>YEAR(Table1[[#This Row],[Date Created Conversion]])</f>
        <v>2015</v>
      </c>
      <c r="O3730" t="b">
        <v>0</v>
      </c>
      <c r="P3730">
        <v>31</v>
      </c>
      <c r="Q3730" t="b">
        <v>0</v>
      </c>
      <c r="R3730" t="s">
        <v>8271</v>
      </c>
      <c r="S3730" s="6">
        <f>Table1[[#This Row],[pledged]]/Table1[[#This Row],[goal]]</f>
        <v>9.3100000000000002E-2</v>
      </c>
      <c r="T3730" s="8">
        <f>IF(Table1[[#This Row],[pledged]]=0,"no backers",Table1[[#This Row],[pledged]]/Table1[[#This Row],[backers_count]])</f>
        <v>60.064516129032256</v>
      </c>
      <c r="U3730" t="str">
        <f>LEFT(Table1[[#This Row],[Category and Sub-Category]],FIND("/",Table1[[#This Row],[Category and Sub-Category]])-1)</f>
        <v>theater</v>
      </c>
      <c r="V3730" t="str">
        <f>RIGHT(Table1[[#This Row],[Category and Sub-Category]],LEN(Table1[[#This Row],[Category and Sub-Category]])-FIND("/",Table1[[#This Row],[Category and Sub-Category]]))</f>
        <v>plays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 s="12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>((Table1[[#This Row],[deadline]]/60)/60/24)+DATE(1970,1,1)</f>
        <v>42086.16333333333</v>
      </c>
      <c r="K3731">
        <v>1423198512</v>
      </c>
      <c r="L3731" s="11">
        <f>((Table1[[#This Row],[launched_at]]/60)/60/24)+DATE(1970,1,1)</f>
        <v>42041.205000000002</v>
      </c>
      <c r="M3731">
        <f>MONTH(Table1[[#This Row],[Date Created Conversion]])</f>
        <v>2</v>
      </c>
      <c r="N3731">
        <f>YEAR(Table1[[#This Row],[Date Created Conversion]])</f>
        <v>2015</v>
      </c>
      <c r="O3731" t="b">
        <v>0</v>
      </c>
      <c r="P3731">
        <v>5</v>
      </c>
      <c r="Q3731" t="b">
        <v>0</v>
      </c>
      <c r="R3731" t="s">
        <v>8271</v>
      </c>
      <c r="S3731" s="6">
        <f>Table1[[#This Row],[pledged]]/Table1[[#This Row],[goal]]</f>
        <v>7.2400000000000006E-2</v>
      </c>
      <c r="T3731" s="8">
        <f>IF(Table1[[#This Row],[pledged]]=0,"no backers",Table1[[#This Row],[pledged]]/Table1[[#This Row],[backers_count]])</f>
        <v>72.400000000000006</v>
      </c>
      <c r="U3731" t="str">
        <f>LEFT(Table1[[#This Row],[Category and Sub-Category]],FIND("/",Table1[[#This Row],[Category and Sub-Category]])-1)</f>
        <v>theater</v>
      </c>
      <c r="V3731" t="str">
        <f>RIGHT(Table1[[#This Row],[Category and Sub-Category]],LEN(Table1[[#This Row],[Category and Sub-Category]])-FIND("/",Table1[[#This Row],[Category and Sub-Category]]))</f>
        <v>plays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 s="1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>((Table1[[#This Row],[deadline]]/60)/60/24)+DATE(1970,1,1)</f>
        <v>42233.677766203706</v>
      </c>
      <c r="K3732">
        <v>1437236159</v>
      </c>
      <c r="L3732" s="11">
        <f>((Table1[[#This Row],[launched_at]]/60)/60/24)+DATE(1970,1,1)</f>
        <v>42203.677766203706</v>
      </c>
      <c r="M3732">
        <f>MONTH(Table1[[#This Row],[Date Created Conversion]])</f>
        <v>7</v>
      </c>
      <c r="N3732">
        <f>YEAR(Table1[[#This Row],[Date Created Conversion]])</f>
        <v>2015</v>
      </c>
      <c r="O3732" t="b">
        <v>0</v>
      </c>
      <c r="P3732">
        <v>1</v>
      </c>
      <c r="Q3732" t="b">
        <v>0</v>
      </c>
      <c r="R3732" t="s">
        <v>8271</v>
      </c>
      <c r="S3732" s="6">
        <f>Table1[[#This Row],[pledged]]/Table1[[#This Row],[goal]]</f>
        <v>0.1</v>
      </c>
      <c r="T3732" s="8">
        <f>IF(Table1[[#This Row],[pledged]]=0,"no backers",Table1[[#This Row],[pledged]]/Table1[[#This Row],[backers_count]])</f>
        <v>100</v>
      </c>
      <c r="U3732" t="str">
        <f>LEFT(Table1[[#This Row],[Category and Sub-Category]],FIND("/",Table1[[#This Row],[Category and Sub-Category]])-1)</f>
        <v>theater</v>
      </c>
      <c r="V3732" t="str">
        <f>RIGHT(Table1[[#This Row],[Category and Sub-Category]],LEN(Table1[[#This Row],[Category and Sub-Category]])-FIND("/",Table1[[#This Row],[Category and Sub-Category]]))</f>
        <v>plays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 s="12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>((Table1[[#This Row],[deadline]]/60)/60/24)+DATE(1970,1,1)</f>
        <v>42014.140972222223</v>
      </c>
      <c r="K3733">
        <v>1418234646</v>
      </c>
      <c r="L3733" s="11">
        <f>((Table1[[#This Row],[launched_at]]/60)/60/24)+DATE(1970,1,1)</f>
        <v>41983.752847222218</v>
      </c>
      <c r="M3733">
        <f>MONTH(Table1[[#This Row],[Date Created Conversion]])</f>
        <v>12</v>
      </c>
      <c r="N3733">
        <f>YEAR(Table1[[#This Row],[Date Created Conversion]])</f>
        <v>2014</v>
      </c>
      <c r="O3733" t="b">
        <v>0</v>
      </c>
      <c r="P3733">
        <v>12</v>
      </c>
      <c r="Q3733" t="b">
        <v>0</v>
      </c>
      <c r="R3733" t="s">
        <v>8271</v>
      </c>
      <c r="S3733" s="6">
        <f>Table1[[#This Row],[pledged]]/Table1[[#This Row],[goal]]</f>
        <v>0.11272727272727273</v>
      </c>
      <c r="T3733" s="8">
        <f>IF(Table1[[#This Row],[pledged]]=0,"no backers",Table1[[#This Row],[pledged]]/Table1[[#This Row],[backers_count]])</f>
        <v>51.666666666666664</v>
      </c>
      <c r="U3733" t="str">
        <f>LEFT(Table1[[#This Row],[Category and Sub-Category]],FIND("/",Table1[[#This Row],[Category and Sub-Category]])-1)</f>
        <v>theater</v>
      </c>
      <c r="V3733" t="str">
        <f>RIGHT(Table1[[#This Row],[Category and Sub-Category]],LEN(Table1[[#This Row],[Category and Sub-Category]])-FIND("/",Table1[[#This Row],[Category and Sub-Category]]))</f>
        <v>plays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 s="12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>((Table1[[#This Row],[deadline]]/60)/60/24)+DATE(1970,1,1)</f>
        <v>42028.5</v>
      </c>
      <c r="K3734">
        <v>1416932133</v>
      </c>
      <c r="L3734" s="11">
        <f>((Table1[[#This Row],[launched_at]]/60)/60/24)+DATE(1970,1,1)</f>
        <v>41968.677465277782</v>
      </c>
      <c r="M3734">
        <f>MONTH(Table1[[#This Row],[Date Created Conversion]])</f>
        <v>11</v>
      </c>
      <c r="N3734">
        <f>YEAR(Table1[[#This Row],[Date Created Conversion]])</f>
        <v>2014</v>
      </c>
      <c r="O3734" t="b">
        <v>0</v>
      </c>
      <c r="P3734">
        <v>4</v>
      </c>
      <c r="Q3734" t="b">
        <v>0</v>
      </c>
      <c r="R3734" t="s">
        <v>8271</v>
      </c>
      <c r="S3734" s="6">
        <f>Table1[[#This Row],[pledged]]/Table1[[#This Row],[goal]]</f>
        <v>0.15411764705882353</v>
      </c>
      <c r="T3734" s="8">
        <f>IF(Table1[[#This Row],[pledged]]=0,"no backers",Table1[[#This Row],[pledged]]/Table1[[#This Row],[backers_count]])</f>
        <v>32.75</v>
      </c>
      <c r="U3734" t="str">
        <f>LEFT(Table1[[#This Row],[Category and Sub-Category]],FIND("/",Table1[[#This Row],[Category and Sub-Category]])-1)</f>
        <v>theater</v>
      </c>
      <c r="V3734" t="str">
        <f>RIGHT(Table1[[#This Row],[Category and Sub-Category]],LEN(Table1[[#This Row],[Category and Sub-Category]])-FIND("/",Table1[[#This Row],[Category and Sub-Category]]))</f>
        <v>plays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 s="12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>((Table1[[#This Row],[deadline]]/60)/60/24)+DATE(1970,1,1)</f>
        <v>42112.9375</v>
      </c>
      <c r="K3735">
        <v>1428539708</v>
      </c>
      <c r="L3735" s="11">
        <f>((Table1[[#This Row],[launched_at]]/60)/60/24)+DATE(1970,1,1)</f>
        <v>42103.024398148147</v>
      </c>
      <c r="M3735">
        <f>MONTH(Table1[[#This Row],[Date Created Conversion]])</f>
        <v>4</v>
      </c>
      <c r="N3735">
        <f>YEAR(Table1[[#This Row],[Date Created Conversion]])</f>
        <v>2015</v>
      </c>
      <c r="O3735" t="b">
        <v>0</v>
      </c>
      <c r="P3735">
        <v>0</v>
      </c>
      <c r="Q3735" t="b">
        <v>0</v>
      </c>
      <c r="R3735" t="s">
        <v>8271</v>
      </c>
      <c r="S3735" s="6">
        <f>Table1[[#This Row],[pledged]]/Table1[[#This Row],[goal]]</f>
        <v>0</v>
      </c>
      <c r="T3735" s="8" t="str">
        <f>IF(Table1[[#This Row],[pledged]]=0,"no backers",Table1[[#This Row],[pledged]]/Table1[[#This Row],[backers_count]])</f>
        <v>no backers</v>
      </c>
      <c r="U3735" t="str">
        <f>LEFT(Table1[[#This Row],[Category and Sub-Category]],FIND("/",Table1[[#This Row],[Category and Sub-Category]])-1)</f>
        <v>theater</v>
      </c>
      <c r="V3735" t="str">
        <f>RIGHT(Table1[[#This Row],[Category and Sub-Category]],LEN(Table1[[#This Row],[Category and Sub-Category]])-FIND("/",Table1[[#This Row],[Category and Sub-Category]]))</f>
        <v>plays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 s="12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>((Table1[[#This Row],[deadline]]/60)/60/24)+DATE(1970,1,1)</f>
        <v>42149.901574074072</v>
      </c>
      <c r="K3736">
        <v>1427405896</v>
      </c>
      <c r="L3736" s="11">
        <f>((Table1[[#This Row],[launched_at]]/60)/60/24)+DATE(1970,1,1)</f>
        <v>42089.901574074072</v>
      </c>
      <c r="M3736">
        <f>MONTH(Table1[[#This Row],[Date Created Conversion]])</f>
        <v>3</v>
      </c>
      <c r="N3736">
        <f>YEAR(Table1[[#This Row],[Date Created Conversion]])</f>
        <v>2015</v>
      </c>
      <c r="O3736" t="b">
        <v>0</v>
      </c>
      <c r="P3736">
        <v>7</v>
      </c>
      <c r="Q3736" t="b">
        <v>0</v>
      </c>
      <c r="R3736" t="s">
        <v>8271</v>
      </c>
      <c r="S3736" s="6">
        <f>Table1[[#This Row],[pledged]]/Table1[[#This Row],[goal]]</f>
        <v>0.28466666666666668</v>
      </c>
      <c r="T3736" s="8">
        <f>IF(Table1[[#This Row],[pledged]]=0,"no backers",Table1[[#This Row],[pledged]]/Table1[[#This Row],[backers_count]])</f>
        <v>61</v>
      </c>
      <c r="U3736" t="str">
        <f>LEFT(Table1[[#This Row],[Category and Sub-Category]],FIND("/",Table1[[#This Row],[Category and Sub-Category]])-1)</f>
        <v>theater</v>
      </c>
      <c r="V3736" t="str">
        <f>RIGHT(Table1[[#This Row],[Category and Sub-Category]],LEN(Table1[[#This Row],[Category and Sub-Category]])-FIND("/",Table1[[#This Row],[Category and Sub-Category]]))</f>
        <v>plays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 s="12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>((Table1[[#This Row],[deadline]]/60)/60/24)+DATE(1970,1,1)</f>
        <v>42152.693159722221</v>
      </c>
      <c r="K3737">
        <v>1430239089</v>
      </c>
      <c r="L3737" s="11">
        <f>((Table1[[#This Row],[launched_at]]/60)/60/24)+DATE(1970,1,1)</f>
        <v>42122.693159722221</v>
      </c>
      <c r="M3737">
        <f>MONTH(Table1[[#This Row],[Date Created Conversion]])</f>
        <v>4</v>
      </c>
      <c r="N3737">
        <f>YEAR(Table1[[#This Row],[Date Created Conversion]])</f>
        <v>2015</v>
      </c>
      <c r="O3737" t="b">
        <v>0</v>
      </c>
      <c r="P3737">
        <v>2</v>
      </c>
      <c r="Q3737" t="b">
        <v>0</v>
      </c>
      <c r="R3737" t="s">
        <v>8271</v>
      </c>
      <c r="S3737" s="6">
        <f>Table1[[#This Row],[pledged]]/Table1[[#This Row],[goal]]</f>
        <v>0.13333333333333333</v>
      </c>
      <c r="T3737" s="8">
        <f>IF(Table1[[#This Row],[pledged]]=0,"no backers",Table1[[#This Row],[pledged]]/Table1[[#This Row],[backers_count]])</f>
        <v>10</v>
      </c>
      <c r="U3737" t="str">
        <f>LEFT(Table1[[#This Row],[Category and Sub-Category]],FIND("/",Table1[[#This Row],[Category and Sub-Category]])-1)</f>
        <v>theater</v>
      </c>
      <c r="V3737" t="str">
        <f>RIGHT(Table1[[#This Row],[Category and Sub-Category]],LEN(Table1[[#This Row],[Category and Sub-Category]])-FIND("/",Table1[[#This Row],[Category and Sub-Category]]))</f>
        <v>plays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 s="12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>((Table1[[#This Row],[deadline]]/60)/60/24)+DATE(1970,1,1)</f>
        <v>42086.75</v>
      </c>
      <c r="K3738">
        <v>1423847093</v>
      </c>
      <c r="L3738" s="11">
        <f>((Table1[[#This Row],[launched_at]]/60)/60/24)+DATE(1970,1,1)</f>
        <v>42048.711724537032</v>
      </c>
      <c r="M3738">
        <f>MONTH(Table1[[#This Row],[Date Created Conversion]])</f>
        <v>2</v>
      </c>
      <c r="N3738">
        <f>YEAR(Table1[[#This Row],[Date Created Conversion]])</f>
        <v>2015</v>
      </c>
      <c r="O3738" t="b">
        <v>0</v>
      </c>
      <c r="P3738">
        <v>1</v>
      </c>
      <c r="Q3738" t="b">
        <v>0</v>
      </c>
      <c r="R3738" t="s">
        <v>8271</v>
      </c>
      <c r="S3738" s="6">
        <f>Table1[[#This Row],[pledged]]/Table1[[#This Row],[goal]]</f>
        <v>6.6666666666666671E-3</v>
      </c>
      <c r="T3738" s="8">
        <f>IF(Table1[[#This Row],[pledged]]=0,"no backers",Table1[[#This Row],[pledged]]/Table1[[#This Row],[backers_count]])</f>
        <v>10</v>
      </c>
      <c r="U3738" t="str">
        <f>LEFT(Table1[[#This Row],[Category and Sub-Category]],FIND("/",Table1[[#This Row],[Category and Sub-Category]])-1)</f>
        <v>theater</v>
      </c>
      <c r="V3738" t="str">
        <f>RIGHT(Table1[[#This Row],[Category and Sub-Category]],LEN(Table1[[#This Row],[Category and Sub-Category]])-FIND("/",Table1[[#This Row],[Category and Sub-Category]]))</f>
        <v>plays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 s="12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>((Table1[[#This Row],[deadline]]/60)/60/24)+DATE(1970,1,1)</f>
        <v>42320.290972222225</v>
      </c>
      <c r="K3739">
        <v>1445358903</v>
      </c>
      <c r="L3739" s="11">
        <f>((Table1[[#This Row],[launched_at]]/60)/60/24)+DATE(1970,1,1)</f>
        <v>42297.691006944442</v>
      </c>
      <c r="M3739">
        <f>MONTH(Table1[[#This Row],[Date Created Conversion]])</f>
        <v>10</v>
      </c>
      <c r="N3739">
        <f>YEAR(Table1[[#This Row],[Date Created Conversion]])</f>
        <v>2015</v>
      </c>
      <c r="O3739" t="b">
        <v>0</v>
      </c>
      <c r="P3739">
        <v>4</v>
      </c>
      <c r="Q3739" t="b">
        <v>0</v>
      </c>
      <c r="R3739" t="s">
        <v>8271</v>
      </c>
      <c r="S3739" s="6">
        <f>Table1[[#This Row],[pledged]]/Table1[[#This Row],[goal]]</f>
        <v>0.21428571428571427</v>
      </c>
      <c r="T3739" s="8">
        <f>IF(Table1[[#This Row],[pledged]]=0,"no backers",Table1[[#This Row],[pledged]]/Table1[[#This Row],[backers_count]])</f>
        <v>37.5</v>
      </c>
      <c r="U3739" t="str">
        <f>LEFT(Table1[[#This Row],[Category and Sub-Category]],FIND("/",Table1[[#This Row],[Category and Sub-Category]])-1)</f>
        <v>theater</v>
      </c>
      <c r="V3739" t="str">
        <f>RIGHT(Table1[[#This Row],[Category and Sub-Category]],LEN(Table1[[#This Row],[Category and Sub-Category]])-FIND("/",Table1[[#This Row],[Category and Sub-Category]]))</f>
        <v>plays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 s="12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>((Table1[[#This Row],[deadline]]/60)/60/24)+DATE(1970,1,1)</f>
        <v>41835.916666666664</v>
      </c>
      <c r="K3740">
        <v>1403562705</v>
      </c>
      <c r="L3740" s="11">
        <f>((Table1[[#This Row],[launched_at]]/60)/60/24)+DATE(1970,1,1)</f>
        <v>41813.938715277778</v>
      </c>
      <c r="M3740">
        <f>MONTH(Table1[[#This Row],[Date Created Conversion]])</f>
        <v>6</v>
      </c>
      <c r="N3740">
        <f>YEAR(Table1[[#This Row],[Date Created Conversion]])</f>
        <v>2014</v>
      </c>
      <c r="O3740" t="b">
        <v>0</v>
      </c>
      <c r="P3740">
        <v>6</v>
      </c>
      <c r="Q3740" t="b">
        <v>0</v>
      </c>
      <c r="R3740" t="s">
        <v>8271</v>
      </c>
      <c r="S3740" s="6">
        <f>Table1[[#This Row],[pledged]]/Table1[[#This Row],[goal]]</f>
        <v>0.18</v>
      </c>
      <c r="T3740" s="8">
        <f>IF(Table1[[#This Row],[pledged]]=0,"no backers",Table1[[#This Row],[pledged]]/Table1[[#This Row],[backers_count]])</f>
        <v>45</v>
      </c>
      <c r="U3740" t="str">
        <f>LEFT(Table1[[#This Row],[Category and Sub-Category]],FIND("/",Table1[[#This Row],[Category and Sub-Category]])-1)</f>
        <v>theater</v>
      </c>
      <c r="V3740" t="str">
        <f>RIGHT(Table1[[#This Row],[Category and Sub-Category]],LEN(Table1[[#This Row],[Category and Sub-Category]])-FIND("/",Table1[[#This Row],[Category and Sub-Category]]))</f>
        <v>plays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 s="12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>((Table1[[#This Row],[deadline]]/60)/60/24)+DATE(1970,1,1)</f>
        <v>42568.449861111112</v>
      </c>
      <c r="K3741">
        <v>1467024468</v>
      </c>
      <c r="L3741" s="11">
        <f>((Table1[[#This Row],[launched_at]]/60)/60/24)+DATE(1970,1,1)</f>
        <v>42548.449861111112</v>
      </c>
      <c r="M3741">
        <f>MONTH(Table1[[#This Row],[Date Created Conversion]])</f>
        <v>6</v>
      </c>
      <c r="N3741">
        <f>YEAR(Table1[[#This Row],[Date Created Conversion]])</f>
        <v>2016</v>
      </c>
      <c r="O3741" t="b">
        <v>0</v>
      </c>
      <c r="P3741">
        <v>8</v>
      </c>
      <c r="Q3741" t="b">
        <v>0</v>
      </c>
      <c r="R3741" t="s">
        <v>8271</v>
      </c>
      <c r="S3741" s="6">
        <f>Table1[[#This Row],[pledged]]/Table1[[#This Row],[goal]]</f>
        <v>0.20125000000000001</v>
      </c>
      <c r="T3741" s="8">
        <f>IF(Table1[[#This Row],[pledged]]=0,"no backers",Table1[[#This Row],[pledged]]/Table1[[#This Row],[backers_count]])</f>
        <v>100.625</v>
      </c>
      <c r="U3741" t="str">
        <f>LEFT(Table1[[#This Row],[Category and Sub-Category]],FIND("/",Table1[[#This Row],[Category and Sub-Category]])-1)</f>
        <v>theater</v>
      </c>
      <c r="V3741" t="str">
        <f>RIGHT(Table1[[#This Row],[Category and Sub-Category]],LEN(Table1[[#This Row],[Category and Sub-Category]])-FIND("/",Table1[[#This Row],[Category and Sub-Category]]))</f>
        <v>plays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 s="1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>((Table1[[#This Row],[deadline]]/60)/60/24)+DATE(1970,1,1)</f>
        <v>41863.079143518517</v>
      </c>
      <c r="K3742">
        <v>1405217355</v>
      </c>
      <c r="L3742" s="11">
        <f>((Table1[[#This Row],[launched_at]]/60)/60/24)+DATE(1970,1,1)</f>
        <v>41833.089756944442</v>
      </c>
      <c r="M3742">
        <f>MONTH(Table1[[#This Row],[Date Created Conversion]])</f>
        <v>7</v>
      </c>
      <c r="N3742">
        <f>YEAR(Table1[[#This Row],[Date Created Conversion]])</f>
        <v>2014</v>
      </c>
      <c r="O3742" t="b">
        <v>0</v>
      </c>
      <c r="P3742">
        <v>14</v>
      </c>
      <c r="Q3742" t="b">
        <v>0</v>
      </c>
      <c r="R3742" t="s">
        <v>8271</v>
      </c>
      <c r="S3742" s="6">
        <f>Table1[[#This Row],[pledged]]/Table1[[#This Row],[goal]]</f>
        <v>0.17899999999999999</v>
      </c>
      <c r="T3742" s="8">
        <f>IF(Table1[[#This Row],[pledged]]=0,"no backers",Table1[[#This Row],[pledged]]/Table1[[#This Row],[backers_count]])</f>
        <v>25.571428571428573</v>
      </c>
      <c r="U3742" t="str">
        <f>LEFT(Table1[[#This Row],[Category and Sub-Category]],FIND("/",Table1[[#This Row],[Category and Sub-Category]])-1)</f>
        <v>theater</v>
      </c>
      <c r="V3742" t="str">
        <f>RIGHT(Table1[[#This Row],[Category and Sub-Category]],LEN(Table1[[#This Row],[Category and Sub-Category]])-FIND("/",Table1[[#This Row],[Category and Sub-Category]]))</f>
        <v>plays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 s="12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>((Table1[[#This Row],[deadline]]/60)/60/24)+DATE(1970,1,1)</f>
        <v>42355.920717592591</v>
      </c>
      <c r="K3743">
        <v>1447797950</v>
      </c>
      <c r="L3743" s="11">
        <f>((Table1[[#This Row],[launched_at]]/60)/60/24)+DATE(1970,1,1)</f>
        <v>42325.920717592591</v>
      </c>
      <c r="M3743">
        <f>MONTH(Table1[[#This Row],[Date Created Conversion]])</f>
        <v>11</v>
      </c>
      <c r="N3743">
        <f>YEAR(Table1[[#This Row],[Date Created Conversion]])</f>
        <v>2015</v>
      </c>
      <c r="O3743" t="b">
        <v>0</v>
      </c>
      <c r="P3743">
        <v>0</v>
      </c>
      <c r="Q3743" t="b">
        <v>0</v>
      </c>
      <c r="R3743" t="s">
        <v>8271</v>
      </c>
      <c r="S3743" s="6">
        <f>Table1[[#This Row],[pledged]]/Table1[[#This Row],[goal]]</f>
        <v>0</v>
      </c>
      <c r="T3743" s="8" t="str">
        <f>IF(Table1[[#This Row],[pledged]]=0,"no backers",Table1[[#This Row],[pledged]]/Table1[[#This Row],[backers_count]])</f>
        <v>no backers</v>
      </c>
      <c r="U3743" t="str">
        <f>LEFT(Table1[[#This Row],[Category and Sub-Category]],FIND("/",Table1[[#This Row],[Category and Sub-Category]])-1)</f>
        <v>theater</v>
      </c>
      <c r="V3743" t="str">
        <f>RIGHT(Table1[[#This Row],[Category and Sub-Category]],LEN(Table1[[#This Row],[Category and Sub-Category]])-FIND("/",Table1[[#This Row],[Category and Sub-Category]]))</f>
        <v>plays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 s="12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>((Table1[[#This Row],[deadline]]/60)/60/24)+DATE(1970,1,1)</f>
        <v>41888.214629629627</v>
      </c>
      <c r="K3744">
        <v>1407388144</v>
      </c>
      <c r="L3744" s="11">
        <f>((Table1[[#This Row],[launched_at]]/60)/60/24)+DATE(1970,1,1)</f>
        <v>41858.214629629627</v>
      </c>
      <c r="M3744">
        <f>MONTH(Table1[[#This Row],[Date Created Conversion]])</f>
        <v>8</v>
      </c>
      <c r="N3744">
        <f>YEAR(Table1[[#This Row],[Date Created Conversion]])</f>
        <v>2014</v>
      </c>
      <c r="O3744" t="b">
        <v>0</v>
      </c>
      <c r="P3744">
        <v>4</v>
      </c>
      <c r="Q3744" t="b">
        <v>0</v>
      </c>
      <c r="R3744" t="s">
        <v>8271</v>
      </c>
      <c r="S3744" s="6">
        <f>Table1[[#This Row],[pledged]]/Table1[[#This Row],[goal]]</f>
        <v>0.02</v>
      </c>
      <c r="T3744" s="8">
        <f>IF(Table1[[#This Row],[pledged]]=0,"no backers",Table1[[#This Row],[pledged]]/Table1[[#This Row],[backers_count]])</f>
        <v>25</v>
      </c>
      <c r="U3744" t="str">
        <f>LEFT(Table1[[#This Row],[Category and Sub-Category]],FIND("/",Table1[[#This Row],[Category and Sub-Category]])-1)</f>
        <v>theater</v>
      </c>
      <c r="V3744" t="str">
        <f>RIGHT(Table1[[#This Row],[Category and Sub-Category]],LEN(Table1[[#This Row],[Category and Sub-Category]])-FIND("/",Table1[[#This Row],[Category and Sub-Category]]))</f>
        <v>plays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 s="12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>((Table1[[#This Row],[deadline]]/60)/60/24)+DATE(1970,1,1)</f>
        <v>41823.710231481484</v>
      </c>
      <c r="K3745">
        <v>1401814964</v>
      </c>
      <c r="L3745" s="11">
        <f>((Table1[[#This Row],[launched_at]]/60)/60/24)+DATE(1970,1,1)</f>
        <v>41793.710231481484</v>
      </c>
      <c r="M3745">
        <f>MONTH(Table1[[#This Row],[Date Created Conversion]])</f>
        <v>6</v>
      </c>
      <c r="N3745">
        <f>YEAR(Table1[[#This Row],[Date Created Conversion]])</f>
        <v>2014</v>
      </c>
      <c r="O3745" t="b">
        <v>0</v>
      </c>
      <c r="P3745">
        <v>0</v>
      </c>
      <c r="Q3745" t="b">
        <v>0</v>
      </c>
      <c r="R3745" t="s">
        <v>8271</v>
      </c>
      <c r="S3745" s="6">
        <f>Table1[[#This Row],[pledged]]/Table1[[#This Row],[goal]]</f>
        <v>0</v>
      </c>
      <c r="T3745" s="8" t="str">
        <f>IF(Table1[[#This Row],[pledged]]=0,"no backers",Table1[[#This Row],[pledged]]/Table1[[#This Row],[backers_count]])</f>
        <v>no backers</v>
      </c>
      <c r="U3745" t="str">
        <f>LEFT(Table1[[#This Row],[Category and Sub-Category]],FIND("/",Table1[[#This Row],[Category and Sub-Category]])-1)</f>
        <v>theater</v>
      </c>
      <c r="V3745" t="str">
        <f>RIGHT(Table1[[#This Row],[Category and Sub-Category]],LEN(Table1[[#This Row],[Category and Sub-Category]])-FIND("/",Table1[[#This Row],[Category and Sub-Category]]))</f>
        <v>plays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 s="12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>((Table1[[#This Row],[deadline]]/60)/60/24)+DATE(1970,1,1)</f>
        <v>41825.165972222225</v>
      </c>
      <c r="K3746">
        <v>1401823952</v>
      </c>
      <c r="L3746" s="11">
        <f>((Table1[[#This Row],[launched_at]]/60)/60/24)+DATE(1970,1,1)</f>
        <v>41793.814259259263</v>
      </c>
      <c r="M3746">
        <f>MONTH(Table1[[#This Row],[Date Created Conversion]])</f>
        <v>6</v>
      </c>
      <c r="N3746">
        <f>YEAR(Table1[[#This Row],[Date Created Conversion]])</f>
        <v>2014</v>
      </c>
      <c r="O3746" t="b">
        <v>0</v>
      </c>
      <c r="P3746">
        <v>0</v>
      </c>
      <c r="Q3746" t="b">
        <v>0</v>
      </c>
      <c r="R3746" t="s">
        <v>8271</v>
      </c>
      <c r="S3746" s="6">
        <f>Table1[[#This Row],[pledged]]/Table1[[#This Row],[goal]]</f>
        <v>0</v>
      </c>
      <c r="T3746" s="8" t="str">
        <f>IF(Table1[[#This Row],[pledged]]=0,"no backers",Table1[[#This Row],[pledged]]/Table1[[#This Row],[backers_count]])</f>
        <v>no backers</v>
      </c>
      <c r="U3746" t="str">
        <f>LEFT(Table1[[#This Row],[Category and Sub-Category]],FIND("/",Table1[[#This Row],[Category and Sub-Category]])-1)</f>
        <v>theater</v>
      </c>
      <c r="V3746" t="str">
        <f>RIGHT(Table1[[#This Row],[Category and Sub-Category]],LEN(Table1[[#This Row],[Category and Sub-Category]])-FIND("/",Table1[[#This Row],[Category and Sub-Category]]))</f>
        <v>plays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 s="12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>((Table1[[#This Row],[deadline]]/60)/60/24)+DATE(1970,1,1)</f>
        <v>41861.697939814818</v>
      </c>
      <c r="K3747">
        <v>1405097102</v>
      </c>
      <c r="L3747" s="11">
        <f>((Table1[[#This Row],[launched_at]]/60)/60/24)+DATE(1970,1,1)</f>
        <v>41831.697939814818</v>
      </c>
      <c r="M3747">
        <f>MONTH(Table1[[#This Row],[Date Created Conversion]])</f>
        <v>7</v>
      </c>
      <c r="N3747">
        <f>YEAR(Table1[[#This Row],[Date Created Conversion]])</f>
        <v>2014</v>
      </c>
      <c r="O3747" t="b">
        <v>0</v>
      </c>
      <c r="P3747">
        <v>1</v>
      </c>
      <c r="Q3747" t="b">
        <v>0</v>
      </c>
      <c r="R3747" t="s">
        <v>8271</v>
      </c>
      <c r="S3747" s="6">
        <f>Table1[[#This Row],[pledged]]/Table1[[#This Row],[goal]]</f>
        <v>0.1</v>
      </c>
      <c r="T3747" s="8">
        <f>IF(Table1[[#This Row],[pledged]]=0,"no backers",Table1[[#This Row],[pledged]]/Table1[[#This Row],[backers_count]])</f>
        <v>10</v>
      </c>
      <c r="U3747" t="str">
        <f>LEFT(Table1[[#This Row],[Category and Sub-Category]],FIND("/",Table1[[#This Row],[Category and Sub-Category]])-1)</f>
        <v>theater</v>
      </c>
      <c r="V3747" t="str">
        <f>RIGHT(Table1[[#This Row],[Category and Sub-Category]],LEN(Table1[[#This Row],[Category and Sub-Category]])-FIND("/",Table1[[#This Row],[Category and Sub-Category]]))</f>
        <v>plays</v>
      </c>
    </row>
    <row r="3748" spans="1:22" x14ac:dyDescent="0.3">
      <c r="A3748">
        <v>3746</v>
      </c>
      <c r="B3748" s="3" t="s">
        <v>3743</v>
      </c>
      <c r="C3748" s="3" t="s">
        <v>7856</v>
      </c>
      <c r="D3748" s="12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>((Table1[[#This Row],[deadline]]/60)/60/24)+DATE(1970,1,1)</f>
        <v>42651.389340277776</v>
      </c>
      <c r="K3748">
        <v>1473326439</v>
      </c>
      <c r="L3748" s="11">
        <f>((Table1[[#This Row],[launched_at]]/60)/60/24)+DATE(1970,1,1)</f>
        <v>42621.389340277776</v>
      </c>
      <c r="M3748">
        <f>MONTH(Table1[[#This Row],[Date Created Conversion]])</f>
        <v>9</v>
      </c>
      <c r="N3748">
        <f>YEAR(Table1[[#This Row],[Date Created Conversion]])</f>
        <v>2016</v>
      </c>
      <c r="O3748" t="b">
        <v>0</v>
      </c>
      <c r="P3748">
        <v>1</v>
      </c>
      <c r="Q3748" t="b">
        <v>0</v>
      </c>
      <c r="R3748" t="s">
        <v>8271</v>
      </c>
      <c r="S3748" s="6">
        <f>Table1[[#This Row],[pledged]]/Table1[[#This Row],[goal]]</f>
        <v>2.3764705882352941E-2</v>
      </c>
      <c r="T3748" s="8">
        <f>IF(Table1[[#This Row],[pledged]]=0,"no backers",Table1[[#This Row],[pledged]]/Table1[[#This Row],[backers_count]])</f>
        <v>202</v>
      </c>
      <c r="U3748" t="str">
        <f>LEFT(Table1[[#This Row],[Category and Sub-Category]],FIND("/",Table1[[#This Row],[Category and Sub-Category]])-1)</f>
        <v>theater</v>
      </c>
      <c r="V3748" t="str">
        <f>RIGHT(Table1[[#This Row],[Category and Sub-Category]],LEN(Table1[[#This Row],[Category and Sub-Category]])-FIND("/",Table1[[#This Row],[Category and Sub-Category]]))</f>
        <v>plays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 s="12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>((Table1[[#This Row],[deadline]]/60)/60/24)+DATE(1970,1,1)</f>
        <v>42190.957638888889</v>
      </c>
      <c r="K3749">
        <v>1433833896</v>
      </c>
      <c r="L3749" s="11">
        <f>((Table1[[#This Row],[launched_at]]/60)/60/24)+DATE(1970,1,1)</f>
        <v>42164.299722222218</v>
      </c>
      <c r="M3749">
        <f>MONTH(Table1[[#This Row],[Date Created Conversion]])</f>
        <v>6</v>
      </c>
      <c r="N3749">
        <f>YEAR(Table1[[#This Row],[Date Created Conversion]])</f>
        <v>2015</v>
      </c>
      <c r="O3749" t="b">
        <v>0</v>
      </c>
      <c r="P3749">
        <v>1</v>
      </c>
      <c r="Q3749" t="b">
        <v>0</v>
      </c>
      <c r="R3749" t="s">
        <v>8271</v>
      </c>
      <c r="S3749" s="6">
        <f>Table1[[#This Row],[pledged]]/Table1[[#This Row],[goal]]</f>
        <v>0.01</v>
      </c>
      <c r="T3749" s="8">
        <f>IF(Table1[[#This Row],[pledged]]=0,"no backers",Table1[[#This Row],[pledged]]/Table1[[#This Row],[backers_count]])</f>
        <v>25</v>
      </c>
      <c r="U3749" t="str">
        <f>LEFT(Table1[[#This Row],[Category and Sub-Category]],FIND("/",Table1[[#This Row],[Category and Sub-Category]])-1)</f>
        <v>theater</v>
      </c>
      <c r="V3749" t="str">
        <f>RIGHT(Table1[[#This Row],[Category and Sub-Category]],LEN(Table1[[#This Row],[Category and Sub-Category]])-FIND("/",Table1[[#This Row],[Category and Sub-Category]]))</f>
        <v>plays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 s="12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>((Table1[[#This Row],[deadline]]/60)/60/24)+DATE(1970,1,1)</f>
        <v>42416.249305555553</v>
      </c>
      <c r="K3750">
        <v>1453827436</v>
      </c>
      <c r="L3750" s="11">
        <f>((Table1[[#This Row],[launched_at]]/60)/60/24)+DATE(1970,1,1)</f>
        <v>42395.706435185188</v>
      </c>
      <c r="M3750">
        <f>MONTH(Table1[[#This Row],[Date Created Conversion]])</f>
        <v>1</v>
      </c>
      <c r="N3750">
        <f>YEAR(Table1[[#This Row],[Date Created Conversion]])</f>
        <v>2016</v>
      </c>
      <c r="O3750" t="b">
        <v>0</v>
      </c>
      <c r="P3750">
        <v>52</v>
      </c>
      <c r="Q3750" t="b">
        <v>1</v>
      </c>
      <c r="R3750" t="s">
        <v>8305</v>
      </c>
      <c r="S3750" s="6">
        <f>Table1[[#This Row],[pledged]]/Table1[[#This Row],[goal]]</f>
        <v>1.0351999999999999</v>
      </c>
      <c r="T3750" s="8">
        <f>IF(Table1[[#This Row],[pledged]]=0,"no backers",Table1[[#This Row],[pledged]]/Table1[[#This Row],[backers_count]])</f>
        <v>99.538461538461533</v>
      </c>
      <c r="U3750" t="str">
        <f>LEFT(Table1[[#This Row],[Category and Sub-Category]],FIND("/",Table1[[#This Row],[Category and Sub-Category]])-1)</f>
        <v>theater</v>
      </c>
      <c r="V3750" t="str">
        <f>RIGHT(Table1[[#This Row],[Category and Sub-Category]],LEN(Table1[[#This Row],[Category and Sub-Category]])-FIND("/",Table1[[#This Row],[Category and Sub-Category]]))</f>
        <v>musical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 s="12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>((Table1[[#This Row],[deadline]]/60)/60/24)+DATE(1970,1,1)</f>
        <v>42489.165972222225</v>
      </c>
      <c r="K3751">
        <v>1459220588</v>
      </c>
      <c r="L3751" s="11">
        <f>((Table1[[#This Row],[launched_at]]/60)/60/24)+DATE(1970,1,1)</f>
        <v>42458.127175925925</v>
      </c>
      <c r="M3751">
        <f>MONTH(Table1[[#This Row],[Date Created Conversion]])</f>
        <v>3</v>
      </c>
      <c r="N3751">
        <f>YEAR(Table1[[#This Row],[Date Created Conversion]])</f>
        <v>2016</v>
      </c>
      <c r="O3751" t="b">
        <v>0</v>
      </c>
      <c r="P3751">
        <v>7</v>
      </c>
      <c r="Q3751" t="b">
        <v>1</v>
      </c>
      <c r="R3751" t="s">
        <v>8305</v>
      </c>
      <c r="S3751" s="6">
        <f>Table1[[#This Row],[pledged]]/Table1[[#This Row],[goal]]</f>
        <v>1.05</v>
      </c>
      <c r="T3751" s="8">
        <f>IF(Table1[[#This Row],[pledged]]=0,"no backers",Table1[[#This Row],[pledged]]/Table1[[#This Row],[backers_count]])</f>
        <v>75</v>
      </c>
      <c r="U3751" t="str">
        <f>LEFT(Table1[[#This Row],[Category and Sub-Category]],FIND("/",Table1[[#This Row],[Category and Sub-Category]])-1)</f>
        <v>theater</v>
      </c>
      <c r="V3751" t="str">
        <f>RIGHT(Table1[[#This Row],[Category and Sub-Category]],LEN(Table1[[#This Row],[Category and Sub-Category]])-FIND("/",Table1[[#This Row],[Category and Sub-Category]]))</f>
        <v>musical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 s="1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>((Table1[[#This Row],[deadline]]/60)/60/24)+DATE(1970,1,1)</f>
        <v>42045.332638888889</v>
      </c>
      <c r="K3752">
        <v>1421105608</v>
      </c>
      <c r="L3752" s="11">
        <f>((Table1[[#This Row],[launched_at]]/60)/60/24)+DATE(1970,1,1)</f>
        <v>42016.981574074074</v>
      </c>
      <c r="M3752">
        <f>MONTH(Table1[[#This Row],[Date Created Conversion]])</f>
        <v>1</v>
      </c>
      <c r="N3752">
        <f>YEAR(Table1[[#This Row],[Date Created Conversion]])</f>
        <v>2015</v>
      </c>
      <c r="O3752" t="b">
        <v>0</v>
      </c>
      <c r="P3752">
        <v>28</v>
      </c>
      <c r="Q3752" t="b">
        <v>1</v>
      </c>
      <c r="R3752" t="s">
        <v>8305</v>
      </c>
      <c r="S3752" s="6">
        <f>Table1[[#This Row],[pledged]]/Table1[[#This Row],[goal]]</f>
        <v>1.0044999999999999</v>
      </c>
      <c r="T3752" s="8">
        <f>IF(Table1[[#This Row],[pledged]]=0,"no backers",Table1[[#This Row],[pledged]]/Table1[[#This Row],[backers_count]])</f>
        <v>215.25</v>
      </c>
      <c r="U3752" t="str">
        <f>LEFT(Table1[[#This Row],[Category and Sub-Category]],FIND("/",Table1[[#This Row],[Category and Sub-Category]])-1)</f>
        <v>theater</v>
      </c>
      <c r="V3752" t="str">
        <f>RIGHT(Table1[[#This Row],[Category and Sub-Category]],LEN(Table1[[#This Row],[Category and Sub-Category]])-FIND("/",Table1[[#This Row],[Category and Sub-Category]]))</f>
        <v>musical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 s="12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>((Table1[[#This Row],[deadline]]/60)/60/24)+DATE(1970,1,1)</f>
        <v>42462.993900462956</v>
      </c>
      <c r="K3753">
        <v>1454460673</v>
      </c>
      <c r="L3753" s="11">
        <f>((Table1[[#This Row],[launched_at]]/60)/60/24)+DATE(1970,1,1)</f>
        <v>42403.035567129627</v>
      </c>
      <c r="M3753">
        <f>MONTH(Table1[[#This Row],[Date Created Conversion]])</f>
        <v>2</v>
      </c>
      <c r="N3753">
        <f>YEAR(Table1[[#This Row],[Date Created Conversion]])</f>
        <v>2016</v>
      </c>
      <c r="O3753" t="b">
        <v>0</v>
      </c>
      <c r="P3753">
        <v>11</v>
      </c>
      <c r="Q3753" t="b">
        <v>1</v>
      </c>
      <c r="R3753" t="s">
        <v>8305</v>
      </c>
      <c r="S3753" s="6">
        <f>Table1[[#This Row],[pledged]]/Table1[[#This Row],[goal]]</f>
        <v>1.3260000000000001</v>
      </c>
      <c r="T3753" s="8">
        <f>IF(Table1[[#This Row],[pledged]]=0,"no backers",Table1[[#This Row],[pledged]]/Table1[[#This Row],[backers_count]])</f>
        <v>120.54545454545455</v>
      </c>
      <c r="U3753" t="str">
        <f>LEFT(Table1[[#This Row],[Category and Sub-Category]],FIND("/",Table1[[#This Row],[Category and Sub-Category]])-1)</f>
        <v>theater</v>
      </c>
      <c r="V3753" t="str">
        <f>RIGHT(Table1[[#This Row],[Category and Sub-Category]],LEN(Table1[[#This Row],[Category and Sub-Category]])-FIND("/",Table1[[#This Row],[Category and Sub-Category]]))</f>
        <v>musical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 s="12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>((Table1[[#This Row],[deadline]]/60)/60/24)+DATE(1970,1,1)</f>
        <v>42659.875</v>
      </c>
      <c r="K3754">
        <v>1473189335</v>
      </c>
      <c r="L3754" s="11">
        <f>((Table1[[#This Row],[launched_at]]/60)/60/24)+DATE(1970,1,1)</f>
        <v>42619.802488425921</v>
      </c>
      <c r="M3754">
        <f>MONTH(Table1[[#This Row],[Date Created Conversion]])</f>
        <v>9</v>
      </c>
      <c r="N3754">
        <f>YEAR(Table1[[#This Row],[Date Created Conversion]])</f>
        <v>2016</v>
      </c>
      <c r="O3754" t="b">
        <v>0</v>
      </c>
      <c r="P3754">
        <v>15</v>
      </c>
      <c r="Q3754" t="b">
        <v>1</v>
      </c>
      <c r="R3754" t="s">
        <v>8305</v>
      </c>
      <c r="S3754" s="6">
        <f>Table1[[#This Row],[pledged]]/Table1[[#This Row],[goal]]</f>
        <v>1.1299999999999999</v>
      </c>
      <c r="T3754" s="8">
        <f>IF(Table1[[#This Row],[pledged]]=0,"no backers",Table1[[#This Row],[pledged]]/Table1[[#This Row],[backers_count]])</f>
        <v>37.666666666666664</v>
      </c>
      <c r="U3754" t="str">
        <f>LEFT(Table1[[#This Row],[Category and Sub-Category]],FIND("/",Table1[[#This Row],[Category and Sub-Category]])-1)</f>
        <v>theater</v>
      </c>
      <c r="V3754" t="str">
        <f>RIGHT(Table1[[#This Row],[Category and Sub-Category]],LEN(Table1[[#This Row],[Category and Sub-Category]])-FIND("/",Table1[[#This Row],[Category and Sub-Category]]))</f>
        <v>musical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 s="12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>((Table1[[#This Row],[deadline]]/60)/60/24)+DATE(1970,1,1)</f>
        <v>42158</v>
      </c>
      <c r="K3755">
        <v>1430768800</v>
      </c>
      <c r="L3755" s="11">
        <f>((Table1[[#This Row],[launched_at]]/60)/60/24)+DATE(1970,1,1)</f>
        <v>42128.824074074073</v>
      </c>
      <c r="M3755">
        <f>MONTH(Table1[[#This Row],[Date Created Conversion]])</f>
        <v>5</v>
      </c>
      <c r="N3755">
        <f>YEAR(Table1[[#This Row],[Date Created Conversion]])</f>
        <v>2015</v>
      </c>
      <c r="O3755" t="b">
        <v>0</v>
      </c>
      <c r="P3755">
        <v>30</v>
      </c>
      <c r="Q3755" t="b">
        <v>1</v>
      </c>
      <c r="R3755" t="s">
        <v>8305</v>
      </c>
      <c r="S3755" s="6">
        <f>Table1[[#This Row],[pledged]]/Table1[[#This Row],[goal]]</f>
        <v>1.0334000000000001</v>
      </c>
      <c r="T3755" s="8">
        <f>IF(Table1[[#This Row],[pledged]]=0,"no backers",Table1[[#This Row],[pledged]]/Table1[[#This Row],[backers_count]])</f>
        <v>172.23333333333332</v>
      </c>
      <c r="U3755" t="str">
        <f>LEFT(Table1[[#This Row],[Category and Sub-Category]],FIND("/",Table1[[#This Row],[Category and Sub-Category]])-1)</f>
        <v>theater</v>
      </c>
      <c r="V3755" t="str">
        <f>RIGHT(Table1[[#This Row],[Category and Sub-Category]],LEN(Table1[[#This Row],[Category and Sub-Category]])-FIND("/",Table1[[#This Row],[Category and Sub-Category]]))</f>
        <v>musical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 s="12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>((Table1[[#This Row],[deadline]]/60)/60/24)+DATE(1970,1,1)</f>
        <v>41846.207638888889</v>
      </c>
      <c r="K3756">
        <v>1403125737</v>
      </c>
      <c r="L3756" s="11">
        <f>((Table1[[#This Row],[launched_at]]/60)/60/24)+DATE(1970,1,1)</f>
        <v>41808.881215277775</v>
      </c>
      <c r="M3756">
        <f>MONTH(Table1[[#This Row],[Date Created Conversion]])</f>
        <v>6</v>
      </c>
      <c r="N3756">
        <f>YEAR(Table1[[#This Row],[Date Created Conversion]])</f>
        <v>2014</v>
      </c>
      <c r="O3756" t="b">
        <v>0</v>
      </c>
      <c r="P3756">
        <v>27</v>
      </c>
      <c r="Q3756" t="b">
        <v>1</v>
      </c>
      <c r="R3756" t="s">
        <v>8305</v>
      </c>
      <c r="S3756" s="6">
        <f>Table1[[#This Row],[pledged]]/Table1[[#This Row],[goal]]</f>
        <v>1.2</v>
      </c>
      <c r="T3756" s="8">
        <f>IF(Table1[[#This Row],[pledged]]=0,"no backers",Table1[[#This Row],[pledged]]/Table1[[#This Row],[backers_count]])</f>
        <v>111.11111111111111</v>
      </c>
      <c r="U3756" t="str">
        <f>LEFT(Table1[[#This Row],[Category and Sub-Category]],FIND("/",Table1[[#This Row],[Category and Sub-Category]])-1)</f>
        <v>theater</v>
      </c>
      <c r="V3756" t="str">
        <f>RIGHT(Table1[[#This Row],[Category and Sub-Category]],LEN(Table1[[#This Row],[Category and Sub-Category]])-FIND("/",Table1[[#This Row],[Category and Sub-Category]]))</f>
        <v>musical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 s="12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>((Table1[[#This Row],[deadline]]/60)/60/24)+DATE(1970,1,1)</f>
        <v>42475.866979166662</v>
      </c>
      <c r="K3757">
        <v>1458161307</v>
      </c>
      <c r="L3757" s="11">
        <f>((Table1[[#This Row],[launched_at]]/60)/60/24)+DATE(1970,1,1)</f>
        <v>42445.866979166662</v>
      </c>
      <c r="M3757">
        <f>MONTH(Table1[[#This Row],[Date Created Conversion]])</f>
        <v>3</v>
      </c>
      <c r="N3757">
        <f>YEAR(Table1[[#This Row],[Date Created Conversion]])</f>
        <v>2016</v>
      </c>
      <c r="O3757" t="b">
        <v>0</v>
      </c>
      <c r="P3757">
        <v>28</v>
      </c>
      <c r="Q3757" t="b">
        <v>1</v>
      </c>
      <c r="R3757" t="s">
        <v>8305</v>
      </c>
      <c r="S3757" s="6">
        <f>Table1[[#This Row],[pledged]]/Table1[[#This Row],[goal]]</f>
        <v>1.2963636363636364</v>
      </c>
      <c r="T3757" s="8">
        <f>IF(Table1[[#This Row],[pledged]]=0,"no backers",Table1[[#This Row],[pledged]]/Table1[[#This Row],[backers_count]])</f>
        <v>25.464285714285715</v>
      </c>
      <c r="U3757" t="str">
        <f>LEFT(Table1[[#This Row],[Category and Sub-Category]],FIND("/",Table1[[#This Row],[Category and Sub-Category]])-1)</f>
        <v>theater</v>
      </c>
      <c r="V3757" t="str">
        <f>RIGHT(Table1[[#This Row],[Category and Sub-Category]],LEN(Table1[[#This Row],[Category and Sub-Category]])-FIND("/",Table1[[#This Row],[Category and Sub-Category]]))</f>
        <v>musical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 s="12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>((Table1[[#This Row],[deadline]]/60)/60/24)+DATE(1970,1,1)</f>
        <v>41801.814791666664</v>
      </c>
      <c r="K3758">
        <v>1399923198</v>
      </c>
      <c r="L3758" s="11">
        <f>((Table1[[#This Row],[launched_at]]/60)/60/24)+DATE(1970,1,1)</f>
        <v>41771.814791666664</v>
      </c>
      <c r="M3758">
        <f>MONTH(Table1[[#This Row],[Date Created Conversion]])</f>
        <v>5</v>
      </c>
      <c r="N3758">
        <f>YEAR(Table1[[#This Row],[Date Created Conversion]])</f>
        <v>2014</v>
      </c>
      <c r="O3758" t="b">
        <v>0</v>
      </c>
      <c r="P3758">
        <v>17</v>
      </c>
      <c r="Q3758" t="b">
        <v>1</v>
      </c>
      <c r="R3758" t="s">
        <v>8305</v>
      </c>
      <c r="S3758" s="6">
        <f>Table1[[#This Row],[pledged]]/Table1[[#This Row],[goal]]</f>
        <v>1.0111111111111111</v>
      </c>
      <c r="T3758" s="8">
        <f>IF(Table1[[#This Row],[pledged]]=0,"no backers",Table1[[#This Row],[pledged]]/Table1[[#This Row],[backers_count]])</f>
        <v>267.64705882352939</v>
      </c>
      <c r="U3758" t="str">
        <f>LEFT(Table1[[#This Row],[Category and Sub-Category]],FIND("/",Table1[[#This Row],[Category and Sub-Category]])-1)</f>
        <v>theater</v>
      </c>
      <c r="V3758" t="str">
        <f>RIGHT(Table1[[#This Row],[Category and Sub-Category]],LEN(Table1[[#This Row],[Category and Sub-Category]])-FIND("/",Table1[[#This Row],[Category and Sub-Category]]))</f>
        <v>musical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 s="12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>((Table1[[#This Row],[deadline]]/60)/60/24)+DATE(1970,1,1)</f>
        <v>41974.850868055553</v>
      </c>
      <c r="K3759">
        <v>1415737515</v>
      </c>
      <c r="L3759" s="11">
        <f>((Table1[[#This Row],[launched_at]]/60)/60/24)+DATE(1970,1,1)</f>
        <v>41954.850868055553</v>
      </c>
      <c r="M3759">
        <f>MONTH(Table1[[#This Row],[Date Created Conversion]])</f>
        <v>11</v>
      </c>
      <c r="N3759">
        <f>YEAR(Table1[[#This Row],[Date Created Conversion]])</f>
        <v>2014</v>
      </c>
      <c r="O3759" t="b">
        <v>0</v>
      </c>
      <c r="P3759">
        <v>50</v>
      </c>
      <c r="Q3759" t="b">
        <v>1</v>
      </c>
      <c r="R3759" t="s">
        <v>8305</v>
      </c>
      <c r="S3759" s="6">
        <f>Table1[[#This Row],[pledged]]/Table1[[#This Row],[goal]]</f>
        <v>1.0851428571428572</v>
      </c>
      <c r="T3759" s="8">
        <f>IF(Table1[[#This Row],[pledged]]=0,"no backers",Table1[[#This Row],[pledged]]/Table1[[#This Row],[backers_count]])</f>
        <v>75.959999999999994</v>
      </c>
      <c r="U3759" t="str">
        <f>LEFT(Table1[[#This Row],[Category and Sub-Category]],FIND("/",Table1[[#This Row],[Category and Sub-Category]])-1)</f>
        <v>theater</v>
      </c>
      <c r="V3759" t="str">
        <f>RIGHT(Table1[[#This Row],[Category and Sub-Category]],LEN(Table1[[#This Row],[Category and Sub-Category]])-FIND("/",Table1[[#This Row],[Category and Sub-Category]]))</f>
        <v>musical</v>
      </c>
    </row>
    <row r="3760" spans="1:22" ht="28.8" x14ac:dyDescent="0.3">
      <c r="A3760">
        <v>3758</v>
      </c>
      <c r="B3760" s="3" t="s">
        <v>3755</v>
      </c>
      <c r="C3760" s="3" t="s">
        <v>7868</v>
      </c>
      <c r="D3760" s="12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>((Table1[[#This Row],[deadline]]/60)/60/24)+DATE(1970,1,1)</f>
        <v>41778.208333333336</v>
      </c>
      <c r="K3760">
        <v>1397819938</v>
      </c>
      <c r="L3760" s="11">
        <f>((Table1[[#This Row],[launched_at]]/60)/60/24)+DATE(1970,1,1)</f>
        <v>41747.471504629626</v>
      </c>
      <c r="M3760">
        <f>MONTH(Table1[[#This Row],[Date Created Conversion]])</f>
        <v>4</v>
      </c>
      <c r="N3760">
        <f>YEAR(Table1[[#This Row],[Date Created Conversion]])</f>
        <v>2014</v>
      </c>
      <c r="O3760" t="b">
        <v>0</v>
      </c>
      <c r="P3760">
        <v>26</v>
      </c>
      <c r="Q3760" t="b">
        <v>1</v>
      </c>
      <c r="R3760" t="s">
        <v>8305</v>
      </c>
      <c r="S3760" s="6">
        <f>Table1[[#This Row],[pledged]]/Table1[[#This Row],[goal]]</f>
        <v>1.0233333333333334</v>
      </c>
      <c r="T3760" s="8">
        <f>IF(Table1[[#This Row],[pledged]]=0,"no backers",Table1[[#This Row],[pledged]]/Table1[[#This Row],[backers_count]])</f>
        <v>59.03846153846154</v>
      </c>
      <c r="U3760" t="str">
        <f>LEFT(Table1[[#This Row],[Category and Sub-Category]],FIND("/",Table1[[#This Row],[Category and Sub-Category]])-1)</f>
        <v>theater</v>
      </c>
      <c r="V3760" t="str">
        <f>RIGHT(Table1[[#This Row],[Category and Sub-Category]],LEN(Table1[[#This Row],[Category and Sub-Category]])-FIND("/",Table1[[#This Row],[Category and Sub-Category]]))</f>
        <v>musical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 s="12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>((Table1[[#This Row],[deadline]]/60)/60/24)+DATE(1970,1,1)</f>
        <v>42242.108252314814</v>
      </c>
      <c r="K3761">
        <v>1435372553</v>
      </c>
      <c r="L3761" s="11">
        <f>((Table1[[#This Row],[launched_at]]/60)/60/24)+DATE(1970,1,1)</f>
        <v>42182.108252314814</v>
      </c>
      <c r="M3761">
        <f>MONTH(Table1[[#This Row],[Date Created Conversion]])</f>
        <v>6</v>
      </c>
      <c r="N3761">
        <f>YEAR(Table1[[#This Row],[Date Created Conversion]])</f>
        <v>2015</v>
      </c>
      <c r="O3761" t="b">
        <v>0</v>
      </c>
      <c r="P3761">
        <v>88</v>
      </c>
      <c r="Q3761" t="b">
        <v>1</v>
      </c>
      <c r="R3761" t="s">
        <v>8305</v>
      </c>
      <c r="S3761" s="6">
        <f>Table1[[#This Row],[pledged]]/Table1[[#This Row],[goal]]</f>
        <v>1.1024425000000002</v>
      </c>
      <c r="T3761" s="8">
        <f>IF(Table1[[#This Row],[pledged]]=0,"no backers",Table1[[#This Row],[pledged]]/Table1[[#This Row],[backers_count]])</f>
        <v>50.111022727272733</v>
      </c>
      <c r="U3761" t="str">
        <f>LEFT(Table1[[#This Row],[Category and Sub-Category]],FIND("/",Table1[[#This Row],[Category and Sub-Category]])-1)</f>
        <v>theater</v>
      </c>
      <c r="V3761" t="str">
        <f>RIGHT(Table1[[#This Row],[Category and Sub-Category]],LEN(Table1[[#This Row],[Category and Sub-Category]])-FIND("/",Table1[[#This Row],[Category and Sub-Category]]))</f>
        <v>musical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 s="1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>((Table1[[#This Row],[deadline]]/60)/60/24)+DATE(1970,1,1)</f>
        <v>41764.525300925925</v>
      </c>
      <c r="K3762">
        <v>1397133386</v>
      </c>
      <c r="L3762" s="11">
        <f>((Table1[[#This Row],[launched_at]]/60)/60/24)+DATE(1970,1,1)</f>
        <v>41739.525300925925</v>
      </c>
      <c r="M3762">
        <f>MONTH(Table1[[#This Row],[Date Created Conversion]])</f>
        <v>4</v>
      </c>
      <c r="N3762">
        <f>YEAR(Table1[[#This Row],[Date Created Conversion]])</f>
        <v>2014</v>
      </c>
      <c r="O3762" t="b">
        <v>0</v>
      </c>
      <c r="P3762">
        <v>91</v>
      </c>
      <c r="Q3762" t="b">
        <v>1</v>
      </c>
      <c r="R3762" t="s">
        <v>8305</v>
      </c>
      <c r="S3762" s="6">
        <f>Table1[[#This Row],[pledged]]/Table1[[#This Row],[goal]]</f>
        <v>1.010154</v>
      </c>
      <c r="T3762" s="8">
        <f>IF(Table1[[#This Row],[pledged]]=0,"no backers",Table1[[#This Row],[pledged]]/Table1[[#This Row],[backers_count]])</f>
        <v>55.502967032967035</v>
      </c>
      <c r="U3762" t="str">
        <f>LEFT(Table1[[#This Row],[Category and Sub-Category]],FIND("/",Table1[[#This Row],[Category and Sub-Category]])-1)</f>
        <v>theater</v>
      </c>
      <c r="V3762" t="str">
        <f>RIGHT(Table1[[#This Row],[Category and Sub-Category]],LEN(Table1[[#This Row],[Category and Sub-Category]])-FIND("/",Table1[[#This Row],[Category and Sub-Category]]))</f>
        <v>musical</v>
      </c>
    </row>
    <row r="3763" spans="1:22" ht="57.6" x14ac:dyDescent="0.3">
      <c r="A3763">
        <v>3761</v>
      </c>
      <c r="B3763" s="3" t="s">
        <v>3758</v>
      </c>
      <c r="C3763" s="3" t="s">
        <v>7871</v>
      </c>
      <c r="D3763" s="12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>((Table1[[#This Row],[deadline]]/60)/60/24)+DATE(1970,1,1)</f>
        <v>42226.958333333328</v>
      </c>
      <c r="K3763">
        <v>1434625937</v>
      </c>
      <c r="L3763" s="11">
        <f>((Table1[[#This Row],[launched_at]]/60)/60/24)+DATE(1970,1,1)</f>
        <v>42173.466863425929</v>
      </c>
      <c r="M3763">
        <f>MONTH(Table1[[#This Row],[Date Created Conversion]])</f>
        <v>6</v>
      </c>
      <c r="N3763">
        <f>YEAR(Table1[[#This Row],[Date Created Conversion]])</f>
        <v>2015</v>
      </c>
      <c r="O3763" t="b">
        <v>0</v>
      </c>
      <c r="P3763">
        <v>3</v>
      </c>
      <c r="Q3763" t="b">
        <v>1</v>
      </c>
      <c r="R3763" t="s">
        <v>8305</v>
      </c>
      <c r="S3763" s="6">
        <f>Table1[[#This Row],[pledged]]/Table1[[#This Row],[goal]]</f>
        <v>1</v>
      </c>
      <c r="T3763" s="8">
        <f>IF(Table1[[#This Row],[pledged]]=0,"no backers",Table1[[#This Row],[pledged]]/Table1[[#This Row],[backers_count]])</f>
        <v>166.66666666666666</v>
      </c>
      <c r="U3763" t="str">
        <f>LEFT(Table1[[#This Row],[Category and Sub-Category]],FIND("/",Table1[[#This Row],[Category and Sub-Category]])-1)</f>
        <v>theater</v>
      </c>
      <c r="V3763" t="str">
        <f>RIGHT(Table1[[#This Row],[Category and Sub-Category]],LEN(Table1[[#This Row],[Category and Sub-Category]])-FIND("/",Table1[[#This Row],[Category and Sub-Category]]))</f>
        <v>musical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 s="12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>((Table1[[#This Row],[deadline]]/60)/60/24)+DATE(1970,1,1)</f>
        <v>42218.813530092593</v>
      </c>
      <c r="K3764">
        <v>1436383889</v>
      </c>
      <c r="L3764" s="11">
        <f>((Table1[[#This Row],[launched_at]]/60)/60/24)+DATE(1970,1,1)</f>
        <v>42193.813530092593</v>
      </c>
      <c r="M3764">
        <f>MONTH(Table1[[#This Row],[Date Created Conversion]])</f>
        <v>7</v>
      </c>
      <c r="N3764">
        <f>YEAR(Table1[[#This Row],[Date Created Conversion]])</f>
        <v>2015</v>
      </c>
      <c r="O3764" t="b">
        <v>0</v>
      </c>
      <c r="P3764">
        <v>28</v>
      </c>
      <c r="Q3764" t="b">
        <v>1</v>
      </c>
      <c r="R3764" t="s">
        <v>8305</v>
      </c>
      <c r="S3764" s="6">
        <f>Table1[[#This Row],[pledged]]/Table1[[#This Row],[goal]]</f>
        <v>1.0624</v>
      </c>
      <c r="T3764" s="8">
        <f>IF(Table1[[#This Row],[pledged]]=0,"no backers",Table1[[#This Row],[pledged]]/Table1[[#This Row],[backers_count]])</f>
        <v>47.428571428571431</v>
      </c>
      <c r="U3764" t="str">
        <f>LEFT(Table1[[#This Row],[Category and Sub-Category]],FIND("/",Table1[[#This Row],[Category and Sub-Category]])-1)</f>
        <v>theater</v>
      </c>
      <c r="V3764" t="str">
        <f>RIGHT(Table1[[#This Row],[Category and Sub-Category]],LEN(Table1[[#This Row],[Category and Sub-Category]])-FIND("/",Table1[[#This Row],[Category and Sub-Category]]))</f>
        <v>musical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 s="12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>((Table1[[#This Row],[deadline]]/60)/60/24)+DATE(1970,1,1)</f>
        <v>42095.708634259259</v>
      </c>
      <c r="K3765">
        <v>1425319226</v>
      </c>
      <c r="L3765" s="11">
        <f>((Table1[[#This Row],[launched_at]]/60)/60/24)+DATE(1970,1,1)</f>
        <v>42065.750300925924</v>
      </c>
      <c r="M3765">
        <f>MONTH(Table1[[#This Row],[Date Created Conversion]])</f>
        <v>3</v>
      </c>
      <c r="N3765">
        <f>YEAR(Table1[[#This Row],[Date Created Conversion]])</f>
        <v>2015</v>
      </c>
      <c r="O3765" t="b">
        <v>0</v>
      </c>
      <c r="P3765">
        <v>77</v>
      </c>
      <c r="Q3765" t="b">
        <v>1</v>
      </c>
      <c r="R3765" t="s">
        <v>8305</v>
      </c>
      <c r="S3765" s="6">
        <f>Table1[[#This Row],[pledged]]/Table1[[#This Row],[goal]]</f>
        <v>1</v>
      </c>
      <c r="T3765" s="8">
        <f>IF(Table1[[#This Row],[pledged]]=0,"no backers",Table1[[#This Row],[pledged]]/Table1[[#This Row],[backers_count]])</f>
        <v>64.935064935064929</v>
      </c>
      <c r="U3765" t="str">
        <f>LEFT(Table1[[#This Row],[Category and Sub-Category]],FIND("/",Table1[[#This Row],[Category and Sub-Category]])-1)</f>
        <v>theater</v>
      </c>
      <c r="V3765" t="str">
        <f>RIGHT(Table1[[#This Row],[Category and Sub-Category]],LEN(Table1[[#This Row],[Category and Sub-Category]])-FIND("/",Table1[[#This Row],[Category and Sub-Category]]))</f>
        <v>musical</v>
      </c>
    </row>
    <row r="3766" spans="1:22" ht="43.2" x14ac:dyDescent="0.3">
      <c r="A3766">
        <v>3764</v>
      </c>
      <c r="B3766" s="3" t="s">
        <v>3761</v>
      </c>
      <c r="C3766" s="3" t="s">
        <v>7874</v>
      </c>
      <c r="D3766" s="12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>((Table1[[#This Row],[deadline]]/60)/60/24)+DATE(1970,1,1)</f>
        <v>42519.024999999994</v>
      </c>
      <c r="K3766">
        <v>1462824832</v>
      </c>
      <c r="L3766" s="11">
        <f>((Table1[[#This Row],[launched_at]]/60)/60/24)+DATE(1970,1,1)</f>
        <v>42499.842962962968</v>
      </c>
      <c r="M3766">
        <f>MONTH(Table1[[#This Row],[Date Created Conversion]])</f>
        <v>5</v>
      </c>
      <c r="N3766">
        <f>YEAR(Table1[[#This Row],[Date Created Conversion]])</f>
        <v>2016</v>
      </c>
      <c r="O3766" t="b">
        <v>0</v>
      </c>
      <c r="P3766">
        <v>27</v>
      </c>
      <c r="Q3766" t="b">
        <v>1</v>
      </c>
      <c r="R3766" t="s">
        <v>8305</v>
      </c>
      <c r="S3766" s="6">
        <f>Table1[[#This Row],[pledged]]/Table1[[#This Row],[goal]]</f>
        <v>1</v>
      </c>
      <c r="T3766" s="8">
        <f>IF(Table1[[#This Row],[pledged]]=0,"no backers",Table1[[#This Row],[pledged]]/Table1[[#This Row],[backers_count]])</f>
        <v>55.555555555555557</v>
      </c>
      <c r="U3766" t="str">
        <f>LEFT(Table1[[#This Row],[Category and Sub-Category]],FIND("/",Table1[[#This Row],[Category and Sub-Category]])-1)</f>
        <v>theater</v>
      </c>
      <c r="V3766" t="str">
        <f>RIGHT(Table1[[#This Row],[Category and Sub-Category]],LEN(Table1[[#This Row],[Category and Sub-Category]])-FIND("/",Table1[[#This Row],[Category and Sub-Category]]))</f>
        <v>musical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 s="12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>((Table1[[#This Row],[deadline]]/60)/60/24)+DATE(1970,1,1)</f>
        <v>41850.776412037041</v>
      </c>
      <c r="K3767">
        <v>1404153482</v>
      </c>
      <c r="L3767" s="11">
        <f>((Table1[[#This Row],[launched_at]]/60)/60/24)+DATE(1970,1,1)</f>
        <v>41820.776412037041</v>
      </c>
      <c r="M3767">
        <f>MONTH(Table1[[#This Row],[Date Created Conversion]])</f>
        <v>6</v>
      </c>
      <c r="N3767">
        <f>YEAR(Table1[[#This Row],[Date Created Conversion]])</f>
        <v>2014</v>
      </c>
      <c r="O3767" t="b">
        <v>0</v>
      </c>
      <c r="P3767">
        <v>107</v>
      </c>
      <c r="Q3767" t="b">
        <v>1</v>
      </c>
      <c r="R3767" t="s">
        <v>8305</v>
      </c>
      <c r="S3767" s="6">
        <f>Table1[[#This Row],[pledged]]/Table1[[#This Row],[goal]]</f>
        <v>1.1345714285714286</v>
      </c>
      <c r="T3767" s="8">
        <f>IF(Table1[[#This Row],[pledged]]=0,"no backers",Table1[[#This Row],[pledged]]/Table1[[#This Row],[backers_count]])</f>
        <v>74.224299065420567</v>
      </c>
      <c r="U3767" t="str">
        <f>LEFT(Table1[[#This Row],[Category and Sub-Category]],FIND("/",Table1[[#This Row],[Category and Sub-Category]])-1)</f>
        <v>theater</v>
      </c>
      <c r="V3767" t="str">
        <f>RIGHT(Table1[[#This Row],[Category and Sub-Category]],LEN(Table1[[#This Row],[Category and Sub-Category]])-FIND("/",Table1[[#This Row],[Category and Sub-Category]]))</f>
        <v>musical</v>
      </c>
    </row>
    <row r="3768" spans="1:22" ht="43.2" x14ac:dyDescent="0.3">
      <c r="A3768">
        <v>3766</v>
      </c>
      <c r="B3768" s="3" t="s">
        <v>3763</v>
      </c>
      <c r="C3768" s="3" t="s">
        <v>7876</v>
      </c>
      <c r="D3768" s="12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>((Table1[[#This Row],[deadline]]/60)/60/24)+DATE(1970,1,1)</f>
        <v>41823.167187500003</v>
      </c>
      <c r="K3768">
        <v>1401336045</v>
      </c>
      <c r="L3768" s="11">
        <f>((Table1[[#This Row],[launched_at]]/60)/60/24)+DATE(1970,1,1)</f>
        <v>41788.167187500003</v>
      </c>
      <c r="M3768">
        <f>MONTH(Table1[[#This Row],[Date Created Conversion]])</f>
        <v>5</v>
      </c>
      <c r="N3768">
        <f>YEAR(Table1[[#This Row],[Date Created Conversion]])</f>
        <v>2014</v>
      </c>
      <c r="O3768" t="b">
        <v>0</v>
      </c>
      <c r="P3768">
        <v>96</v>
      </c>
      <c r="Q3768" t="b">
        <v>1</v>
      </c>
      <c r="R3768" t="s">
        <v>8305</v>
      </c>
      <c r="S3768" s="6">
        <f>Table1[[#This Row],[pledged]]/Table1[[#This Row],[goal]]</f>
        <v>1.0265010000000001</v>
      </c>
      <c r="T3768" s="8">
        <f>IF(Table1[[#This Row],[pledged]]=0,"no backers",Table1[[#This Row],[pledged]]/Table1[[#This Row],[backers_count]])</f>
        <v>106.9271875</v>
      </c>
      <c r="U3768" t="str">
        <f>LEFT(Table1[[#This Row],[Category and Sub-Category]],FIND("/",Table1[[#This Row],[Category and Sub-Category]])-1)</f>
        <v>theater</v>
      </c>
      <c r="V3768" t="str">
        <f>RIGHT(Table1[[#This Row],[Category and Sub-Category]],LEN(Table1[[#This Row],[Category and Sub-Category]])-FIND("/",Table1[[#This Row],[Category and Sub-Category]]))</f>
        <v>musical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 s="12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>((Table1[[#This Row],[deadline]]/60)/60/24)+DATE(1970,1,1)</f>
        <v>42064.207638888889</v>
      </c>
      <c r="K3769">
        <v>1423960097</v>
      </c>
      <c r="L3769" s="11">
        <f>((Table1[[#This Row],[launched_at]]/60)/60/24)+DATE(1970,1,1)</f>
        <v>42050.019641203704</v>
      </c>
      <c r="M3769">
        <f>MONTH(Table1[[#This Row],[Date Created Conversion]])</f>
        <v>2</v>
      </c>
      <c r="N3769">
        <f>YEAR(Table1[[#This Row],[Date Created Conversion]])</f>
        <v>2015</v>
      </c>
      <c r="O3769" t="b">
        <v>0</v>
      </c>
      <c r="P3769">
        <v>56</v>
      </c>
      <c r="Q3769" t="b">
        <v>1</v>
      </c>
      <c r="R3769" t="s">
        <v>8305</v>
      </c>
      <c r="S3769" s="6">
        <f>Table1[[#This Row],[pledged]]/Table1[[#This Row],[goal]]</f>
        <v>1.1675</v>
      </c>
      <c r="T3769" s="8">
        <f>IF(Table1[[#This Row],[pledged]]=0,"no backers",Table1[[#This Row],[pledged]]/Table1[[#This Row],[backers_count]])</f>
        <v>41.696428571428569</v>
      </c>
      <c r="U3769" t="str">
        <f>LEFT(Table1[[#This Row],[Category and Sub-Category]],FIND("/",Table1[[#This Row],[Category and Sub-Category]])-1)</f>
        <v>theater</v>
      </c>
      <c r="V3769" t="str">
        <f>RIGHT(Table1[[#This Row],[Category and Sub-Category]],LEN(Table1[[#This Row],[Category and Sub-Category]])-FIND("/",Table1[[#This Row],[Category and Sub-Category]]))</f>
        <v>musical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 s="12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>((Table1[[#This Row],[deadline]]/60)/60/24)+DATE(1970,1,1)</f>
        <v>41802.727893518517</v>
      </c>
      <c r="K3770">
        <v>1400002090</v>
      </c>
      <c r="L3770" s="11">
        <f>((Table1[[#This Row],[launched_at]]/60)/60/24)+DATE(1970,1,1)</f>
        <v>41772.727893518517</v>
      </c>
      <c r="M3770">
        <f>MONTH(Table1[[#This Row],[Date Created Conversion]])</f>
        <v>5</v>
      </c>
      <c r="N3770">
        <f>YEAR(Table1[[#This Row],[Date Created Conversion]])</f>
        <v>2014</v>
      </c>
      <c r="O3770" t="b">
        <v>0</v>
      </c>
      <c r="P3770">
        <v>58</v>
      </c>
      <c r="Q3770" t="b">
        <v>1</v>
      </c>
      <c r="R3770" t="s">
        <v>8305</v>
      </c>
      <c r="S3770" s="6">
        <f>Table1[[#This Row],[pledged]]/Table1[[#This Row],[goal]]</f>
        <v>1.0765274999999999</v>
      </c>
      <c r="T3770" s="8">
        <f>IF(Table1[[#This Row],[pledged]]=0,"no backers",Table1[[#This Row],[pledged]]/Table1[[#This Row],[backers_count]])</f>
        <v>74.243275862068955</v>
      </c>
      <c r="U3770" t="str">
        <f>LEFT(Table1[[#This Row],[Category and Sub-Category]],FIND("/",Table1[[#This Row],[Category and Sub-Category]])-1)</f>
        <v>theater</v>
      </c>
      <c r="V3770" t="str">
        <f>RIGHT(Table1[[#This Row],[Category and Sub-Category]],LEN(Table1[[#This Row],[Category and Sub-Category]])-FIND("/",Table1[[#This Row],[Category and Sub-Category]]))</f>
        <v>musical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 s="12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>((Table1[[#This Row],[deadline]]/60)/60/24)+DATE(1970,1,1)</f>
        <v>42475.598136574074</v>
      </c>
      <c r="K3771">
        <v>1458138079</v>
      </c>
      <c r="L3771" s="11">
        <f>((Table1[[#This Row],[launched_at]]/60)/60/24)+DATE(1970,1,1)</f>
        <v>42445.598136574074</v>
      </c>
      <c r="M3771">
        <f>MONTH(Table1[[#This Row],[Date Created Conversion]])</f>
        <v>3</v>
      </c>
      <c r="N3771">
        <f>YEAR(Table1[[#This Row],[Date Created Conversion]])</f>
        <v>2016</v>
      </c>
      <c r="O3771" t="b">
        <v>0</v>
      </c>
      <c r="P3771">
        <v>15</v>
      </c>
      <c r="Q3771" t="b">
        <v>1</v>
      </c>
      <c r="R3771" t="s">
        <v>8305</v>
      </c>
      <c r="S3771" s="6">
        <f>Table1[[#This Row],[pledged]]/Table1[[#This Row],[goal]]</f>
        <v>1</v>
      </c>
      <c r="T3771" s="8">
        <f>IF(Table1[[#This Row],[pledged]]=0,"no backers",Table1[[#This Row],[pledged]]/Table1[[#This Row],[backers_count]])</f>
        <v>73.333333333333329</v>
      </c>
      <c r="U3771" t="str">
        <f>LEFT(Table1[[#This Row],[Category and Sub-Category]],FIND("/",Table1[[#This Row],[Category and Sub-Category]])-1)</f>
        <v>theater</v>
      </c>
      <c r="V3771" t="str">
        <f>RIGHT(Table1[[#This Row],[Category and Sub-Category]],LEN(Table1[[#This Row],[Category and Sub-Category]])-FIND("/",Table1[[#This Row],[Category and Sub-Category]]))</f>
        <v>musical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 s="1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>((Table1[[#This Row],[deadline]]/60)/60/24)+DATE(1970,1,1)</f>
        <v>42168.930671296301</v>
      </c>
      <c r="K3772">
        <v>1431642010</v>
      </c>
      <c r="L3772" s="11">
        <f>((Table1[[#This Row],[launched_at]]/60)/60/24)+DATE(1970,1,1)</f>
        <v>42138.930671296301</v>
      </c>
      <c r="M3772">
        <f>MONTH(Table1[[#This Row],[Date Created Conversion]])</f>
        <v>5</v>
      </c>
      <c r="N3772">
        <f>YEAR(Table1[[#This Row],[Date Created Conversion]])</f>
        <v>2015</v>
      </c>
      <c r="O3772" t="b">
        <v>0</v>
      </c>
      <c r="P3772">
        <v>20</v>
      </c>
      <c r="Q3772" t="b">
        <v>1</v>
      </c>
      <c r="R3772" t="s">
        <v>8305</v>
      </c>
      <c r="S3772" s="6">
        <f>Table1[[#This Row],[pledged]]/Table1[[#This Row],[goal]]</f>
        <v>1</v>
      </c>
      <c r="T3772" s="8">
        <f>IF(Table1[[#This Row],[pledged]]=0,"no backers",Table1[[#This Row],[pledged]]/Table1[[#This Row],[backers_count]])</f>
        <v>100</v>
      </c>
      <c r="U3772" t="str">
        <f>LEFT(Table1[[#This Row],[Category and Sub-Category]],FIND("/",Table1[[#This Row],[Category and Sub-Category]])-1)</f>
        <v>theater</v>
      </c>
      <c r="V3772" t="str">
        <f>RIGHT(Table1[[#This Row],[Category and Sub-Category]],LEN(Table1[[#This Row],[Category and Sub-Category]])-FIND("/",Table1[[#This Row],[Category and Sub-Category]]))</f>
        <v>musical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 s="12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>((Table1[[#This Row],[deadline]]/60)/60/24)+DATE(1970,1,1)</f>
        <v>42508</v>
      </c>
      <c r="K3773">
        <v>1462307652</v>
      </c>
      <c r="L3773" s="11">
        <f>((Table1[[#This Row],[launched_at]]/60)/60/24)+DATE(1970,1,1)</f>
        <v>42493.857083333336</v>
      </c>
      <c r="M3773">
        <f>MONTH(Table1[[#This Row],[Date Created Conversion]])</f>
        <v>5</v>
      </c>
      <c r="N3773">
        <f>YEAR(Table1[[#This Row],[Date Created Conversion]])</f>
        <v>2016</v>
      </c>
      <c r="O3773" t="b">
        <v>0</v>
      </c>
      <c r="P3773">
        <v>38</v>
      </c>
      <c r="Q3773" t="b">
        <v>1</v>
      </c>
      <c r="R3773" t="s">
        <v>8305</v>
      </c>
      <c r="S3773" s="6">
        <f>Table1[[#This Row],[pledged]]/Table1[[#This Row],[goal]]</f>
        <v>1.46</v>
      </c>
      <c r="T3773" s="8">
        <f>IF(Table1[[#This Row],[pledged]]=0,"no backers",Table1[[#This Row],[pledged]]/Table1[[#This Row],[backers_count]])</f>
        <v>38.421052631578945</v>
      </c>
      <c r="U3773" t="str">
        <f>LEFT(Table1[[#This Row],[Category and Sub-Category]],FIND("/",Table1[[#This Row],[Category and Sub-Category]])-1)</f>
        <v>theater</v>
      </c>
      <c r="V3773" t="str">
        <f>RIGHT(Table1[[#This Row],[Category and Sub-Category]],LEN(Table1[[#This Row],[Category and Sub-Category]])-FIND("/",Table1[[#This Row],[Category and Sub-Category]]))</f>
        <v>musical</v>
      </c>
    </row>
    <row r="3774" spans="1:22" ht="43.2" x14ac:dyDescent="0.3">
      <c r="A3774">
        <v>3772</v>
      </c>
      <c r="B3774" s="3" t="s">
        <v>3769</v>
      </c>
      <c r="C3774" s="3" t="s">
        <v>7882</v>
      </c>
      <c r="D3774" s="12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>((Table1[[#This Row],[deadline]]/60)/60/24)+DATE(1970,1,1)</f>
        <v>42703.25</v>
      </c>
      <c r="K3774">
        <v>1478616506</v>
      </c>
      <c r="L3774" s="11">
        <f>((Table1[[#This Row],[launched_at]]/60)/60/24)+DATE(1970,1,1)</f>
        <v>42682.616967592592</v>
      </c>
      <c r="M3774">
        <f>MONTH(Table1[[#This Row],[Date Created Conversion]])</f>
        <v>11</v>
      </c>
      <c r="N3774">
        <f>YEAR(Table1[[#This Row],[Date Created Conversion]])</f>
        <v>2016</v>
      </c>
      <c r="O3774" t="b">
        <v>0</v>
      </c>
      <c r="P3774">
        <v>33</v>
      </c>
      <c r="Q3774" t="b">
        <v>1</v>
      </c>
      <c r="R3774" t="s">
        <v>8305</v>
      </c>
      <c r="S3774" s="6">
        <f>Table1[[#This Row],[pledged]]/Table1[[#This Row],[goal]]</f>
        <v>1.1020000000000001</v>
      </c>
      <c r="T3774" s="8">
        <f>IF(Table1[[#This Row],[pledged]]=0,"no backers",Table1[[#This Row],[pledged]]/Table1[[#This Row],[backers_count]])</f>
        <v>166.96969696969697</v>
      </c>
      <c r="U3774" t="str">
        <f>LEFT(Table1[[#This Row],[Category and Sub-Category]],FIND("/",Table1[[#This Row],[Category and Sub-Category]])-1)</f>
        <v>theater</v>
      </c>
      <c r="V3774" t="str">
        <f>RIGHT(Table1[[#This Row],[Category and Sub-Category]],LEN(Table1[[#This Row],[Category and Sub-Category]])-FIND("/",Table1[[#This Row],[Category and Sub-Category]]))</f>
        <v>musical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 s="12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>((Table1[[#This Row],[deadline]]/60)/60/24)+DATE(1970,1,1)</f>
        <v>42689.088888888888</v>
      </c>
      <c r="K3775">
        <v>1476317247</v>
      </c>
      <c r="L3775" s="11">
        <f>((Table1[[#This Row],[launched_at]]/60)/60/24)+DATE(1970,1,1)</f>
        <v>42656.005173611105</v>
      </c>
      <c r="M3775">
        <f>MONTH(Table1[[#This Row],[Date Created Conversion]])</f>
        <v>10</v>
      </c>
      <c r="N3775">
        <f>YEAR(Table1[[#This Row],[Date Created Conversion]])</f>
        <v>2016</v>
      </c>
      <c r="O3775" t="b">
        <v>0</v>
      </c>
      <c r="P3775">
        <v>57</v>
      </c>
      <c r="Q3775" t="b">
        <v>1</v>
      </c>
      <c r="R3775" t="s">
        <v>8305</v>
      </c>
      <c r="S3775" s="6">
        <f>Table1[[#This Row],[pledged]]/Table1[[#This Row],[goal]]</f>
        <v>1.0820000000000001</v>
      </c>
      <c r="T3775" s="8">
        <f>IF(Table1[[#This Row],[pledged]]=0,"no backers",Table1[[#This Row],[pledged]]/Table1[[#This Row],[backers_count]])</f>
        <v>94.912280701754383</v>
      </c>
      <c r="U3775" t="str">
        <f>LEFT(Table1[[#This Row],[Category and Sub-Category]],FIND("/",Table1[[#This Row],[Category and Sub-Category]])-1)</f>
        <v>theater</v>
      </c>
      <c r="V3775" t="str">
        <f>RIGHT(Table1[[#This Row],[Category and Sub-Category]],LEN(Table1[[#This Row],[Category and Sub-Category]])-FIND("/",Table1[[#This Row],[Category and Sub-Category]]))</f>
        <v>musical</v>
      </c>
    </row>
    <row r="3776" spans="1:22" ht="57.6" x14ac:dyDescent="0.3">
      <c r="A3776">
        <v>3774</v>
      </c>
      <c r="B3776" s="3" t="s">
        <v>3771</v>
      </c>
      <c r="C3776" s="3" t="s">
        <v>7884</v>
      </c>
      <c r="D3776" s="12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>((Table1[[#This Row],[deadline]]/60)/60/24)+DATE(1970,1,1)</f>
        <v>42103.792303240742</v>
      </c>
      <c r="K3776">
        <v>1427223655</v>
      </c>
      <c r="L3776" s="11">
        <f>((Table1[[#This Row],[launched_at]]/60)/60/24)+DATE(1970,1,1)</f>
        <v>42087.792303240742</v>
      </c>
      <c r="M3776">
        <f>MONTH(Table1[[#This Row],[Date Created Conversion]])</f>
        <v>3</v>
      </c>
      <c r="N3776">
        <f>YEAR(Table1[[#This Row],[Date Created Conversion]])</f>
        <v>2015</v>
      </c>
      <c r="O3776" t="b">
        <v>0</v>
      </c>
      <c r="P3776">
        <v>25</v>
      </c>
      <c r="Q3776" t="b">
        <v>1</v>
      </c>
      <c r="R3776" t="s">
        <v>8305</v>
      </c>
      <c r="S3776" s="6">
        <f>Table1[[#This Row],[pledged]]/Table1[[#This Row],[goal]]</f>
        <v>1</v>
      </c>
      <c r="T3776" s="8">
        <f>IF(Table1[[#This Row],[pledged]]=0,"no backers",Table1[[#This Row],[pledged]]/Table1[[#This Row],[backers_count]])</f>
        <v>100</v>
      </c>
      <c r="U3776" t="str">
        <f>LEFT(Table1[[#This Row],[Category and Sub-Category]],FIND("/",Table1[[#This Row],[Category and Sub-Category]])-1)</f>
        <v>theater</v>
      </c>
      <c r="V3776" t="str">
        <f>RIGHT(Table1[[#This Row],[Category and Sub-Category]],LEN(Table1[[#This Row],[Category and Sub-Category]])-FIND("/",Table1[[#This Row],[Category and Sub-Category]]))</f>
        <v>musical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 s="12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>((Table1[[#This Row],[deadline]]/60)/60/24)+DATE(1970,1,1)</f>
        <v>42103.166666666672</v>
      </c>
      <c r="K3777">
        <v>1426199843</v>
      </c>
      <c r="L3777" s="11">
        <f>((Table1[[#This Row],[launched_at]]/60)/60/24)+DATE(1970,1,1)</f>
        <v>42075.942627314813</v>
      </c>
      <c r="M3777">
        <f>MONTH(Table1[[#This Row],[Date Created Conversion]])</f>
        <v>3</v>
      </c>
      <c r="N3777">
        <f>YEAR(Table1[[#This Row],[Date Created Conversion]])</f>
        <v>2015</v>
      </c>
      <c r="O3777" t="b">
        <v>0</v>
      </c>
      <c r="P3777">
        <v>14</v>
      </c>
      <c r="Q3777" t="b">
        <v>1</v>
      </c>
      <c r="R3777" t="s">
        <v>8305</v>
      </c>
      <c r="S3777" s="6">
        <f>Table1[[#This Row],[pledged]]/Table1[[#This Row],[goal]]</f>
        <v>1.0024999999999999</v>
      </c>
      <c r="T3777" s="8">
        <f>IF(Table1[[#This Row],[pledged]]=0,"no backers",Table1[[#This Row],[pledged]]/Table1[[#This Row],[backers_count]])</f>
        <v>143.21428571428572</v>
      </c>
      <c r="U3777" t="str">
        <f>LEFT(Table1[[#This Row],[Category and Sub-Category]],FIND("/",Table1[[#This Row],[Category and Sub-Category]])-1)</f>
        <v>theater</v>
      </c>
      <c r="V3777" t="str">
        <f>RIGHT(Table1[[#This Row],[Category and Sub-Category]],LEN(Table1[[#This Row],[Category and Sub-Category]])-FIND("/",Table1[[#This Row],[Category and Sub-Category]]))</f>
        <v>musical</v>
      </c>
    </row>
    <row r="3778" spans="1:22" ht="57.6" x14ac:dyDescent="0.3">
      <c r="A3778">
        <v>3776</v>
      </c>
      <c r="B3778" s="3" t="s">
        <v>3773</v>
      </c>
      <c r="C3778" s="3" t="s">
        <v>7886</v>
      </c>
      <c r="D3778" s="12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>((Table1[[#This Row],[deadline]]/60)/60/24)+DATE(1970,1,1)</f>
        <v>41852.041666666664</v>
      </c>
      <c r="K3778">
        <v>1403599778</v>
      </c>
      <c r="L3778" s="11">
        <f>((Table1[[#This Row],[launched_at]]/60)/60/24)+DATE(1970,1,1)</f>
        <v>41814.367800925924</v>
      </c>
      <c r="M3778">
        <f>MONTH(Table1[[#This Row],[Date Created Conversion]])</f>
        <v>6</v>
      </c>
      <c r="N3778">
        <f>YEAR(Table1[[#This Row],[Date Created Conversion]])</f>
        <v>2014</v>
      </c>
      <c r="O3778" t="b">
        <v>0</v>
      </c>
      <c r="P3778">
        <v>94</v>
      </c>
      <c r="Q3778" t="b">
        <v>1</v>
      </c>
      <c r="R3778" t="s">
        <v>8305</v>
      </c>
      <c r="S3778" s="6">
        <f>Table1[[#This Row],[pledged]]/Table1[[#This Row],[goal]]</f>
        <v>1.0671250000000001</v>
      </c>
      <c r="T3778" s="8">
        <f>IF(Table1[[#This Row],[pledged]]=0,"no backers",Table1[[#This Row],[pledged]]/Table1[[#This Row],[backers_count]])</f>
        <v>90.819148936170208</v>
      </c>
      <c r="U3778" t="str">
        <f>LEFT(Table1[[#This Row],[Category and Sub-Category]],FIND("/",Table1[[#This Row],[Category and Sub-Category]])-1)</f>
        <v>theater</v>
      </c>
      <c r="V3778" t="str">
        <f>RIGHT(Table1[[#This Row],[Category and Sub-Category]],LEN(Table1[[#This Row],[Category and Sub-Category]])-FIND("/",Table1[[#This Row],[Category and Sub-Category]]))</f>
        <v>musical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 s="12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>((Table1[[#This Row],[deadline]]/60)/60/24)+DATE(1970,1,1)</f>
        <v>41909.166666666664</v>
      </c>
      <c r="K3779">
        <v>1409884821</v>
      </c>
      <c r="L3779" s="11">
        <f>((Table1[[#This Row],[launched_at]]/60)/60/24)+DATE(1970,1,1)</f>
        <v>41887.111354166671</v>
      </c>
      <c r="M3779">
        <f>MONTH(Table1[[#This Row],[Date Created Conversion]])</f>
        <v>9</v>
      </c>
      <c r="N3779">
        <f>YEAR(Table1[[#This Row],[Date Created Conversion]])</f>
        <v>2014</v>
      </c>
      <c r="O3779" t="b">
        <v>0</v>
      </c>
      <c r="P3779">
        <v>59</v>
      </c>
      <c r="Q3779" t="b">
        <v>1</v>
      </c>
      <c r="R3779" t="s">
        <v>8305</v>
      </c>
      <c r="S3779" s="6">
        <f>Table1[[#This Row],[pledged]]/Table1[[#This Row],[goal]]</f>
        <v>1.4319999999999999</v>
      </c>
      <c r="T3779" s="8">
        <f>IF(Table1[[#This Row],[pledged]]=0,"no backers",Table1[[#This Row],[pledged]]/Table1[[#This Row],[backers_count]])</f>
        <v>48.542372881355931</v>
      </c>
      <c r="U3779" t="str">
        <f>LEFT(Table1[[#This Row],[Category and Sub-Category]],FIND("/",Table1[[#This Row],[Category and Sub-Category]])-1)</f>
        <v>theater</v>
      </c>
      <c r="V3779" t="str">
        <f>RIGHT(Table1[[#This Row],[Category and Sub-Category]],LEN(Table1[[#This Row],[Category and Sub-Category]])-FIND("/",Table1[[#This Row],[Category and Sub-Category]]))</f>
        <v>musical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 s="12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>((Table1[[#This Row],[deadline]]/60)/60/24)+DATE(1970,1,1)</f>
        <v>42049.819212962961</v>
      </c>
      <c r="K3780">
        <v>1418758780</v>
      </c>
      <c r="L3780" s="11">
        <f>((Table1[[#This Row],[launched_at]]/60)/60/24)+DATE(1970,1,1)</f>
        <v>41989.819212962961</v>
      </c>
      <c r="M3780">
        <f>MONTH(Table1[[#This Row],[Date Created Conversion]])</f>
        <v>12</v>
      </c>
      <c r="N3780">
        <f>YEAR(Table1[[#This Row],[Date Created Conversion]])</f>
        <v>2014</v>
      </c>
      <c r="O3780" t="b">
        <v>0</v>
      </c>
      <c r="P3780">
        <v>36</v>
      </c>
      <c r="Q3780" t="b">
        <v>1</v>
      </c>
      <c r="R3780" t="s">
        <v>8305</v>
      </c>
      <c r="S3780" s="6">
        <f>Table1[[#This Row],[pledged]]/Table1[[#This Row],[goal]]</f>
        <v>1.0504166666666668</v>
      </c>
      <c r="T3780" s="8">
        <f>IF(Table1[[#This Row],[pledged]]=0,"no backers",Table1[[#This Row],[pledged]]/Table1[[#This Row],[backers_count]])</f>
        <v>70.027777777777771</v>
      </c>
      <c r="U3780" t="str">
        <f>LEFT(Table1[[#This Row],[Category and Sub-Category]],FIND("/",Table1[[#This Row],[Category and Sub-Category]])-1)</f>
        <v>theater</v>
      </c>
      <c r="V3780" t="str">
        <f>RIGHT(Table1[[#This Row],[Category and Sub-Category]],LEN(Table1[[#This Row],[Category and Sub-Category]])-FIND("/",Table1[[#This Row],[Category and Sub-Category]]))</f>
        <v>musical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 s="12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>((Table1[[#This Row],[deadline]]/60)/60/24)+DATE(1970,1,1)</f>
        <v>42455.693750000006</v>
      </c>
      <c r="K3781">
        <v>1456421940</v>
      </c>
      <c r="L3781" s="11">
        <f>((Table1[[#This Row],[launched_at]]/60)/60/24)+DATE(1970,1,1)</f>
        <v>42425.735416666663</v>
      </c>
      <c r="M3781">
        <f>MONTH(Table1[[#This Row],[Date Created Conversion]])</f>
        <v>2</v>
      </c>
      <c r="N3781">
        <f>YEAR(Table1[[#This Row],[Date Created Conversion]])</f>
        <v>2016</v>
      </c>
      <c r="O3781" t="b">
        <v>0</v>
      </c>
      <c r="P3781">
        <v>115</v>
      </c>
      <c r="Q3781" t="b">
        <v>1</v>
      </c>
      <c r="R3781" t="s">
        <v>8305</v>
      </c>
      <c r="S3781" s="6">
        <f>Table1[[#This Row],[pledged]]/Table1[[#This Row],[goal]]</f>
        <v>1.0398000000000001</v>
      </c>
      <c r="T3781" s="8">
        <f>IF(Table1[[#This Row],[pledged]]=0,"no backers",Table1[[#This Row],[pledged]]/Table1[[#This Row],[backers_count]])</f>
        <v>135.62608695652173</v>
      </c>
      <c r="U3781" t="str">
        <f>LEFT(Table1[[#This Row],[Category and Sub-Category]],FIND("/",Table1[[#This Row],[Category and Sub-Category]])-1)</f>
        <v>theater</v>
      </c>
      <c r="V3781" t="str">
        <f>RIGHT(Table1[[#This Row],[Category and Sub-Category]],LEN(Table1[[#This Row],[Category and Sub-Category]])-FIND("/",Table1[[#This Row],[Category and Sub-Category]]))</f>
        <v>musical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 s="1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>((Table1[[#This Row],[deadline]]/60)/60/24)+DATE(1970,1,1)</f>
        <v>42198.837499999994</v>
      </c>
      <c r="K3782">
        <v>1433999785</v>
      </c>
      <c r="L3782" s="11">
        <f>((Table1[[#This Row],[launched_at]]/60)/60/24)+DATE(1970,1,1)</f>
        <v>42166.219733796301</v>
      </c>
      <c r="M3782">
        <f>MONTH(Table1[[#This Row],[Date Created Conversion]])</f>
        <v>6</v>
      </c>
      <c r="N3782">
        <f>YEAR(Table1[[#This Row],[Date Created Conversion]])</f>
        <v>2015</v>
      </c>
      <c r="O3782" t="b">
        <v>0</v>
      </c>
      <c r="P3782">
        <v>30</v>
      </c>
      <c r="Q3782" t="b">
        <v>1</v>
      </c>
      <c r="R3782" t="s">
        <v>8305</v>
      </c>
      <c r="S3782" s="6">
        <f>Table1[[#This Row],[pledged]]/Table1[[#This Row],[goal]]</f>
        <v>1.2</v>
      </c>
      <c r="T3782" s="8">
        <f>IF(Table1[[#This Row],[pledged]]=0,"no backers",Table1[[#This Row],[pledged]]/Table1[[#This Row],[backers_count]])</f>
        <v>100</v>
      </c>
      <c r="U3782" t="str">
        <f>LEFT(Table1[[#This Row],[Category and Sub-Category]],FIND("/",Table1[[#This Row],[Category and Sub-Category]])-1)</f>
        <v>theater</v>
      </c>
      <c r="V3782" t="str">
        <f>RIGHT(Table1[[#This Row],[Category and Sub-Category]],LEN(Table1[[#This Row],[Category and Sub-Category]])-FIND("/",Table1[[#This Row],[Category and Sub-Category]]))</f>
        <v>musical</v>
      </c>
    </row>
    <row r="3783" spans="1:22" ht="57.6" x14ac:dyDescent="0.3">
      <c r="A3783">
        <v>3781</v>
      </c>
      <c r="B3783" s="3" t="s">
        <v>3778</v>
      </c>
      <c r="C3783" s="3" t="s">
        <v>7891</v>
      </c>
      <c r="D3783" s="12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>((Table1[[#This Row],[deadline]]/60)/60/24)+DATE(1970,1,1)</f>
        <v>41890.882928240739</v>
      </c>
      <c r="K3783">
        <v>1408050685</v>
      </c>
      <c r="L3783" s="11">
        <f>((Table1[[#This Row],[launched_at]]/60)/60/24)+DATE(1970,1,1)</f>
        <v>41865.882928240739</v>
      </c>
      <c r="M3783">
        <f>MONTH(Table1[[#This Row],[Date Created Conversion]])</f>
        <v>8</v>
      </c>
      <c r="N3783">
        <f>YEAR(Table1[[#This Row],[Date Created Conversion]])</f>
        <v>2014</v>
      </c>
      <c r="O3783" t="b">
        <v>0</v>
      </c>
      <c r="P3783">
        <v>52</v>
      </c>
      <c r="Q3783" t="b">
        <v>1</v>
      </c>
      <c r="R3783" t="s">
        <v>8305</v>
      </c>
      <c r="S3783" s="6">
        <f>Table1[[#This Row],[pledged]]/Table1[[#This Row],[goal]]</f>
        <v>1.0966666666666667</v>
      </c>
      <c r="T3783" s="8">
        <f>IF(Table1[[#This Row],[pledged]]=0,"no backers",Table1[[#This Row],[pledged]]/Table1[[#This Row],[backers_count]])</f>
        <v>94.90384615384616</v>
      </c>
      <c r="U3783" t="str">
        <f>LEFT(Table1[[#This Row],[Category and Sub-Category]],FIND("/",Table1[[#This Row],[Category and Sub-Category]])-1)</f>
        <v>theater</v>
      </c>
      <c r="V3783" t="str">
        <f>RIGHT(Table1[[#This Row],[Category and Sub-Category]],LEN(Table1[[#This Row],[Category and Sub-Category]])-FIND("/",Table1[[#This Row],[Category and Sub-Category]]))</f>
        <v>musical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 s="12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>((Table1[[#This Row],[deadline]]/60)/60/24)+DATE(1970,1,1)</f>
        <v>42575.958333333328</v>
      </c>
      <c r="K3784">
        <v>1466887297</v>
      </c>
      <c r="L3784" s="11">
        <f>((Table1[[#This Row],[launched_at]]/60)/60/24)+DATE(1970,1,1)</f>
        <v>42546.862233796302</v>
      </c>
      <c r="M3784">
        <f>MONTH(Table1[[#This Row],[Date Created Conversion]])</f>
        <v>6</v>
      </c>
      <c r="N3784">
        <f>YEAR(Table1[[#This Row],[Date Created Conversion]])</f>
        <v>2016</v>
      </c>
      <c r="O3784" t="b">
        <v>0</v>
      </c>
      <c r="P3784">
        <v>27</v>
      </c>
      <c r="Q3784" t="b">
        <v>1</v>
      </c>
      <c r="R3784" t="s">
        <v>8305</v>
      </c>
      <c r="S3784" s="6">
        <f>Table1[[#This Row],[pledged]]/Table1[[#This Row],[goal]]</f>
        <v>1.0175000000000001</v>
      </c>
      <c r="T3784" s="8">
        <f>IF(Table1[[#This Row],[pledged]]=0,"no backers",Table1[[#This Row],[pledged]]/Table1[[#This Row],[backers_count]])</f>
        <v>75.370370370370367</v>
      </c>
      <c r="U3784" t="str">
        <f>LEFT(Table1[[#This Row],[Category and Sub-Category]],FIND("/",Table1[[#This Row],[Category and Sub-Category]])-1)</f>
        <v>theater</v>
      </c>
      <c r="V3784" t="str">
        <f>RIGHT(Table1[[#This Row],[Category and Sub-Category]],LEN(Table1[[#This Row],[Category and Sub-Category]])-FIND("/",Table1[[#This Row],[Category and Sub-Category]]))</f>
        <v>musical</v>
      </c>
    </row>
    <row r="3785" spans="1:22" ht="43.2" x14ac:dyDescent="0.3">
      <c r="A3785">
        <v>3783</v>
      </c>
      <c r="B3785" s="3" t="s">
        <v>3780</v>
      </c>
      <c r="C3785" s="3" t="s">
        <v>7893</v>
      </c>
      <c r="D3785" s="12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>((Table1[[#This Row],[deadline]]/60)/60/24)+DATE(1970,1,1)</f>
        <v>42444.666666666672</v>
      </c>
      <c r="K3785">
        <v>1455938520</v>
      </c>
      <c r="L3785" s="11">
        <f>((Table1[[#This Row],[launched_at]]/60)/60/24)+DATE(1970,1,1)</f>
        <v>42420.140277777777</v>
      </c>
      <c r="M3785">
        <f>MONTH(Table1[[#This Row],[Date Created Conversion]])</f>
        <v>2</v>
      </c>
      <c r="N3785">
        <f>YEAR(Table1[[#This Row],[Date Created Conversion]])</f>
        <v>2016</v>
      </c>
      <c r="O3785" t="b">
        <v>0</v>
      </c>
      <c r="P3785">
        <v>24</v>
      </c>
      <c r="Q3785" t="b">
        <v>1</v>
      </c>
      <c r="R3785" t="s">
        <v>8305</v>
      </c>
      <c r="S3785" s="6">
        <f>Table1[[#This Row],[pledged]]/Table1[[#This Row],[goal]]</f>
        <v>1.2891666666666666</v>
      </c>
      <c r="T3785" s="8">
        <f>IF(Table1[[#This Row],[pledged]]=0,"no backers",Table1[[#This Row],[pledged]]/Table1[[#This Row],[backers_count]])</f>
        <v>64.458333333333329</v>
      </c>
      <c r="U3785" t="str">
        <f>LEFT(Table1[[#This Row],[Category and Sub-Category]],FIND("/",Table1[[#This Row],[Category and Sub-Category]])-1)</f>
        <v>theater</v>
      </c>
      <c r="V3785" t="str">
        <f>RIGHT(Table1[[#This Row],[Category and Sub-Category]],LEN(Table1[[#This Row],[Category and Sub-Category]])-FIND("/",Table1[[#This Row],[Category and Sub-Category]]))</f>
        <v>musical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 s="12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>((Table1[[#This Row],[deadline]]/60)/60/24)+DATE(1970,1,1)</f>
        <v>42561.980694444443</v>
      </c>
      <c r="K3786">
        <v>1465601532</v>
      </c>
      <c r="L3786" s="11">
        <f>((Table1[[#This Row],[launched_at]]/60)/60/24)+DATE(1970,1,1)</f>
        <v>42531.980694444443</v>
      </c>
      <c r="M3786">
        <f>MONTH(Table1[[#This Row],[Date Created Conversion]])</f>
        <v>6</v>
      </c>
      <c r="N3786">
        <f>YEAR(Table1[[#This Row],[Date Created Conversion]])</f>
        <v>2016</v>
      </c>
      <c r="O3786" t="b">
        <v>0</v>
      </c>
      <c r="P3786">
        <v>10</v>
      </c>
      <c r="Q3786" t="b">
        <v>1</v>
      </c>
      <c r="R3786" t="s">
        <v>8305</v>
      </c>
      <c r="S3786" s="6">
        <f>Table1[[#This Row],[pledged]]/Table1[[#This Row],[goal]]</f>
        <v>1.1499999999999999</v>
      </c>
      <c r="T3786" s="8">
        <f>IF(Table1[[#This Row],[pledged]]=0,"no backers",Table1[[#This Row],[pledged]]/Table1[[#This Row],[backers_count]])</f>
        <v>115</v>
      </c>
      <c r="U3786" t="str">
        <f>LEFT(Table1[[#This Row],[Category and Sub-Category]],FIND("/",Table1[[#This Row],[Category and Sub-Category]])-1)</f>
        <v>theater</v>
      </c>
      <c r="V3786" t="str">
        <f>RIGHT(Table1[[#This Row],[Category and Sub-Category]],LEN(Table1[[#This Row],[Category and Sub-Category]])-FIND("/",Table1[[#This Row],[Category and Sub-Category]]))</f>
        <v>musical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 s="12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>((Table1[[#This Row],[deadline]]/60)/60/24)+DATE(1970,1,1)</f>
        <v>42584.418749999997</v>
      </c>
      <c r="K3787">
        <v>1467040769</v>
      </c>
      <c r="L3787" s="11">
        <f>((Table1[[#This Row],[launched_at]]/60)/60/24)+DATE(1970,1,1)</f>
        <v>42548.63853009259</v>
      </c>
      <c r="M3787">
        <f>MONTH(Table1[[#This Row],[Date Created Conversion]])</f>
        <v>6</v>
      </c>
      <c r="N3787">
        <f>YEAR(Table1[[#This Row],[Date Created Conversion]])</f>
        <v>2016</v>
      </c>
      <c r="O3787" t="b">
        <v>0</v>
      </c>
      <c r="P3787">
        <v>30</v>
      </c>
      <c r="Q3787" t="b">
        <v>1</v>
      </c>
      <c r="R3787" t="s">
        <v>8305</v>
      </c>
      <c r="S3787" s="6">
        <f>Table1[[#This Row],[pledged]]/Table1[[#This Row],[goal]]</f>
        <v>1.5075000000000001</v>
      </c>
      <c r="T3787" s="8">
        <f>IF(Table1[[#This Row],[pledged]]=0,"no backers",Table1[[#This Row],[pledged]]/Table1[[#This Row],[backers_count]])</f>
        <v>100.5</v>
      </c>
      <c r="U3787" t="str">
        <f>LEFT(Table1[[#This Row],[Category and Sub-Category]],FIND("/",Table1[[#This Row],[Category and Sub-Category]])-1)</f>
        <v>theater</v>
      </c>
      <c r="V3787" t="str">
        <f>RIGHT(Table1[[#This Row],[Category and Sub-Category]],LEN(Table1[[#This Row],[Category and Sub-Category]])-FIND("/",Table1[[#This Row],[Category and Sub-Category]]))</f>
        <v>musical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 s="12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>((Table1[[#This Row],[deadline]]/60)/60/24)+DATE(1970,1,1)</f>
        <v>42517.037905092591</v>
      </c>
      <c r="K3788">
        <v>1461718475</v>
      </c>
      <c r="L3788" s="11">
        <f>((Table1[[#This Row],[launched_at]]/60)/60/24)+DATE(1970,1,1)</f>
        <v>42487.037905092591</v>
      </c>
      <c r="M3788">
        <f>MONTH(Table1[[#This Row],[Date Created Conversion]])</f>
        <v>4</v>
      </c>
      <c r="N3788">
        <f>YEAR(Table1[[#This Row],[Date Created Conversion]])</f>
        <v>2016</v>
      </c>
      <c r="O3788" t="b">
        <v>0</v>
      </c>
      <c r="P3788">
        <v>71</v>
      </c>
      <c r="Q3788" t="b">
        <v>1</v>
      </c>
      <c r="R3788" t="s">
        <v>8305</v>
      </c>
      <c r="S3788" s="6">
        <f>Table1[[#This Row],[pledged]]/Table1[[#This Row],[goal]]</f>
        <v>1.1096666666666666</v>
      </c>
      <c r="T3788" s="8">
        <f>IF(Table1[[#This Row],[pledged]]=0,"no backers",Table1[[#This Row],[pledged]]/Table1[[#This Row],[backers_count]])</f>
        <v>93.774647887323937</v>
      </c>
      <c r="U3788" t="str">
        <f>LEFT(Table1[[#This Row],[Category and Sub-Category]],FIND("/",Table1[[#This Row],[Category and Sub-Category]])-1)</f>
        <v>theater</v>
      </c>
      <c r="V3788" t="str">
        <f>RIGHT(Table1[[#This Row],[Category and Sub-Category]],LEN(Table1[[#This Row],[Category and Sub-Category]])-FIND("/",Table1[[#This Row],[Category and Sub-Category]]))</f>
        <v>musical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 s="12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>((Table1[[#This Row],[deadline]]/60)/60/24)+DATE(1970,1,1)</f>
        <v>42196.165972222225</v>
      </c>
      <c r="K3789">
        <v>1434113406</v>
      </c>
      <c r="L3789" s="11">
        <f>((Table1[[#This Row],[launched_at]]/60)/60/24)+DATE(1970,1,1)</f>
        <v>42167.534791666665</v>
      </c>
      <c r="M3789">
        <f>MONTH(Table1[[#This Row],[Date Created Conversion]])</f>
        <v>6</v>
      </c>
      <c r="N3789">
        <f>YEAR(Table1[[#This Row],[Date Created Conversion]])</f>
        <v>2015</v>
      </c>
      <c r="O3789" t="b">
        <v>0</v>
      </c>
      <c r="P3789">
        <v>10</v>
      </c>
      <c r="Q3789" t="b">
        <v>1</v>
      </c>
      <c r="R3789" t="s">
        <v>8305</v>
      </c>
      <c r="S3789" s="6">
        <f>Table1[[#This Row],[pledged]]/Table1[[#This Row],[goal]]</f>
        <v>1.0028571428571429</v>
      </c>
      <c r="T3789" s="8">
        <f>IF(Table1[[#This Row],[pledged]]=0,"no backers",Table1[[#This Row],[pledged]]/Table1[[#This Row],[backers_count]])</f>
        <v>35.1</v>
      </c>
      <c r="U3789" t="str">
        <f>LEFT(Table1[[#This Row],[Category and Sub-Category]],FIND("/",Table1[[#This Row],[Category and Sub-Category]])-1)</f>
        <v>theater</v>
      </c>
      <c r="V3789" t="str">
        <f>RIGHT(Table1[[#This Row],[Category and Sub-Category]],LEN(Table1[[#This Row],[Category and Sub-Category]])-FIND("/",Table1[[#This Row],[Category and Sub-Category]]))</f>
        <v>musical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 s="12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>((Table1[[#This Row],[deadline]]/60)/60/24)+DATE(1970,1,1)</f>
        <v>42361.679166666669</v>
      </c>
      <c r="K3790">
        <v>1448469719</v>
      </c>
      <c r="L3790" s="11">
        <f>((Table1[[#This Row],[launched_at]]/60)/60/24)+DATE(1970,1,1)</f>
        <v>42333.695821759262</v>
      </c>
      <c r="M3790">
        <f>MONTH(Table1[[#This Row],[Date Created Conversion]])</f>
        <v>11</v>
      </c>
      <c r="N3790">
        <f>YEAR(Table1[[#This Row],[Date Created Conversion]])</f>
        <v>2015</v>
      </c>
      <c r="O3790" t="b">
        <v>0</v>
      </c>
      <c r="P3790">
        <v>1</v>
      </c>
      <c r="Q3790" t="b">
        <v>0</v>
      </c>
      <c r="R3790" t="s">
        <v>8305</v>
      </c>
      <c r="S3790" s="6">
        <f>Table1[[#This Row],[pledged]]/Table1[[#This Row],[goal]]</f>
        <v>6.6666666666666671E-3</v>
      </c>
      <c r="T3790" s="8">
        <f>IF(Table1[[#This Row],[pledged]]=0,"no backers",Table1[[#This Row],[pledged]]/Table1[[#This Row],[backers_count]])</f>
        <v>500</v>
      </c>
      <c r="U3790" t="str">
        <f>LEFT(Table1[[#This Row],[Category and Sub-Category]],FIND("/",Table1[[#This Row],[Category and Sub-Category]])-1)</f>
        <v>theater</v>
      </c>
      <c r="V3790" t="str">
        <f>RIGHT(Table1[[#This Row],[Category and Sub-Category]],LEN(Table1[[#This Row],[Category and Sub-Category]])-FIND("/",Table1[[#This Row],[Category and Sub-Category]]))</f>
        <v>musical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 s="12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>((Table1[[#This Row],[deadline]]/60)/60/24)+DATE(1970,1,1)</f>
        <v>42170.798819444448</v>
      </c>
      <c r="K3791">
        <v>1431630618</v>
      </c>
      <c r="L3791" s="11">
        <f>((Table1[[#This Row],[launched_at]]/60)/60/24)+DATE(1970,1,1)</f>
        <v>42138.798819444448</v>
      </c>
      <c r="M3791">
        <f>MONTH(Table1[[#This Row],[Date Created Conversion]])</f>
        <v>5</v>
      </c>
      <c r="N3791">
        <f>YEAR(Table1[[#This Row],[Date Created Conversion]])</f>
        <v>2015</v>
      </c>
      <c r="O3791" t="b">
        <v>0</v>
      </c>
      <c r="P3791">
        <v>4</v>
      </c>
      <c r="Q3791" t="b">
        <v>0</v>
      </c>
      <c r="R3791" t="s">
        <v>8305</v>
      </c>
      <c r="S3791" s="6">
        <f>Table1[[#This Row],[pledged]]/Table1[[#This Row],[goal]]</f>
        <v>3.267605633802817E-2</v>
      </c>
      <c r="T3791" s="8">
        <f>IF(Table1[[#This Row],[pledged]]=0,"no backers",Table1[[#This Row],[pledged]]/Table1[[#This Row],[backers_count]])</f>
        <v>29</v>
      </c>
      <c r="U3791" t="str">
        <f>LEFT(Table1[[#This Row],[Category and Sub-Category]],FIND("/",Table1[[#This Row],[Category and Sub-Category]])-1)</f>
        <v>theater</v>
      </c>
      <c r="V3791" t="str">
        <f>RIGHT(Table1[[#This Row],[Category and Sub-Category]],LEN(Table1[[#This Row],[Category and Sub-Category]])-FIND("/",Table1[[#This Row],[Category and Sub-Category]]))</f>
        <v>musical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 s="1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>((Table1[[#This Row],[deadline]]/60)/60/24)+DATE(1970,1,1)</f>
        <v>42696.708599537036</v>
      </c>
      <c r="K3792">
        <v>1477238423</v>
      </c>
      <c r="L3792" s="11">
        <f>((Table1[[#This Row],[launched_at]]/60)/60/24)+DATE(1970,1,1)</f>
        <v>42666.666932870372</v>
      </c>
      <c r="M3792">
        <f>MONTH(Table1[[#This Row],[Date Created Conversion]])</f>
        <v>10</v>
      </c>
      <c r="N3792">
        <f>YEAR(Table1[[#This Row],[Date Created Conversion]])</f>
        <v>2016</v>
      </c>
      <c r="O3792" t="b">
        <v>0</v>
      </c>
      <c r="P3792">
        <v>0</v>
      </c>
      <c r="Q3792" t="b">
        <v>0</v>
      </c>
      <c r="R3792" t="s">
        <v>8305</v>
      </c>
      <c r="S3792" s="6">
        <f>Table1[[#This Row],[pledged]]/Table1[[#This Row],[goal]]</f>
        <v>0</v>
      </c>
      <c r="T3792" s="8" t="str">
        <f>IF(Table1[[#This Row],[pledged]]=0,"no backers",Table1[[#This Row],[pledged]]/Table1[[#This Row],[backers_count]])</f>
        <v>no backers</v>
      </c>
      <c r="U3792" t="str">
        <f>LEFT(Table1[[#This Row],[Category and Sub-Category]],FIND("/",Table1[[#This Row],[Category and Sub-Category]])-1)</f>
        <v>theater</v>
      </c>
      <c r="V3792" t="str">
        <f>RIGHT(Table1[[#This Row],[Category and Sub-Category]],LEN(Table1[[#This Row],[Category and Sub-Category]])-FIND("/",Table1[[#This Row],[Category and Sub-Category]]))</f>
        <v>musical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 s="12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>((Table1[[#This Row],[deadline]]/60)/60/24)+DATE(1970,1,1)</f>
        <v>41826.692037037035</v>
      </c>
      <c r="K3793">
        <v>1399480592</v>
      </c>
      <c r="L3793" s="11">
        <f>((Table1[[#This Row],[launched_at]]/60)/60/24)+DATE(1970,1,1)</f>
        <v>41766.692037037035</v>
      </c>
      <c r="M3793">
        <f>MONTH(Table1[[#This Row],[Date Created Conversion]])</f>
        <v>5</v>
      </c>
      <c r="N3793">
        <f>YEAR(Table1[[#This Row],[Date Created Conversion]])</f>
        <v>2014</v>
      </c>
      <c r="O3793" t="b">
        <v>0</v>
      </c>
      <c r="P3793">
        <v>0</v>
      </c>
      <c r="Q3793" t="b">
        <v>0</v>
      </c>
      <c r="R3793" t="s">
        <v>8305</v>
      </c>
      <c r="S3793" s="6">
        <f>Table1[[#This Row],[pledged]]/Table1[[#This Row],[goal]]</f>
        <v>0</v>
      </c>
      <c r="T3793" s="8" t="str">
        <f>IF(Table1[[#This Row],[pledged]]=0,"no backers",Table1[[#This Row],[pledged]]/Table1[[#This Row],[backers_count]])</f>
        <v>no backers</v>
      </c>
      <c r="U3793" t="str">
        <f>LEFT(Table1[[#This Row],[Category and Sub-Category]],FIND("/",Table1[[#This Row],[Category and Sub-Category]])-1)</f>
        <v>theater</v>
      </c>
      <c r="V3793" t="str">
        <f>RIGHT(Table1[[#This Row],[Category and Sub-Category]],LEN(Table1[[#This Row],[Category and Sub-Category]])-FIND("/",Table1[[#This Row],[Category and Sub-Category]]))</f>
        <v>musical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 s="12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>((Table1[[#This Row],[deadline]]/60)/60/24)+DATE(1970,1,1)</f>
        <v>42200.447013888886</v>
      </c>
      <c r="K3794">
        <v>1434365022</v>
      </c>
      <c r="L3794" s="11">
        <f>((Table1[[#This Row],[launched_at]]/60)/60/24)+DATE(1970,1,1)</f>
        <v>42170.447013888886</v>
      </c>
      <c r="M3794">
        <f>MONTH(Table1[[#This Row],[Date Created Conversion]])</f>
        <v>6</v>
      </c>
      <c r="N3794">
        <f>YEAR(Table1[[#This Row],[Date Created Conversion]])</f>
        <v>2015</v>
      </c>
      <c r="O3794" t="b">
        <v>0</v>
      </c>
      <c r="P3794">
        <v>2</v>
      </c>
      <c r="Q3794" t="b">
        <v>0</v>
      </c>
      <c r="R3794" t="s">
        <v>8305</v>
      </c>
      <c r="S3794" s="6">
        <f>Table1[[#This Row],[pledged]]/Table1[[#This Row],[goal]]</f>
        <v>2.8E-3</v>
      </c>
      <c r="T3794" s="8">
        <f>IF(Table1[[#This Row],[pledged]]=0,"no backers",Table1[[#This Row],[pledged]]/Table1[[#This Row],[backers_count]])</f>
        <v>17.5</v>
      </c>
      <c r="U3794" t="str">
        <f>LEFT(Table1[[#This Row],[Category and Sub-Category]],FIND("/",Table1[[#This Row],[Category and Sub-Category]])-1)</f>
        <v>theater</v>
      </c>
      <c r="V3794" t="str">
        <f>RIGHT(Table1[[#This Row],[Category and Sub-Category]],LEN(Table1[[#This Row],[Category and Sub-Category]])-FIND("/",Table1[[#This Row],[Category and Sub-Category]]))</f>
        <v>musical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 s="12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>((Table1[[#This Row],[deadline]]/60)/60/24)+DATE(1970,1,1)</f>
        <v>41989.938993055555</v>
      </c>
      <c r="K3795">
        <v>1416954729</v>
      </c>
      <c r="L3795" s="11">
        <f>((Table1[[#This Row],[launched_at]]/60)/60/24)+DATE(1970,1,1)</f>
        <v>41968.938993055555</v>
      </c>
      <c r="M3795">
        <f>MONTH(Table1[[#This Row],[Date Created Conversion]])</f>
        <v>11</v>
      </c>
      <c r="N3795">
        <f>YEAR(Table1[[#This Row],[Date Created Conversion]])</f>
        <v>2014</v>
      </c>
      <c r="O3795" t="b">
        <v>0</v>
      </c>
      <c r="P3795">
        <v>24</v>
      </c>
      <c r="Q3795" t="b">
        <v>0</v>
      </c>
      <c r="R3795" t="s">
        <v>8305</v>
      </c>
      <c r="S3795" s="6">
        <f>Table1[[#This Row],[pledged]]/Table1[[#This Row],[goal]]</f>
        <v>0.59657142857142853</v>
      </c>
      <c r="T3795" s="8">
        <f>IF(Table1[[#This Row],[pledged]]=0,"no backers",Table1[[#This Row],[pledged]]/Table1[[#This Row],[backers_count]])</f>
        <v>174</v>
      </c>
      <c r="U3795" t="str">
        <f>LEFT(Table1[[#This Row],[Category and Sub-Category]],FIND("/",Table1[[#This Row],[Category and Sub-Category]])-1)</f>
        <v>theater</v>
      </c>
      <c r="V3795" t="str">
        <f>RIGHT(Table1[[#This Row],[Category and Sub-Category]],LEN(Table1[[#This Row],[Category and Sub-Category]])-FIND("/",Table1[[#This Row],[Category and Sub-Category]]))</f>
        <v>musical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 s="12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>((Table1[[#This Row],[deadline]]/60)/60/24)+DATE(1970,1,1)</f>
        <v>42162.58048611111</v>
      </c>
      <c r="K3796">
        <v>1431093354</v>
      </c>
      <c r="L3796" s="11">
        <f>((Table1[[#This Row],[launched_at]]/60)/60/24)+DATE(1970,1,1)</f>
        <v>42132.58048611111</v>
      </c>
      <c r="M3796">
        <f>MONTH(Table1[[#This Row],[Date Created Conversion]])</f>
        <v>5</v>
      </c>
      <c r="N3796">
        <f>YEAR(Table1[[#This Row],[Date Created Conversion]])</f>
        <v>2015</v>
      </c>
      <c r="O3796" t="b">
        <v>0</v>
      </c>
      <c r="P3796">
        <v>1</v>
      </c>
      <c r="Q3796" t="b">
        <v>0</v>
      </c>
      <c r="R3796" t="s">
        <v>8305</v>
      </c>
      <c r="S3796" s="6">
        <f>Table1[[#This Row],[pledged]]/Table1[[#This Row],[goal]]</f>
        <v>0.01</v>
      </c>
      <c r="T3796" s="8">
        <f>IF(Table1[[#This Row],[pledged]]=0,"no backers",Table1[[#This Row],[pledged]]/Table1[[#This Row],[backers_count]])</f>
        <v>50</v>
      </c>
      <c r="U3796" t="str">
        <f>LEFT(Table1[[#This Row],[Category and Sub-Category]],FIND("/",Table1[[#This Row],[Category and Sub-Category]])-1)</f>
        <v>theater</v>
      </c>
      <c r="V3796" t="str">
        <f>RIGHT(Table1[[#This Row],[Category and Sub-Category]],LEN(Table1[[#This Row],[Category and Sub-Category]])-FIND("/",Table1[[#This Row],[Category and Sub-Category]]))</f>
        <v>musical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 s="12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>((Table1[[#This Row],[deadline]]/60)/60/24)+DATE(1970,1,1)</f>
        <v>42244.9375</v>
      </c>
      <c r="K3797">
        <v>1437042490</v>
      </c>
      <c r="L3797" s="11">
        <f>((Table1[[#This Row],[launched_at]]/60)/60/24)+DATE(1970,1,1)</f>
        <v>42201.436226851853</v>
      </c>
      <c r="M3797">
        <f>MONTH(Table1[[#This Row],[Date Created Conversion]])</f>
        <v>7</v>
      </c>
      <c r="N3797">
        <f>YEAR(Table1[[#This Row],[Date Created Conversion]])</f>
        <v>2015</v>
      </c>
      <c r="O3797" t="b">
        <v>0</v>
      </c>
      <c r="P3797">
        <v>2</v>
      </c>
      <c r="Q3797" t="b">
        <v>0</v>
      </c>
      <c r="R3797" t="s">
        <v>8305</v>
      </c>
      <c r="S3797" s="6">
        <f>Table1[[#This Row],[pledged]]/Table1[[#This Row],[goal]]</f>
        <v>1.6666666666666666E-2</v>
      </c>
      <c r="T3797" s="8">
        <f>IF(Table1[[#This Row],[pledged]]=0,"no backers",Table1[[#This Row],[pledged]]/Table1[[#This Row],[backers_count]])</f>
        <v>5</v>
      </c>
      <c r="U3797" t="str">
        <f>LEFT(Table1[[#This Row],[Category and Sub-Category]],FIND("/",Table1[[#This Row],[Category and Sub-Category]])-1)</f>
        <v>theater</v>
      </c>
      <c r="V3797" t="str">
        <f>RIGHT(Table1[[#This Row],[Category and Sub-Category]],LEN(Table1[[#This Row],[Category and Sub-Category]])-FIND("/",Table1[[#This Row],[Category and Sub-Category]]))</f>
        <v>musical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 s="12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>((Table1[[#This Row],[deadline]]/60)/60/24)+DATE(1970,1,1)</f>
        <v>42749.029583333337</v>
      </c>
      <c r="K3798">
        <v>1479170556</v>
      </c>
      <c r="L3798" s="11">
        <f>((Table1[[#This Row],[launched_at]]/60)/60/24)+DATE(1970,1,1)</f>
        <v>42689.029583333337</v>
      </c>
      <c r="M3798">
        <f>MONTH(Table1[[#This Row],[Date Created Conversion]])</f>
        <v>11</v>
      </c>
      <c r="N3798">
        <f>YEAR(Table1[[#This Row],[Date Created Conversion]])</f>
        <v>2016</v>
      </c>
      <c r="O3798" t="b">
        <v>0</v>
      </c>
      <c r="P3798">
        <v>1</v>
      </c>
      <c r="Q3798" t="b">
        <v>0</v>
      </c>
      <c r="R3798" t="s">
        <v>8305</v>
      </c>
      <c r="S3798" s="6">
        <f>Table1[[#This Row],[pledged]]/Table1[[#This Row],[goal]]</f>
        <v>4.4444444444444447E-5</v>
      </c>
      <c r="T3798" s="8">
        <f>IF(Table1[[#This Row],[pledged]]=0,"no backers",Table1[[#This Row],[pledged]]/Table1[[#This Row],[backers_count]])</f>
        <v>1</v>
      </c>
      <c r="U3798" t="str">
        <f>LEFT(Table1[[#This Row],[Category and Sub-Category]],FIND("/",Table1[[#This Row],[Category and Sub-Category]])-1)</f>
        <v>theater</v>
      </c>
      <c r="V3798" t="str">
        <f>RIGHT(Table1[[#This Row],[Category and Sub-Category]],LEN(Table1[[#This Row],[Category and Sub-Category]])-FIND("/",Table1[[#This Row],[Category and Sub-Category]]))</f>
        <v>musical</v>
      </c>
    </row>
    <row r="3799" spans="1:22" ht="57.6" x14ac:dyDescent="0.3">
      <c r="A3799">
        <v>3797</v>
      </c>
      <c r="B3799" s="3" t="s">
        <v>3794</v>
      </c>
      <c r="C3799" s="3" t="s">
        <v>7907</v>
      </c>
      <c r="D3799" s="12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>((Table1[[#This Row],[deadline]]/60)/60/24)+DATE(1970,1,1)</f>
        <v>42114.881539351853</v>
      </c>
      <c r="K3799">
        <v>1426972165</v>
      </c>
      <c r="L3799" s="11">
        <f>((Table1[[#This Row],[launched_at]]/60)/60/24)+DATE(1970,1,1)</f>
        <v>42084.881539351853</v>
      </c>
      <c r="M3799">
        <f>MONTH(Table1[[#This Row],[Date Created Conversion]])</f>
        <v>3</v>
      </c>
      <c r="N3799">
        <f>YEAR(Table1[[#This Row],[Date Created Conversion]])</f>
        <v>2015</v>
      </c>
      <c r="O3799" t="b">
        <v>0</v>
      </c>
      <c r="P3799">
        <v>37</v>
      </c>
      <c r="Q3799" t="b">
        <v>0</v>
      </c>
      <c r="R3799" t="s">
        <v>8305</v>
      </c>
      <c r="S3799" s="6">
        <f>Table1[[#This Row],[pledged]]/Table1[[#This Row],[goal]]</f>
        <v>0.89666666666666661</v>
      </c>
      <c r="T3799" s="8">
        <f>IF(Table1[[#This Row],[pledged]]=0,"no backers",Table1[[#This Row],[pledged]]/Table1[[#This Row],[backers_count]])</f>
        <v>145.40540540540542</v>
      </c>
      <c r="U3799" t="str">
        <f>LEFT(Table1[[#This Row],[Category and Sub-Category]],FIND("/",Table1[[#This Row],[Category and Sub-Category]])-1)</f>
        <v>theater</v>
      </c>
      <c r="V3799" t="str">
        <f>RIGHT(Table1[[#This Row],[Category and Sub-Category]],LEN(Table1[[#This Row],[Category and Sub-Category]])-FIND("/",Table1[[#This Row],[Category and Sub-Category]]))</f>
        <v>musical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 s="12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>((Table1[[#This Row],[deadline]]/60)/60/24)+DATE(1970,1,1)</f>
        <v>41861.722777777781</v>
      </c>
      <c r="K3800">
        <v>1405099248</v>
      </c>
      <c r="L3800" s="11">
        <f>((Table1[[#This Row],[launched_at]]/60)/60/24)+DATE(1970,1,1)</f>
        <v>41831.722777777781</v>
      </c>
      <c r="M3800">
        <f>MONTH(Table1[[#This Row],[Date Created Conversion]])</f>
        <v>7</v>
      </c>
      <c r="N3800">
        <f>YEAR(Table1[[#This Row],[Date Created Conversion]])</f>
        <v>2014</v>
      </c>
      <c r="O3800" t="b">
        <v>0</v>
      </c>
      <c r="P3800">
        <v>5</v>
      </c>
      <c r="Q3800" t="b">
        <v>0</v>
      </c>
      <c r="R3800" t="s">
        <v>8305</v>
      </c>
      <c r="S3800" s="6">
        <f>Table1[[#This Row],[pledged]]/Table1[[#This Row],[goal]]</f>
        <v>1.4642857142857143E-2</v>
      </c>
      <c r="T3800" s="8">
        <f>IF(Table1[[#This Row],[pledged]]=0,"no backers",Table1[[#This Row],[pledged]]/Table1[[#This Row],[backers_count]])</f>
        <v>205</v>
      </c>
      <c r="U3800" t="str">
        <f>LEFT(Table1[[#This Row],[Category and Sub-Category]],FIND("/",Table1[[#This Row],[Category and Sub-Category]])-1)</f>
        <v>theater</v>
      </c>
      <c r="V3800" t="str">
        <f>RIGHT(Table1[[#This Row],[Category and Sub-Category]],LEN(Table1[[#This Row],[Category and Sub-Category]])-FIND("/",Table1[[#This Row],[Category and Sub-Category]]))</f>
        <v>musical</v>
      </c>
    </row>
    <row r="3801" spans="1:22" ht="43.2" x14ac:dyDescent="0.3">
      <c r="A3801">
        <v>3799</v>
      </c>
      <c r="B3801" s="3" t="s">
        <v>3796</v>
      </c>
      <c r="C3801" s="3" t="s">
        <v>7909</v>
      </c>
      <c r="D3801" s="12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>((Table1[[#This Row],[deadline]]/60)/60/24)+DATE(1970,1,1)</f>
        <v>42440.93105324074</v>
      </c>
      <c r="K3801">
        <v>1455142843</v>
      </c>
      <c r="L3801" s="11">
        <f>((Table1[[#This Row],[launched_at]]/60)/60/24)+DATE(1970,1,1)</f>
        <v>42410.93105324074</v>
      </c>
      <c r="M3801">
        <f>MONTH(Table1[[#This Row],[Date Created Conversion]])</f>
        <v>2</v>
      </c>
      <c r="N3801">
        <f>YEAR(Table1[[#This Row],[Date Created Conversion]])</f>
        <v>2016</v>
      </c>
      <c r="O3801" t="b">
        <v>0</v>
      </c>
      <c r="P3801">
        <v>4</v>
      </c>
      <c r="Q3801" t="b">
        <v>0</v>
      </c>
      <c r="R3801" t="s">
        <v>8305</v>
      </c>
      <c r="S3801" s="6">
        <f>Table1[[#This Row],[pledged]]/Table1[[#This Row],[goal]]</f>
        <v>4.02E-2</v>
      </c>
      <c r="T3801" s="8">
        <f>IF(Table1[[#This Row],[pledged]]=0,"no backers",Table1[[#This Row],[pledged]]/Table1[[#This Row],[backers_count]])</f>
        <v>100.5</v>
      </c>
      <c r="U3801" t="str">
        <f>LEFT(Table1[[#This Row],[Category and Sub-Category]],FIND("/",Table1[[#This Row],[Category and Sub-Category]])-1)</f>
        <v>theater</v>
      </c>
      <c r="V3801" t="str">
        <f>RIGHT(Table1[[#This Row],[Category and Sub-Category]],LEN(Table1[[#This Row],[Category and Sub-Category]])-FIND("/",Table1[[#This Row],[Category and Sub-Category]]))</f>
        <v>musical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 s="1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>((Table1[[#This Row],[deadline]]/60)/60/24)+DATE(1970,1,1)</f>
        <v>42015.207638888889</v>
      </c>
      <c r="K3802">
        <v>1418146883</v>
      </c>
      <c r="L3802" s="11">
        <f>((Table1[[#This Row],[launched_at]]/60)/60/24)+DATE(1970,1,1)</f>
        <v>41982.737071759257</v>
      </c>
      <c r="M3802">
        <f>MONTH(Table1[[#This Row],[Date Created Conversion]])</f>
        <v>12</v>
      </c>
      <c r="N3802">
        <f>YEAR(Table1[[#This Row],[Date Created Conversion]])</f>
        <v>2014</v>
      </c>
      <c r="O3802" t="b">
        <v>0</v>
      </c>
      <c r="P3802">
        <v>16</v>
      </c>
      <c r="Q3802" t="b">
        <v>0</v>
      </c>
      <c r="R3802" t="s">
        <v>8305</v>
      </c>
      <c r="S3802" s="6">
        <f>Table1[[#This Row],[pledged]]/Table1[[#This Row],[goal]]</f>
        <v>4.0045454545454544E-2</v>
      </c>
      <c r="T3802" s="8">
        <f>IF(Table1[[#This Row],[pledged]]=0,"no backers",Table1[[#This Row],[pledged]]/Table1[[#This Row],[backers_count]])</f>
        <v>55.0625</v>
      </c>
      <c r="U3802" t="str">
        <f>LEFT(Table1[[#This Row],[Category and Sub-Category]],FIND("/",Table1[[#This Row],[Category and Sub-Category]])-1)</f>
        <v>theater</v>
      </c>
      <c r="V3802" t="str">
        <f>RIGHT(Table1[[#This Row],[Category and Sub-Category]],LEN(Table1[[#This Row],[Category and Sub-Category]])-FIND("/",Table1[[#This Row],[Category and Sub-Category]]))</f>
        <v>musical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 s="12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>((Table1[[#This Row],[deadline]]/60)/60/24)+DATE(1970,1,1)</f>
        <v>42006.676111111112</v>
      </c>
      <c r="K3803">
        <v>1417536816</v>
      </c>
      <c r="L3803" s="11">
        <f>((Table1[[#This Row],[launched_at]]/60)/60/24)+DATE(1970,1,1)</f>
        <v>41975.676111111112</v>
      </c>
      <c r="M3803">
        <f>MONTH(Table1[[#This Row],[Date Created Conversion]])</f>
        <v>12</v>
      </c>
      <c r="N3803">
        <f>YEAR(Table1[[#This Row],[Date Created Conversion]])</f>
        <v>2014</v>
      </c>
      <c r="O3803" t="b">
        <v>0</v>
      </c>
      <c r="P3803">
        <v>9</v>
      </c>
      <c r="Q3803" t="b">
        <v>0</v>
      </c>
      <c r="R3803" t="s">
        <v>8305</v>
      </c>
      <c r="S3803" s="6">
        <f>Table1[[#This Row],[pledged]]/Table1[[#This Row],[goal]]</f>
        <v>8.5199999999999998E-2</v>
      </c>
      <c r="T3803" s="8">
        <f>IF(Table1[[#This Row],[pledged]]=0,"no backers",Table1[[#This Row],[pledged]]/Table1[[#This Row],[backers_count]])</f>
        <v>47.333333333333336</v>
      </c>
      <c r="U3803" t="str">
        <f>LEFT(Table1[[#This Row],[Category and Sub-Category]],FIND("/",Table1[[#This Row],[Category and Sub-Category]])-1)</f>
        <v>theater</v>
      </c>
      <c r="V3803" t="str">
        <f>RIGHT(Table1[[#This Row],[Category and Sub-Category]],LEN(Table1[[#This Row],[Category and Sub-Category]])-FIND("/",Table1[[#This Row],[Category and Sub-Category]]))</f>
        <v>musical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 s="12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>((Table1[[#This Row],[deadline]]/60)/60/24)+DATE(1970,1,1)</f>
        <v>42299.126226851848</v>
      </c>
      <c r="K3804">
        <v>1442890906</v>
      </c>
      <c r="L3804" s="11">
        <f>((Table1[[#This Row],[launched_at]]/60)/60/24)+DATE(1970,1,1)</f>
        <v>42269.126226851848</v>
      </c>
      <c r="M3804">
        <f>MONTH(Table1[[#This Row],[Date Created Conversion]])</f>
        <v>9</v>
      </c>
      <c r="N3804">
        <f>YEAR(Table1[[#This Row],[Date Created Conversion]])</f>
        <v>2015</v>
      </c>
      <c r="O3804" t="b">
        <v>0</v>
      </c>
      <c r="P3804">
        <v>0</v>
      </c>
      <c r="Q3804" t="b">
        <v>0</v>
      </c>
      <c r="R3804" t="s">
        <v>8305</v>
      </c>
      <c r="S3804" s="6">
        <f>Table1[[#This Row],[pledged]]/Table1[[#This Row],[goal]]</f>
        <v>0</v>
      </c>
      <c r="T3804" s="8" t="str">
        <f>IF(Table1[[#This Row],[pledged]]=0,"no backers",Table1[[#This Row],[pledged]]/Table1[[#This Row],[backers_count]])</f>
        <v>no backers</v>
      </c>
      <c r="U3804" t="str">
        <f>LEFT(Table1[[#This Row],[Category and Sub-Category]],FIND("/",Table1[[#This Row],[Category and Sub-Category]])-1)</f>
        <v>theater</v>
      </c>
      <c r="V3804" t="str">
        <f>RIGHT(Table1[[#This Row],[Category and Sub-Category]],LEN(Table1[[#This Row],[Category and Sub-Category]])-FIND("/",Table1[[#This Row],[Category and Sub-Category]]))</f>
        <v>musical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 s="12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>((Table1[[#This Row],[deadline]]/60)/60/24)+DATE(1970,1,1)</f>
        <v>42433.971851851849</v>
      </c>
      <c r="K3805">
        <v>1454541568</v>
      </c>
      <c r="L3805" s="11">
        <f>((Table1[[#This Row],[launched_at]]/60)/60/24)+DATE(1970,1,1)</f>
        <v>42403.971851851849</v>
      </c>
      <c r="M3805">
        <f>MONTH(Table1[[#This Row],[Date Created Conversion]])</f>
        <v>2</v>
      </c>
      <c r="N3805">
        <f>YEAR(Table1[[#This Row],[Date Created Conversion]])</f>
        <v>2016</v>
      </c>
      <c r="O3805" t="b">
        <v>0</v>
      </c>
      <c r="P3805">
        <v>40</v>
      </c>
      <c r="Q3805" t="b">
        <v>0</v>
      </c>
      <c r="R3805" t="s">
        <v>8305</v>
      </c>
      <c r="S3805" s="6">
        <f>Table1[[#This Row],[pledged]]/Table1[[#This Row],[goal]]</f>
        <v>0.19650000000000001</v>
      </c>
      <c r="T3805" s="8">
        <f>IF(Table1[[#This Row],[pledged]]=0,"no backers",Table1[[#This Row],[pledged]]/Table1[[#This Row],[backers_count]])</f>
        <v>58.95</v>
      </c>
      <c r="U3805" t="str">
        <f>LEFT(Table1[[#This Row],[Category and Sub-Category]],FIND("/",Table1[[#This Row],[Category and Sub-Category]])-1)</f>
        <v>theater</v>
      </c>
      <c r="V3805" t="str">
        <f>RIGHT(Table1[[#This Row],[Category and Sub-Category]],LEN(Table1[[#This Row],[Category and Sub-Category]])-FIND("/",Table1[[#This Row],[Category and Sub-Category]]))</f>
        <v>musical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 s="12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>((Table1[[#This Row],[deadline]]/60)/60/24)+DATE(1970,1,1)</f>
        <v>42582.291666666672</v>
      </c>
      <c r="K3806">
        <v>1465172024</v>
      </c>
      <c r="L3806" s="11">
        <f>((Table1[[#This Row],[launched_at]]/60)/60/24)+DATE(1970,1,1)</f>
        <v>42527.00953703704</v>
      </c>
      <c r="M3806">
        <f>MONTH(Table1[[#This Row],[Date Created Conversion]])</f>
        <v>6</v>
      </c>
      <c r="N3806">
        <f>YEAR(Table1[[#This Row],[Date Created Conversion]])</f>
        <v>2016</v>
      </c>
      <c r="O3806" t="b">
        <v>0</v>
      </c>
      <c r="P3806">
        <v>0</v>
      </c>
      <c r="Q3806" t="b">
        <v>0</v>
      </c>
      <c r="R3806" t="s">
        <v>8305</v>
      </c>
      <c r="S3806" s="6">
        <f>Table1[[#This Row],[pledged]]/Table1[[#This Row],[goal]]</f>
        <v>0</v>
      </c>
      <c r="T3806" s="8" t="str">
        <f>IF(Table1[[#This Row],[pledged]]=0,"no backers",Table1[[#This Row],[pledged]]/Table1[[#This Row],[backers_count]])</f>
        <v>no backers</v>
      </c>
      <c r="U3806" t="str">
        <f>LEFT(Table1[[#This Row],[Category and Sub-Category]],FIND("/",Table1[[#This Row],[Category and Sub-Category]])-1)</f>
        <v>theater</v>
      </c>
      <c r="V3806" t="str">
        <f>RIGHT(Table1[[#This Row],[Category and Sub-Category]],LEN(Table1[[#This Row],[Category and Sub-Category]])-FIND("/",Table1[[#This Row],[Category and Sub-Category]]))</f>
        <v>musical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 s="12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>((Table1[[#This Row],[deadline]]/60)/60/24)+DATE(1970,1,1)</f>
        <v>41909.887037037035</v>
      </c>
      <c r="K3807">
        <v>1406668640</v>
      </c>
      <c r="L3807" s="11">
        <f>((Table1[[#This Row],[launched_at]]/60)/60/24)+DATE(1970,1,1)</f>
        <v>41849.887037037035</v>
      </c>
      <c r="M3807">
        <f>MONTH(Table1[[#This Row],[Date Created Conversion]])</f>
        <v>7</v>
      </c>
      <c r="N3807">
        <f>YEAR(Table1[[#This Row],[Date Created Conversion]])</f>
        <v>2014</v>
      </c>
      <c r="O3807" t="b">
        <v>0</v>
      </c>
      <c r="P3807">
        <v>2</v>
      </c>
      <c r="Q3807" t="b">
        <v>0</v>
      </c>
      <c r="R3807" t="s">
        <v>8305</v>
      </c>
      <c r="S3807" s="6">
        <f>Table1[[#This Row],[pledged]]/Table1[[#This Row],[goal]]</f>
        <v>2.0000000000000002E-5</v>
      </c>
      <c r="T3807" s="8">
        <f>IF(Table1[[#This Row],[pledged]]=0,"no backers",Table1[[#This Row],[pledged]]/Table1[[#This Row],[backers_count]])</f>
        <v>1.5</v>
      </c>
      <c r="U3807" t="str">
        <f>LEFT(Table1[[#This Row],[Category and Sub-Category]],FIND("/",Table1[[#This Row],[Category and Sub-Category]])-1)</f>
        <v>theater</v>
      </c>
      <c r="V3807" t="str">
        <f>RIGHT(Table1[[#This Row],[Category and Sub-Category]],LEN(Table1[[#This Row],[Category and Sub-Category]])-FIND("/",Table1[[#This Row],[Category and Sub-Category]]))</f>
        <v>musical</v>
      </c>
    </row>
    <row r="3808" spans="1:22" ht="57.6" x14ac:dyDescent="0.3">
      <c r="A3808">
        <v>3806</v>
      </c>
      <c r="B3808" s="3" t="s">
        <v>3803</v>
      </c>
      <c r="C3808" s="3" t="s">
        <v>7916</v>
      </c>
      <c r="D3808" s="12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>((Table1[[#This Row],[deadline]]/60)/60/24)+DATE(1970,1,1)</f>
        <v>41819.259039351848</v>
      </c>
      <c r="K3808">
        <v>1402294381</v>
      </c>
      <c r="L3808" s="11">
        <f>((Table1[[#This Row],[launched_at]]/60)/60/24)+DATE(1970,1,1)</f>
        <v>41799.259039351848</v>
      </c>
      <c r="M3808">
        <f>MONTH(Table1[[#This Row],[Date Created Conversion]])</f>
        <v>6</v>
      </c>
      <c r="N3808">
        <f>YEAR(Table1[[#This Row],[Date Created Conversion]])</f>
        <v>2014</v>
      </c>
      <c r="O3808" t="b">
        <v>0</v>
      </c>
      <c r="P3808">
        <v>1</v>
      </c>
      <c r="Q3808" t="b">
        <v>0</v>
      </c>
      <c r="R3808" t="s">
        <v>8305</v>
      </c>
      <c r="S3808" s="6">
        <f>Table1[[#This Row],[pledged]]/Table1[[#This Row],[goal]]</f>
        <v>6.6666666666666664E-4</v>
      </c>
      <c r="T3808" s="8">
        <f>IF(Table1[[#This Row],[pledged]]=0,"no backers",Table1[[#This Row],[pledged]]/Table1[[#This Row],[backers_count]])</f>
        <v>5</v>
      </c>
      <c r="U3808" t="str">
        <f>LEFT(Table1[[#This Row],[Category and Sub-Category]],FIND("/",Table1[[#This Row],[Category and Sub-Category]])-1)</f>
        <v>theater</v>
      </c>
      <c r="V3808" t="str">
        <f>RIGHT(Table1[[#This Row],[Category and Sub-Category]],LEN(Table1[[#This Row],[Category and Sub-Category]])-FIND("/",Table1[[#This Row],[Category and Sub-Category]]))</f>
        <v>musical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 s="12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>((Table1[[#This Row],[deadline]]/60)/60/24)+DATE(1970,1,1)</f>
        <v>42097.909016203703</v>
      </c>
      <c r="K3809">
        <v>1427492939</v>
      </c>
      <c r="L3809" s="11">
        <f>((Table1[[#This Row],[launched_at]]/60)/60/24)+DATE(1970,1,1)</f>
        <v>42090.909016203703</v>
      </c>
      <c r="M3809">
        <f>MONTH(Table1[[#This Row],[Date Created Conversion]])</f>
        <v>3</v>
      </c>
      <c r="N3809">
        <f>YEAR(Table1[[#This Row],[Date Created Conversion]])</f>
        <v>2015</v>
      </c>
      <c r="O3809" t="b">
        <v>0</v>
      </c>
      <c r="P3809">
        <v>9</v>
      </c>
      <c r="Q3809" t="b">
        <v>0</v>
      </c>
      <c r="R3809" t="s">
        <v>8305</v>
      </c>
      <c r="S3809" s="6">
        <f>Table1[[#This Row],[pledged]]/Table1[[#This Row],[goal]]</f>
        <v>0.30333333333333334</v>
      </c>
      <c r="T3809" s="8">
        <f>IF(Table1[[#This Row],[pledged]]=0,"no backers",Table1[[#This Row],[pledged]]/Table1[[#This Row],[backers_count]])</f>
        <v>50.555555555555557</v>
      </c>
      <c r="U3809" t="str">
        <f>LEFT(Table1[[#This Row],[Category and Sub-Category]],FIND("/",Table1[[#This Row],[Category and Sub-Category]])-1)</f>
        <v>theater</v>
      </c>
      <c r="V3809" t="str">
        <f>RIGHT(Table1[[#This Row],[Category and Sub-Category]],LEN(Table1[[#This Row],[Category and Sub-Category]])-FIND("/",Table1[[#This Row],[Category and Sub-Category]]))</f>
        <v>musical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 s="12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>((Table1[[#This Row],[deadline]]/60)/60/24)+DATE(1970,1,1)</f>
        <v>42119.412256944444</v>
      </c>
      <c r="K3810">
        <v>1424775219</v>
      </c>
      <c r="L3810" s="11">
        <f>((Table1[[#This Row],[launched_at]]/60)/60/24)+DATE(1970,1,1)</f>
        <v>42059.453923611116</v>
      </c>
      <c r="M3810">
        <f>MONTH(Table1[[#This Row],[Date Created Conversion]])</f>
        <v>2</v>
      </c>
      <c r="N3810">
        <f>YEAR(Table1[[#This Row],[Date Created Conversion]])</f>
        <v>2015</v>
      </c>
      <c r="O3810" t="b">
        <v>0</v>
      </c>
      <c r="P3810">
        <v>24</v>
      </c>
      <c r="Q3810" t="b">
        <v>1</v>
      </c>
      <c r="R3810" t="s">
        <v>8271</v>
      </c>
      <c r="S3810" s="6">
        <f>Table1[[#This Row],[pledged]]/Table1[[#This Row],[goal]]</f>
        <v>1</v>
      </c>
      <c r="T3810" s="8">
        <f>IF(Table1[[#This Row],[pledged]]=0,"no backers",Table1[[#This Row],[pledged]]/Table1[[#This Row],[backers_count]])</f>
        <v>41.666666666666664</v>
      </c>
      <c r="U3810" t="str">
        <f>LEFT(Table1[[#This Row],[Category and Sub-Category]],FIND("/",Table1[[#This Row],[Category and Sub-Category]])-1)</f>
        <v>theater</v>
      </c>
      <c r="V3810" t="str">
        <f>RIGHT(Table1[[#This Row],[Category and Sub-Category]],LEN(Table1[[#This Row],[Category and Sub-Category]])-FIND("/",Table1[[#This Row],[Category and Sub-Category]]))</f>
        <v>plays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 s="12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>((Table1[[#This Row],[deadline]]/60)/60/24)+DATE(1970,1,1)</f>
        <v>41850.958333333336</v>
      </c>
      <c r="K3811">
        <v>1402403907</v>
      </c>
      <c r="L3811" s="11">
        <f>((Table1[[#This Row],[launched_at]]/60)/60/24)+DATE(1970,1,1)</f>
        <v>41800.526701388888</v>
      </c>
      <c r="M3811">
        <f>MONTH(Table1[[#This Row],[Date Created Conversion]])</f>
        <v>6</v>
      </c>
      <c r="N3811">
        <f>YEAR(Table1[[#This Row],[Date Created Conversion]])</f>
        <v>2014</v>
      </c>
      <c r="O3811" t="b">
        <v>0</v>
      </c>
      <c r="P3811">
        <v>38</v>
      </c>
      <c r="Q3811" t="b">
        <v>1</v>
      </c>
      <c r="R3811" t="s">
        <v>8271</v>
      </c>
      <c r="S3811" s="6">
        <f>Table1[[#This Row],[pledged]]/Table1[[#This Row],[goal]]</f>
        <v>1.0125</v>
      </c>
      <c r="T3811" s="8">
        <f>IF(Table1[[#This Row],[pledged]]=0,"no backers",Table1[[#This Row],[pledged]]/Table1[[#This Row],[backers_count]])</f>
        <v>53.289473684210527</v>
      </c>
      <c r="U3811" t="str">
        <f>LEFT(Table1[[#This Row],[Category and Sub-Category]],FIND("/",Table1[[#This Row],[Category and Sub-Category]])-1)</f>
        <v>theater</v>
      </c>
      <c r="V3811" t="str">
        <f>RIGHT(Table1[[#This Row],[Category and Sub-Category]],LEN(Table1[[#This Row],[Category and Sub-Category]])-FIND("/",Table1[[#This Row],[Category and Sub-Category]]))</f>
        <v>plays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 s="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>((Table1[[#This Row],[deadline]]/60)/60/24)+DATE(1970,1,1)</f>
        <v>42084.807384259257</v>
      </c>
      <c r="K3812">
        <v>1424377358</v>
      </c>
      <c r="L3812" s="11">
        <f>((Table1[[#This Row],[launched_at]]/60)/60/24)+DATE(1970,1,1)</f>
        <v>42054.849050925928</v>
      </c>
      <c r="M3812">
        <f>MONTH(Table1[[#This Row],[Date Created Conversion]])</f>
        <v>2</v>
      </c>
      <c r="N3812">
        <f>YEAR(Table1[[#This Row],[Date Created Conversion]])</f>
        <v>2015</v>
      </c>
      <c r="O3812" t="b">
        <v>0</v>
      </c>
      <c r="P3812">
        <v>26</v>
      </c>
      <c r="Q3812" t="b">
        <v>1</v>
      </c>
      <c r="R3812" t="s">
        <v>8271</v>
      </c>
      <c r="S3812" s="6">
        <f>Table1[[#This Row],[pledged]]/Table1[[#This Row],[goal]]</f>
        <v>1.2173333333333334</v>
      </c>
      <c r="T3812" s="8">
        <f>IF(Table1[[#This Row],[pledged]]=0,"no backers",Table1[[#This Row],[pledged]]/Table1[[#This Row],[backers_count]])</f>
        <v>70.230769230769226</v>
      </c>
      <c r="U3812" t="str">
        <f>LEFT(Table1[[#This Row],[Category and Sub-Category]],FIND("/",Table1[[#This Row],[Category and Sub-Category]])-1)</f>
        <v>theater</v>
      </c>
      <c r="V3812" t="str">
        <f>RIGHT(Table1[[#This Row],[Category and Sub-Category]],LEN(Table1[[#This Row],[Category and Sub-Category]])-FIND("/",Table1[[#This Row],[Category and Sub-Category]]))</f>
        <v>plays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 s="12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>((Table1[[#This Row],[deadline]]/60)/60/24)+DATE(1970,1,1)</f>
        <v>42521.458333333328</v>
      </c>
      <c r="K3813">
        <v>1461769373</v>
      </c>
      <c r="L3813" s="11">
        <f>((Table1[[#This Row],[launched_at]]/60)/60/24)+DATE(1970,1,1)</f>
        <v>42487.62700231481</v>
      </c>
      <c r="M3813">
        <f>MONTH(Table1[[#This Row],[Date Created Conversion]])</f>
        <v>4</v>
      </c>
      <c r="N3813">
        <f>YEAR(Table1[[#This Row],[Date Created Conversion]])</f>
        <v>2016</v>
      </c>
      <c r="O3813" t="b">
        <v>0</v>
      </c>
      <c r="P3813">
        <v>19</v>
      </c>
      <c r="Q3813" t="b">
        <v>1</v>
      </c>
      <c r="R3813" t="s">
        <v>8271</v>
      </c>
      <c r="S3813" s="6">
        <f>Table1[[#This Row],[pledged]]/Table1[[#This Row],[goal]]</f>
        <v>3.3</v>
      </c>
      <c r="T3813" s="8">
        <f>IF(Table1[[#This Row],[pledged]]=0,"no backers",Table1[[#This Row],[pledged]]/Table1[[#This Row],[backers_count]])</f>
        <v>43.421052631578945</v>
      </c>
      <c r="U3813" t="str">
        <f>LEFT(Table1[[#This Row],[Category and Sub-Category]],FIND("/",Table1[[#This Row],[Category and Sub-Category]])-1)</f>
        <v>theater</v>
      </c>
      <c r="V3813" t="str">
        <f>RIGHT(Table1[[#This Row],[Category and Sub-Category]],LEN(Table1[[#This Row],[Category and Sub-Category]])-FIND("/",Table1[[#This Row],[Category and Sub-Category]]))</f>
        <v>plays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 s="12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>((Table1[[#This Row],[deadline]]/60)/60/24)+DATE(1970,1,1)</f>
        <v>42156.165972222225</v>
      </c>
      <c r="K3814">
        <v>1429120908</v>
      </c>
      <c r="L3814" s="11">
        <f>((Table1[[#This Row],[launched_at]]/60)/60/24)+DATE(1970,1,1)</f>
        <v>42109.751250000001</v>
      </c>
      <c r="M3814">
        <f>MONTH(Table1[[#This Row],[Date Created Conversion]])</f>
        <v>4</v>
      </c>
      <c r="N3814">
        <f>YEAR(Table1[[#This Row],[Date Created Conversion]])</f>
        <v>2015</v>
      </c>
      <c r="O3814" t="b">
        <v>0</v>
      </c>
      <c r="P3814">
        <v>11</v>
      </c>
      <c r="Q3814" t="b">
        <v>1</v>
      </c>
      <c r="R3814" t="s">
        <v>8271</v>
      </c>
      <c r="S3814" s="6">
        <f>Table1[[#This Row],[pledged]]/Table1[[#This Row],[goal]]</f>
        <v>1.0954999999999999</v>
      </c>
      <c r="T3814" s="8">
        <f>IF(Table1[[#This Row],[pledged]]=0,"no backers",Table1[[#This Row],[pledged]]/Table1[[#This Row],[backers_count]])</f>
        <v>199.18181818181819</v>
      </c>
      <c r="U3814" t="str">
        <f>LEFT(Table1[[#This Row],[Category and Sub-Category]],FIND("/",Table1[[#This Row],[Category and Sub-Category]])-1)</f>
        <v>theater</v>
      </c>
      <c r="V3814" t="str">
        <f>RIGHT(Table1[[#This Row],[Category and Sub-Category]],LEN(Table1[[#This Row],[Category and Sub-Category]])-FIND("/",Table1[[#This Row],[Category and Sub-Category]]))</f>
        <v>plays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 s="12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>((Table1[[#This Row],[deadline]]/60)/60/24)+DATE(1970,1,1)</f>
        <v>42535.904861111107</v>
      </c>
      <c r="K3815">
        <v>1462603021</v>
      </c>
      <c r="L3815" s="11">
        <f>((Table1[[#This Row],[launched_at]]/60)/60/24)+DATE(1970,1,1)</f>
        <v>42497.275706018518</v>
      </c>
      <c r="M3815">
        <f>MONTH(Table1[[#This Row],[Date Created Conversion]])</f>
        <v>5</v>
      </c>
      <c r="N3815">
        <f>YEAR(Table1[[#This Row],[Date Created Conversion]])</f>
        <v>2016</v>
      </c>
      <c r="O3815" t="b">
        <v>0</v>
      </c>
      <c r="P3815">
        <v>27</v>
      </c>
      <c r="Q3815" t="b">
        <v>1</v>
      </c>
      <c r="R3815" t="s">
        <v>8271</v>
      </c>
      <c r="S3815" s="6">
        <f>Table1[[#This Row],[pledged]]/Table1[[#This Row],[goal]]</f>
        <v>1.0095190476190474</v>
      </c>
      <c r="T3815" s="8">
        <f>IF(Table1[[#This Row],[pledged]]=0,"no backers",Table1[[#This Row],[pledged]]/Table1[[#This Row],[backers_count]])</f>
        <v>78.518148148148143</v>
      </c>
      <c r="U3815" t="str">
        <f>LEFT(Table1[[#This Row],[Category and Sub-Category]],FIND("/",Table1[[#This Row],[Category and Sub-Category]])-1)</f>
        <v>theater</v>
      </c>
      <c r="V3815" t="str">
        <f>RIGHT(Table1[[#This Row],[Category and Sub-Category]],LEN(Table1[[#This Row],[Category and Sub-Category]])-FIND("/",Table1[[#This Row],[Category and Sub-Category]]))</f>
        <v>plays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 s="12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>((Table1[[#This Row],[deadline]]/60)/60/24)+DATE(1970,1,1)</f>
        <v>42095.165972222225</v>
      </c>
      <c r="K3816">
        <v>1424727712</v>
      </c>
      <c r="L3816" s="11">
        <f>((Table1[[#This Row],[launched_at]]/60)/60/24)+DATE(1970,1,1)</f>
        <v>42058.904074074075</v>
      </c>
      <c r="M3816">
        <f>MONTH(Table1[[#This Row],[Date Created Conversion]])</f>
        <v>2</v>
      </c>
      <c r="N3816">
        <f>YEAR(Table1[[#This Row],[Date Created Conversion]])</f>
        <v>2015</v>
      </c>
      <c r="O3816" t="b">
        <v>0</v>
      </c>
      <c r="P3816">
        <v>34</v>
      </c>
      <c r="Q3816" t="b">
        <v>1</v>
      </c>
      <c r="R3816" t="s">
        <v>8271</v>
      </c>
      <c r="S3816" s="6">
        <f>Table1[[#This Row],[pledged]]/Table1[[#This Row],[goal]]</f>
        <v>1.4013333333333333</v>
      </c>
      <c r="T3816" s="8">
        <f>IF(Table1[[#This Row],[pledged]]=0,"no backers",Table1[[#This Row],[pledged]]/Table1[[#This Row],[backers_count]])</f>
        <v>61.823529411764703</v>
      </c>
      <c r="U3816" t="str">
        <f>LEFT(Table1[[#This Row],[Category and Sub-Category]],FIND("/",Table1[[#This Row],[Category and Sub-Category]])-1)</f>
        <v>theater</v>
      </c>
      <c r="V3816" t="str">
        <f>RIGHT(Table1[[#This Row],[Category and Sub-Category]],LEN(Table1[[#This Row],[Category and Sub-Category]])-FIND("/",Table1[[#This Row],[Category and Sub-Category]]))</f>
        <v>plays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 s="12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>((Table1[[#This Row],[deadline]]/60)/60/24)+DATE(1970,1,1)</f>
        <v>42236.958333333328</v>
      </c>
      <c r="K3817">
        <v>1437545657</v>
      </c>
      <c r="L3817" s="11">
        <f>((Table1[[#This Row],[launched_at]]/60)/60/24)+DATE(1970,1,1)</f>
        <v>42207.259918981479</v>
      </c>
      <c r="M3817">
        <f>MONTH(Table1[[#This Row],[Date Created Conversion]])</f>
        <v>7</v>
      </c>
      <c r="N3817">
        <f>YEAR(Table1[[#This Row],[Date Created Conversion]])</f>
        <v>2015</v>
      </c>
      <c r="O3817" t="b">
        <v>0</v>
      </c>
      <c r="P3817">
        <v>20</v>
      </c>
      <c r="Q3817" t="b">
        <v>1</v>
      </c>
      <c r="R3817" t="s">
        <v>8271</v>
      </c>
      <c r="S3817" s="6">
        <f>Table1[[#This Row],[pledged]]/Table1[[#This Row],[goal]]</f>
        <v>1.0000100000000001</v>
      </c>
      <c r="T3817" s="8">
        <f>IF(Table1[[#This Row],[pledged]]=0,"no backers",Table1[[#This Row],[pledged]]/Table1[[#This Row],[backers_count]])</f>
        <v>50.000500000000002</v>
      </c>
      <c r="U3817" t="str">
        <f>LEFT(Table1[[#This Row],[Category and Sub-Category]],FIND("/",Table1[[#This Row],[Category and Sub-Category]])-1)</f>
        <v>theater</v>
      </c>
      <c r="V3817" t="str">
        <f>RIGHT(Table1[[#This Row],[Category and Sub-Category]],LEN(Table1[[#This Row],[Category and Sub-Category]])-FIND("/",Table1[[#This Row],[Category and Sub-Category]]))</f>
        <v>plays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 s="12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>((Table1[[#This Row],[deadline]]/60)/60/24)+DATE(1970,1,1)</f>
        <v>41837.690081018518</v>
      </c>
      <c r="K3818">
        <v>1403022823</v>
      </c>
      <c r="L3818" s="11">
        <f>((Table1[[#This Row],[launched_at]]/60)/60/24)+DATE(1970,1,1)</f>
        <v>41807.690081018518</v>
      </c>
      <c r="M3818">
        <f>MONTH(Table1[[#This Row],[Date Created Conversion]])</f>
        <v>6</v>
      </c>
      <c r="N3818">
        <f>YEAR(Table1[[#This Row],[Date Created Conversion]])</f>
        <v>2014</v>
      </c>
      <c r="O3818" t="b">
        <v>0</v>
      </c>
      <c r="P3818">
        <v>37</v>
      </c>
      <c r="Q3818" t="b">
        <v>1</v>
      </c>
      <c r="R3818" t="s">
        <v>8271</v>
      </c>
      <c r="S3818" s="6">
        <f>Table1[[#This Row],[pledged]]/Table1[[#This Row],[goal]]</f>
        <v>1.19238</v>
      </c>
      <c r="T3818" s="8">
        <f>IF(Table1[[#This Row],[pledged]]=0,"no backers",Table1[[#This Row],[pledged]]/Table1[[#This Row],[backers_count]])</f>
        <v>48.339729729729726</v>
      </c>
      <c r="U3818" t="str">
        <f>LEFT(Table1[[#This Row],[Category and Sub-Category]],FIND("/",Table1[[#This Row],[Category and Sub-Category]])-1)</f>
        <v>theater</v>
      </c>
      <c r="V3818" t="str">
        <f>RIGHT(Table1[[#This Row],[Category and Sub-Category]],LEN(Table1[[#This Row],[Category and Sub-Category]])-FIND("/",Table1[[#This Row],[Category and Sub-Category]]))</f>
        <v>plays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 s="12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>((Table1[[#This Row],[deadline]]/60)/60/24)+DATE(1970,1,1)</f>
        <v>42301.165972222225</v>
      </c>
      <c r="K3819">
        <v>1444236216</v>
      </c>
      <c r="L3819" s="11">
        <f>((Table1[[#This Row],[launched_at]]/60)/60/24)+DATE(1970,1,1)</f>
        <v>42284.69694444444</v>
      </c>
      <c r="M3819">
        <f>MONTH(Table1[[#This Row],[Date Created Conversion]])</f>
        <v>10</v>
      </c>
      <c r="N3819">
        <f>YEAR(Table1[[#This Row],[Date Created Conversion]])</f>
        <v>2015</v>
      </c>
      <c r="O3819" t="b">
        <v>0</v>
      </c>
      <c r="P3819">
        <v>20</v>
      </c>
      <c r="Q3819" t="b">
        <v>1</v>
      </c>
      <c r="R3819" t="s">
        <v>8271</v>
      </c>
      <c r="S3819" s="6">
        <f>Table1[[#This Row],[pledged]]/Table1[[#This Row],[goal]]</f>
        <v>1.0725</v>
      </c>
      <c r="T3819" s="8">
        <f>IF(Table1[[#This Row],[pledged]]=0,"no backers",Table1[[#This Row],[pledged]]/Table1[[#This Row],[backers_count]])</f>
        <v>107.25</v>
      </c>
      <c r="U3819" t="str">
        <f>LEFT(Table1[[#This Row],[Category and Sub-Category]],FIND("/",Table1[[#This Row],[Category and Sub-Category]])-1)</f>
        <v>theater</v>
      </c>
      <c r="V3819" t="str">
        <f>RIGHT(Table1[[#This Row],[Category and Sub-Category]],LEN(Table1[[#This Row],[Category and Sub-Category]])-FIND("/",Table1[[#This Row],[Category and Sub-Category]]))</f>
        <v>plays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 s="12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>((Table1[[#This Row],[deadline]]/60)/60/24)+DATE(1970,1,1)</f>
        <v>42075.800717592589</v>
      </c>
      <c r="K3820">
        <v>1423599182</v>
      </c>
      <c r="L3820" s="11">
        <f>((Table1[[#This Row],[launched_at]]/60)/60/24)+DATE(1970,1,1)</f>
        <v>42045.84238425926</v>
      </c>
      <c r="M3820">
        <f>MONTH(Table1[[#This Row],[Date Created Conversion]])</f>
        <v>2</v>
      </c>
      <c r="N3820">
        <f>YEAR(Table1[[#This Row],[Date Created Conversion]])</f>
        <v>2015</v>
      </c>
      <c r="O3820" t="b">
        <v>0</v>
      </c>
      <c r="P3820">
        <v>10</v>
      </c>
      <c r="Q3820" t="b">
        <v>1</v>
      </c>
      <c r="R3820" t="s">
        <v>8271</v>
      </c>
      <c r="S3820" s="6">
        <f>Table1[[#This Row],[pledged]]/Table1[[#This Row],[goal]]</f>
        <v>2.2799999999999998</v>
      </c>
      <c r="T3820" s="8">
        <f>IF(Table1[[#This Row],[pledged]]=0,"no backers",Table1[[#This Row],[pledged]]/Table1[[#This Row],[backers_count]])</f>
        <v>57</v>
      </c>
      <c r="U3820" t="str">
        <f>LEFT(Table1[[#This Row],[Category and Sub-Category]],FIND("/",Table1[[#This Row],[Category and Sub-Category]])-1)</f>
        <v>theater</v>
      </c>
      <c r="V3820" t="str">
        <f>RIGHT(Table1[[#This Row],[Category and Sub-Category]],LEN(Table1[[#This Row],[Category and Sub-Category]])-FIND("/",Table1[[#This Row],[Category and Sub-Category]]))</f>
        <v>plays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 s="12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>((Table1[[#This Row],[deadline]]/60)/60/24)+DATE(1970,1,1)</f>
        <v>42202.876388888893</v>
      </c>
      <c r="K3821">
        <v>1435554104</v>
      </c>
      <c r="L3821" s="11">
        <f>((Table1[[#This Row],[launched_at]]/60)/60/24)+DATE(1970,1,1)</f>
        <v>42184.209537037037</v>
      </c>
      <c r="M3821">
        <f>MONTH(Table1[[#This Row],[Date Created Conversion]])</f>
        <v>6</v>
      </c>
      <c r="N3821">
        <f>YEAR(Table1[[#This Row],[Date Created Conversion]])</f>
        <v>2015</v>
      </c>
      <c r="O3821" t="b">
        <v>0</v>
      </c>
      <c r="P3821">
        <v>26</v>
      </c>
      <c r="Q3821" t="b">
        <v>1</v>
      </c>
      <c r="R3821" t="s">
        <v>8271</v>
      </c>
      <c r="S3821" s="6">
        <f>Table1[[#This Row],[pledged]]/Table1[[#This Row],[goal]]</f>
        <v>1.0640000000000001</v>
      </c>
      <c r="T3821" s="8">
        <f>IF(Table1[[#This Row],[pledged]]=0,"no backers",Table1[[#This Row],[pledged]]/Table1[[#This Row],[backers_count]])</f>
        <v>40.92307692307692</v>
      </c>
      <c r="U3821" t="str">
        <f>LEFT(Table1[[#This Row],[Category and Sub-Category]],FIND("/",Table1[[#This Row],[Category and Sub-Category]])-1)</f>
        <v>theater</v>
      </c>
      <c r="V3821" t="str">
        <f>RIGHT(Table1[[#This Row],[Category and Sub-Category]],LEN(Table1[[#This Row],[Category and Sub-Category]])-FIND("/",Table1[[#This Row],[Category and Sub-Category]]))</f>
        <v>plays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 s="1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>((Table1[[#This Row],[deadline]]/60)/60/24)+DATE(1970,1,1)</f>
        <v>42190.651817129634</v>
      </c>
      <c r="K3822">
        <v>1433518717</v>
      </c>
      <c r="L3822" s="11">
        <f>((Table1[[#This Row],[launched_at]]/60)/60/24)+DATE(1970,1,1)</f>
        <v>42160.651817129634</v>
      </c>
      <c r="M3822">
        <f>MONTH(Table1[[#This Row],[Date Created Conversion]])</f>
        <v>6</v>
      </c>
      <c r="N3822">
        <f>YEAR(Table1[[#This Row],[Date Created Conversion]])</f>
        <v>2015</v>
      </c>
      <c r="O3822" t="b">
        <v>0</v>
      </c>
      <c r="P3822">
        <v>20</v>
      </c>
      <c r="Q3822" t="b">
        <v>1</v>
      </c>
      <c r="R3822" t="s">
        <v>8271</v>
      </c>
      <c r="S3822" s="6">
        <f>Table1[[#This Row],[pledged]]/Table1[[#This Row],[goal]]</f>
        <v>1.4333333333333333</v>
      </c>
      <c r="T3822" s="8">
        <f>IF(Table1[[#This Row],[pledged]]=0,"no backers",Table1[[#This Row],[pledged]]/Table1[[#This Row],[backers_count]])</f>
        <v>21.5</v>
      </c>
      <c r="U3822" t="str">
        <f>LEFT(Table1[[#This Row],[Category and Sub-Category]],FIND("/",Table1[[#This Row],[Category and Sub-Category]])-1)</f>
        <v>theater</v>
      </c>
      <c r="V3822" t="str">
        <f>RIGHT(Table1[[#This Row],[Category and Sub-Category]],LEN(Table1[[#This Row],[Category and Sub-Category]])-FIND("/",Table1[[#This Row],[Category and Sub-Category]]))</f>
        <v>plays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 s="12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>((Table1[[#This Row],[deadline]]/60)/60/24)+DATE(1970,1,1)</f>
        <v>42373.180636574078</v>
      </c>
      <c r="K3823">
        <v>1449116407</v>
      </c>
      <c r="L3823" s="11">
        <f>((Table1[[#This Row],[launched_at]]/60)/60/24)+DATE(1970,1,1)</f>
        <v>42341.180636574078</v>
      </c>
      <c r="M3823">
        <f>MONTH(Table1[[#This Row],[Date Created Conversion]])</f>
        <v>12</v>
      </c>
      <c r="N3823">
        <f>YEAR(Table1[[#This Row],[Date Created Conversion]])</f>
        <v>2015</v>
      </c>
      <c r="O3823" t="b">
        <v>0</v>
      </c>
      <c r="P3823">
        <v>46</v>
      </c>
      <c r="Q3823" t="b">
        <v>1</v>
      </c>
      <c r="R3823" t="s">
        <v>8271</v>
      </c>
      <c r="S3823" s="6">
        <f>Table1[[#This Row],[pledged]]/Table1[[#This Row],[goal]]</f>
        <v>1.0454285714285714</v>
      </c>
      <c r="T3823" s="8">
        <f>IF(Table1[[#This Row],[pledged]]=0,"no backers",Table1[[#This Row],[pledged]]/Table1[[#This Row],[backers_count]])</f>
        <v>79.543478260869563</v>
      </c>
      <c r="U3823" t="str">
        <f>LEFT(Table1[[#This Row],[Category and Sub-Category]],FIND("/",Table1[[#This Row],[Category and Sub-Category]])-1)</f>
        <v>theater</v>
      </c>
      <c r="V3823" t="str">
        <f>RIGHT(Table1[[#This Row],[Category and Sub-Category]],LEN(Table1[[#This Row],[Category and Sub-Category]])-FIND("/",Table1[[#This Row],[Category and Sub-Category]]))</f>
        <v>plays</v>
      </c>
    </row>
    <row r="3824" spans="1:22" ht="57.6" x14ac:dyDescent="0.3">
      <c r="A3824">
        <v>3822</v>
      </c>
      <c r="B3824" s="3" t="s">
        <v>3819</v>
      </c>
      <c r="C3824" s="3" t="s">
        <v>7931</v>
      </c>
      <c r="D3824" s="12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>((Table1[[#This Row],[deadline]]/60)/60/24)+DATE(1970,1,1)</f>
        <v>42388.957638888889</v>
      </c>
      <c r="K3824">
        <v>1448136417</v>
      </c>
      <c r="L3824" s="11">
        <f>((Table1[[#This Row],[launched_at]]/60)/60/24)+DATE(1970,1,1)</f>
        <v>42329.838159722218</v>
      </c>
      <c r="M3824">
        <f>MONTH(Table1[[#This Row],[Date Created Conversion]])</f>
        <v>11</v>
      </c>
      <c r="N3824">
        <f>YEAR(Table1[[#This Row],[Date Created Conversion]])</f>
        <v>2015</v>
      </c>
      <c r="O3824" t="b">
        <v>0</v>
      </c>
      <c r="P3824">
        <v>76</v>
      </c>
      <c r="Q3824" t="b">
        <v>1</v>
      </c>
      <c r="R3824" t="s">
        <v>8271</v>
      </c>
      <c r="S3824" s="6">
        <f>Table1[[#This Row],[pledged]]/Table1[[#This Row],[goal]]</f>
        <v>1.1002000000000001</v>
      </c>
      <c r="T3824" s="8">
        <f>IF(Table1[[#This Row],[pledged]]=0,"no backers",Table1[[#This Row],[pledged]]/Table1[[#This Row],[backers_count]])</f>
        <v>72.381578947368425</v>
      </c>
      <c r="U3824" t="str">
        <f>LEFT(Table1[[#This Row],[Category and Sub-Category]],FIND("/",Table1[[#This Row],[Category and Sub-Category]])-1)</f>
        <v>theater</v>
      </c>
      <c r="V3824" t="str">
        <f>RIGHT(Table1[[#This Row],[Category and Sub-Category]],LEN(Table1[[#This Row],[Category and Sub-Category]])-FIND("/",Table1[[#This Row],[Category and Sub-Category]]))</f>
        <v>plays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 s="12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>((Table1[[#This Row],[deadline]]/60)/60/24)+DATE(1970,1,1)</f>
        <v>42205.165972222225</v>
      </c>
      <c r="K3825">
        <v>1434405044</v>
      </c>
      <c r="L3825" s="11">
        <f>((Table1[[#This Row],[launched_at]]/60)/60/24)+DATE(1970,1,1)</f>
        <v>42170.910231481481</v>
      </c>
      <c r="M3825">
        <f>MONTH(Table1[[#This Row],[Date Created Conversion]])</f>
        <v>6</v>
      </c>
      <c r="N3825">
        <f>YEAR(Table1[[#This Row],[Date Created Conversion]])</f>
        <v>2015</v>
      </c>
      <c r="O3825" t="b">
        <v>0</v>
      </c>
      <c r="P3825">
        <v>41</v>
      </c>
      <c r="Q3825" t="b">
        <v>1</v>
      </c>
      <c r="R3825" t="s">
        <v>8271</v>
      </c>
      <c r="S3825" s="6">
        <f>Table1[[#This Row],[pledged]]/Table1[[#This Row],[goal]]</f>
        <v>1.06</v>
      </c>
      <c r="T3825" s="8">
        <f>IF(Table1[[#This Row],[pledged]]=0,"no backers",Table1[[#This Row],[pledged]]/Table1[[#This Row],[backers_count]])</f>
        <v>64.634146341463421</v>
      </c>
      <c r="U3825" t="str">
        <f>LEFT(Table1[[#This Row],[Category and Sub-Category]],FIND("/",Table1[[#This Row],[Category and Sub-Category]])-1)</f>
        <v>theater</v>
      </c>
      <c r="V3825" t="str">
        <f>RIGHT(Table1[[#This Row],[Category and Sub-Category]],LEN(Table1[[#This Row],[Category and Sub-Category]])-FIND("/",Table1[[#This Row],[Category and Sub-Category]]))</f>
        <v>plays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 s="12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>((Table1[[#This Row],[deadline]]/60)/60/24)+DATE(1970,1,1)</f>
        <v>42583.570138888885</v>
      </c>
      <c r="K3826">
        <v>1469026903</v>
      </c>
      <c r="L3826" s="11">
        <f>((Table1[[#This Row],[launched_at]]/60)/60/24)+DATE(1970,1,1)</f>
        <v>42571.626192129625</v>
      </c>
      <c r="M3826">
        <f>MONTH(Table1[[#This Row],[Date Created Conversion]])</f>
        <v>7</v>
      </c>
      <c r="N3826">
        <f>YEAR(Table1[[#This Row],[Date Created Conversion]])</f>
        <v>2016</v>
      </c>
      <c r="O3826" t="b">
        <v>0</v>
      </c>
      <c r="P3826">
        <v>7</v>
      </c>
      <c r="Q3826" t="b">
        <v>1</v>
      </c>
      <c r="R3826" t="s">
        <v>8271</v>
      </c>
      <c r="S3826" s="6">
        <f>Table1[[#This Row],[pledged]]/Table1[[#This Row],[goal]]</f>
        <v>1.08</v>
      </c>
      <c r="T3826" s="8">
        <f>IF(Table1[[#This Row],[pledged]]=0,"no backers",Table1[[#This Row],[pledged]]/Table1[[#This Row],[backers_count]])</f>
        <v>38.571428571428569</v>
      </c>
      <c r="U3826" t="str">
        <f>LEFT(Table1[[#This Row],[Category and Sub-Category]],FIND("/",Table1[[#This Row],[Category and Sub-Category]])-1)</f>
        <v>theater</v>
      </c>
      <c r="V3826" t="str">
        <f>RIGHT(Table1[[#This Row],[Category and Sub-Category]],LEN(Table1[[#This Row],[Category and Sub-Category]])-FIND("/",Table1[[#This Row],[Category and Sub-Category]]))</f>
        <v>plays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 s="12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>((Table1[[#This Row],[deadline]]/60)/60/24)+DATE(1970,1,1)</f>
        <v>42172.069606481484</v>
      </c>
      <c r="K3827">
        <v>1432690814</v>
      </c>
      <c r="L3827" s="11">
        <f>((Table1[[#This Row],[launched_at]]/60)/60/24)+DATE(1970,1,1)</f>
        <v>42151.069606481484</v>
      </c>
      <c r="M3827">
        <f>MONTH(Table1[[#This Row],[Date Created Conversion]])</f>
        <v>5</v>
      </c>
      <c r="N3827">
        <f>YEAR(Table1[[#This Row],[Date Created Conversion]])</f>
        <v>2015</v>
      </c>
      <c r="O3827" t="b">
        <v>0</v>
      </c>
      <c r="P3827">
        <v>49</v>
      </c>
      <c r="Q3827" t="b">
        <v>1</v>
      </c>
      <c r="R3827" t="s">
        <v>8271</v>
      </c>
      <c r="S3827" s="6">
        <f>Table1[[#This Row],[pledged]]/Table1[[#This Row],[goal]]</f>
        <v>1.0542</v>
      </c>
      <c r="T3827" s="8">
        <f>IF(Table1[[#This Row],[pledged]]=0,"no backers",Table1[[#This Row],[pledged]]/Table1[[#This Row],[backers_count]])</f>
        <v>107.57142857142857</v>
      </c>
      <c r="U3827" t="str">
        <f>LEFT(Table1[[#This Row],[Category and Sub-Category]],FIND("/",Table1[[#This Row],[Category and Sub-Category]])-1)</f>
        <v>theater</v>
      </c>
      <c r="V3827" t="str">
        <f>RIGHT(Table1[[#This Row],[Category and Sub-Category]],LEN(Table1[[#This Row],[Category and Sub-Category]])-FIND("/",Table1[[#This Row],[Category and Sub-Category]]))</f>
        <v>plays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 s="12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>((Table1[[#This Row],[deadline]]/60)/60/24)+DATE(1970,1,1)</f>
        <v>42131.423541666663</v>
      </c>
      <c r="K3828">
        <v>1428401394</v>
      </c>
      <c r="L3828" s="11">
        <f>((Table1[[#This Row],[launched_at]]/60)/60/24)+DATE(1970,1,1)</f>
        <v>42101.423541666663</v>
      </c>
      <c r="M3828">
        <f>MONTH(Table1[[#This Row],[Date Created Conversion]])</f>
        <v>4</v>
      </c>
      <c r="N3828">
        <f>YEAR(Table1[[#This Row],[Date Created Conversion]])</f>
        <v>2015</v>
      </c>
      <c r="O3828" t="b">
        <v>0</v>
      </c>
      <c r="P3828">
        <v>26</v>
      </c>
      <c r="Q3828" t="b">
        <v>1</v>
      </c>
      <c r="R3828" t="s">
        <v>8271</v>
      </c>
      <c r="S3828" s="6">
        <f>Table1[[#This Row],[pledged]]/Table1[[#This Row],[goal]]</f>
        <v>1.1916666666666667</v>
      </c>
      <c r="T3828" s="8">
        <f>IF(Table1[[#This Row],[pledged]]=0,"no backers",Table1[[#This Row],[pledged]]/Table1[[#This Row],[backers_count]])</f>
        <v>27.5</v>
      </c>
      <c r="U3828" t="str">
        <f>LEFT(Table1[[#This Row],[Category and Sub-Category]],FIND("/",Table1[[#This Row],[Category and Sub-Category]])-1)</f>
        <v>theater</v>
      </c>
      <c r="V3828" t="str">
        <f>RIGHT(Table1[[#This Row],[Category and Sub-Category]],LEN(Table1[[#This Row],[Category and Sub-Category]])-FIND("/",Table1[[#This Row],[Category and Sub-Category]]))</f>
        <v>plays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 s="12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>((Table1[[#This Row],[deadline]]/60)/60/24)+DATE(1970,1,1)</f>
        <v>42090</v>
      </c>
      <c r="K3829">
        <v>1422656201</v>
      </c>
      <c r="L3829" s="11">
        <f>((Table1[[#This Row],[launched_at]]/60)/60/24)+DATE(1970,1,1)</f>
        <v>42034.928252314814</v>
      </c>
      <c r="M3829">
        <f>MONTH(Table1[[#This Row],[Date Created Conversion]])</f>
        <v>1</v>
      </c>
      <c r="N3829">
        <f>YEAR(Table1[[#This Row],[Date Created Conversion]])</f>
        <v>2015</v>
      </c>
      <c r="O3829" t="b">
        <v>0</v>
      </c>
      <c r="P3829">
        <v>65</v>
      </c>
      <c r="Q3829" t="b">
        <v>1</v>
      </c>
      <c r="R3829" t="s">
        <v>8271</v>
      </c>
      <c r="S3829" s="6">
        <f>Table1[[#This Row],[pledged]]/Table1[[#This Row],[goal]]</f>
        <v>1.5266666666666666</v>
      </c>
      <c r="T3829" s="8">
        <f>IF(Table1[[#This Row],[pledged]]=0,"no backers",Table1[[#This Row],[pledged]]/Table1[[#This Row],[backers_count]])</f>
        <v>70.461538461538467</v>
      </c>
      <c r="U3829" t="str">
        <f>LEFT(Table1[[#This Row],[Category and Sub-Category]],FIND("/",Table1[[#This Row],[Category and Sub-Category]])-1)</f>
        <v>theater</v>
      </c>
      <c r="V3829" t="str">
        <f>RIGHT(Table1[[#This Row],[Category and Sub-Category]],LEN(Table1[[#This Row],[Category and Sub-Category]])-FIND("/",Table1[[#This Row],[Category and Sub-Category]]))</f>
        <v>plays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 s="12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>((Table1[[#This Row],[deadline]]/60)/60/24)+DATE(1970,1,1)</f>
        <v>42004.569293981483</v>
      </c>
      <c r="K3830">
        <v>1414845587</v>
      </c>
      <c r="L3830" s="11">
        <f>((Table1[[#This Row],[launched_at]]/60)/60/24)+DATE(1970,1,1)</f>
        <v>41944.527627314819</v>
      </c>
      <c r="M3830">
        <f>MONTH(Table1[[#This Row],[Date Created Conversion]])</f>
        <v>11</v>
      </c>
      <c r="N3830">
        <f>YEAR(Table1[[#This Row],[Date Created Conversion]])</f>
        <v>2014</v>
      </c>
      <c r="O3830" t="b">
        <v>0</v>
      </c>
      <c r="P3830">
        <v>28</v>
      </c>
      <c r="Q3830" t="b">
        <v>1</v>
      </c>
      <c r="R3830" t="s">
        <v>8271</v>
      </c>
      <c r="S3830" s="6">
        <f>Table1[[#This Row],[pledged]]/Table1[[#This Row],[goal]]</f>
        <v>1</v>
      </c>
      <c r="T3830" s="8">
        <f>IF(Table1[[#This Row],[pledged]]=0,"no backers",Table1[[#This Row],[pledged]]/Table1[[#This Row],[backers_count]])</f>
        <v>178.57142857142858</v>
      </c>
      <c r="U3830" t="str">
        <f>LEFT(Table1[[#This Row],[Category and Sub-Category]],FIND("/",Table1[[#This Row],[Category and Sub-Category]])-1)</f>
        <v>theater</v>
      </c>
      <c r="V3830" t="str">
        <f>RIGHT(Table1[[#This Row],[Category and Sub-Category]],LEN(Table1[[#This Row],[Category and Sub-Category]])-FIND("/",Table1[[#This Row],[Category and Sub-Category]]))</f>
        <v>plays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 s="12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>((Table1[[#This Row],[deadline]]/60)/60/24)+DATE(1970,1,1)</f>
        <v>42613.865405092598</v>
      </c>
      <c r="K3831">
        <v>1470948371</v>
      </c>
      <c r="L3831" s="11">
        <f>((Table1[[#This Row],[launched_at]]/60)/60/24)+DATE(1970,1,1)</f>
        <v>42593.865405092598</v>
      </c>
      <c r="M3831">
        <f>MONTH(Table1[[#This Row],[Date Created Conversion]])</f>
        <v>8</v>
      </c>
      <c r="N3831">
        <f>YEAR(Table1[[#This Row],[Date Created Conversion]])</f>
        <v>2016</v>
      </c>
      <c r="O3831" t="b">
        <v>0</v>
      </c>
      <c r="P3831">
        <v>8</v>
      </c>
      <c r="Q3831" t="b">
        <v>1</v>
      </c>
      <c r="R3831" t="s">
        <v>8271</v>
      </c>
      <c r="S3831" s="6">
        <f>Table1[[#This Row],[pledged]]/Table1[[#This Row],[goal]]</f>
        <v>1.002</v>
      </c>
      <c r="T3831" s="8">
        <f>IF(Table1[[#This Row],[pledged]]=0,"no backers",Table1[[#This Row],[pledged]]/Table1[[#This Row],[backers_count]])</f>
        <v>62.625</v>
      </c>
      <c r="U3831" t="str">
        <f>LEFT(Table1[[#This Row],[Category and Sub-Category]],FIND("/",Table1[[#This Row],[Category and Sub-Category]])-1)</f>
        <v>theater</v>
      </c>
      <c r="V3831" t="str">
        <f>RIGHT(Table1[[#This Row],[Category and Sub-Category]],LEN(Table1[[#This Row],[Category and Sub-Category]])-FIND("/",Table1[[#This Row],[Category and Sub-Category]]))</f>
        <v>plays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 s="1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>((Table1[[#This Row],[deadline]]/60)/60/24)+DATE(1970,1,1)</f>
        <v>42517.740868055553</v>
      </c>
      <c r="K3832">
        <v>1463161611</v>
      </c>
      <c r="L3832" s="11">
        <f>((Table1[[#This Row],[launched_at]]/60)/60/24)+DATE(1970,1,1)</f>
        <v>42503.740868055553</v>
      </c>
      <c r="M3832">
        <f>MONTH(Table1[[#This Row],[Date Created Conversion]])</f>
        <v>5</v>
      </c>
      <c r="N3832">
        <f>YEAR(Table1[[#This Row],[Date Created Conversion]])</f>
        <v>2016</v>
      </c>
      <c r="O3832" t="b">
        <v>0</v>
      </c>
      <c r="P3832">
        <v>3</v>
      </c>
      <c r="Q3832" t="b">
        <v>1</v>
      </c>
      <c r="R3832" t="s">
        <v>8271</v>
      </c>
      <c r="S3832" s="6">
        <f>Table1[[#This Row],[pledged]]/Table1[[#This Row],[goal]]</f>
        <v>2.25</v>
      </c>
      <c r="T3832" s="8">
        <f>IF(Table1[[#This Row],[pledged]]=0,"no backers",Table1[[#This Row],[pledged]]/Table1[[#This Row],[backers_count]])</f>
        <v>75</v>
      </c>
      <c r="U3832" t="str">
        <f>LEFT(Table1[[#This Row],[Category and Sub-Category]],FIND("/",Table1[[#This Row],[Category and Sub-Category]])-1)</f>
        <v>theater</v>
      </c>
      <c r="V3832" t="str">
        <f>RIGHT(Table1[[#This Row],[Category and Sub-Category]],LEN(Table1[[#This Row],[Category and Sub-Category]])-FIND("/",Table1[[#This Row],[Category and Sub-Category]]))</f>
        <v>plays</v>
      </c>
    </row>
    <row r="3833" spans="1:22" ht="57.6" x14ac:dyDescent="0.3">
      <c r="A3833">
        <v>3831</v>
      </c>
      <c r="B3833" s="3" t="s">
        <v>3828</v>
      </c>
      <c r="C3833" s="3" t="s">
        <v>7940</v>
      </c>
      <c r="D3833" s="12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>((Table1[[#This Row],[deadline]]/60)/60/24)+DATE(1970,1,1)</f>
        <v>41948.890567129631</v>
      </c>
      <c r="K3833">
        <v>1413404545</v>
      </c>
      <c r="L3833" s="11">
        <f>((Table1[[#This Row],[launched_at]]/60)/60/24)+DATE(1970,1,1)</f>
        <v>41927.848900462966</v>
      </c>
      <c r="M3833">
        <f>MONTH(Table1[[#This Row],[Date Created Conversion]])</f>
        <v>10</v>
      </c>
      <c r="N3833">
        <f>YEAR(Table1[[#This Row],[Date Created Conversion]])</f>
        <v>2014</v>
      </c>
      <c r="O3833" t="b">
        <v>0</v>
      </c>
      <c r="P3833">
        <v>9</v>
      </c>
      <c r="Q3833" t="b">
        <v>1</v>
      </c>
      <c r="R3833" t="s">
        <v>8271</v>
      </c>
      <c r="S3833" s="6">
        <f>Table1[[#This Row],[pledged]]/Table1[[#This Row],[goal]]</f>
        <v>1.0602199999999999</v>
      </c>
      <c r="T3833" s="8">
        <f>IF(Table1[[#This Row],[pledged]]=0,"no backers",Table1[[#This Row],[pledged]]/Table1[[#This Row],[backers_count]])</f>
        <v>58.901111111111113</v>
      </c>
      <c r="U3833" t="str">
        <f>LEFT(Table1[[#This Row],[Category and Sub-Category]],FIND("/",Table1[[#This Row],[Category and Sub-Category]])-1)</f>
        <v>theater</v>
      </c>
      <c r="V3833" t="str">
        <f>RIGHT(Table1[[#This Row],[Category and Sub-Category]],LEN(Table1[[#This Row],[Category and Sub-Category]])-FIND("/",Table1[[#This Row],[Category and Sub-Category]]))</f>
        <v>plays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 s="12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>((Table1[[#This Row],[deadline]]/60)/60/24)+DATE(1970,1,1)</f>
        <v>42420.114988425921</v>
      </c>
      <c r="K3834">
        <v>1452048335</v>
      </c>
      <c r="L3834" s="11">
        <f>((Table1[[#This Row],[launched_at]]/60)/60/24)+DATE(1970,1,1)</f>
        <v>42375.114988425921</v>
      </c>
      <c r="M3834">
        <f>MONTH(Table1[[#This Row],[Date Created Conversion]])</f>
        <v>1</v>
      </c>
      <c r="N3834">
        <f>YEAR(Table1[[#This Row],[Date Created Conversion]])</f>
        <v>2016</v>
      </c>
      <c r="O3834" t="b">
        <v>0</v>
      </c>
      <c r="P3834">
        <v>9</v>
      </c>
      <c r="Q3834" t="b">
        <v>1</v>
      </c>
      <c r="R3834" t="s">
        <v>8271</v>
      </c>
      <c r="S3834" s="6">
        <f>Table1[[#This Row],[pledged]]/Table1[[#This Row],[goal]]</f>
        <v>1.0466666666666666</v>
      </c>
      <c r="T3834" s="8">
        <f>IF(Table1[[#This Row],[pledged]]=0,"no backers",Table1[[#This Row],[pledged]]/Table1[[#This Row],[backers_count]])</f>
        <v>139.55555555555554</v>
      </c>
      <c r="U3834" t="str">
        <f>LEFT(Table1[[#This Row],[Category and Sub-Category]],FIND("/",Table1[[#This Row],[Category and Sub-Category]])-1)</f>
        <v>theater</v>
      </c>
      <c r="V3834" t="str">
        <f>RIGHT(Table1[[#This Row],[Category and Sub-Category]],LEN(Table1[[#This Row],[Category and Sub-Category]])-FIND("/",Table1[[#This Row],[Category and Sub-Category]]))</f>
        <v>plays</v>
      </c>
    </row>
    <row r="3835" spans="1:22" ht="57.6" x14ac:dyDescent="0.3">
      <c r="A3835">
        <v>3833</v>
      </c>
      <c r="B3835" s="3" t="s">
        <v>3830</v>
      </c>
      <c r="C3835" s="3" t="s">
        <v>7942</v>
      </c>
      <c r="D3835" s="12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>((Table1[[#This Row],[deadline]]/60)/60/24)+DATE(1970,1,1)</f>
        <v>41974.797916666663</v>
      </c>
      <c r="K3835">
        <v>1416516972</v>
      </c>
      <c r="L3835" s="11">
        <f>((Table1[[#This Row],[launched_at]]/60)/60/24)+DATE(1970,1,1)</f>
        <v>41963.872361111105</v>
      </c>
      <c r="M3835">
        <f>MONTH(Table1[[#This Row],[Date Created Conversion]])</f>
        <v>11</v>
      </c>
      <c r="N3835">
        <f>YEAR(Table1[[#This Row],[Date Created Conversion]])</f>
        <v>2014</v>
      </c>
      <c r="O3835" t="b">
        <v>0</v>
      </c>
      <c r="P3835">
        <v>20</v>
      </c>
      <c r="Q3835" t="b">
        <v>1</v>
      </c>
      <c r="R3835" t="s">
        <v>8271</v>
      </c>
      <c r="S3835" s="6">
        <f>Table1[[#This Row],[pledged]]/Table1[[#This Row],[goal]]</f>
        <v>1.1666666666666667</v>
      </c>
      <c r="T3835" s="8">
        <f>IF(Table1[[#This Row],[pledged]]=0,"no backers",Table1[[#This Row],[pledged]]/Table1[[#This Row],[backers_count]])</f>
        <v>70</v>
      </c>
      <c r="U3835" t="str">
        <f>LEFT(Table1[[#This Row],[Category and Sub-Category]],FIND("/",Table1[[#This Row],[Category and Sub-Category]])-1)</f>
        <v>theater</v>
      </c>
      <c r="V3835" t="str">
        <f>RIGHT(Table1[[#This Row],[Category and Sub-Category]],LEN(Table1[[#This Row],[Category and Sub-Category]])-FIND("/",Table1[[#This Row],[Category and Sub-Category]]))</f>
        <v>plays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 s="12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>((Table1[[#This Row],[deadline]]/60)/60/24)+DATE(1970,1,1)</f>
        <v>42173.445219907408</v>
      </c>
      <c r="K3836">
        <v>1432032067</v>
      </c>
      <c r="L3836" s="11">
        <f>((Table1[[#This Row],[launched_at]]/60)/60/24)+DATE(1970,1,1)</f>
        <v>42143.445219907408</v>
      </c>
      <c r="M3836">
        <f>MONTH(Table1[[#This Row],[Date Created Conversion]])</f>
        <v>5</v>
      </c>
      <c r="N3836">
        <f>YEAR(Table1[[#This Row],[Date Created Conversion]])</f>
        <v>2015</v>
      </c>
      <c r="O3836" t="b">
        <v>0</v>
      </c>
      <c r="P3836">
        <v>57</v>
      </c>
      <c r="Q3836" t="b">
        <v>1</v>
      </c>
      <c r="R3836" t="s">
        <v>8271</v>
      </c>
      <c r="S3836" s="6">
        <f>Table1[[#This Row],[pledged]]/Table1[[#This Row],[goal]]</f>
        <v>1.0903333333333334</v>
      </c>
      <c r="T3836" s="8">
        <f>IF(Table1[[#This Row],[pledged]]=0,"no backers",Table1[[#This Row],[pledged]]/Table1[[#This Row],[backers_count]])</f>
        <v>57.385964912280699</v>
      </c>
      <c r="U3836" t="str">
        <f>LEFT(Table1[[#This Row],[Category and Sub-Category]],FIND("/",Table1[[#This Row],[Category and Sub-Category]])-1)</f>
        <v>theater</v>
      </c>
      <c r="V3836" t="str">
        <f>RIGHT(Table1[[#This Row],[Category and Sub-Category]],LEN(Table1[[#This Row],[Category and Sub-Category]])-FIND("/",Table1[[#This Row],[Category and Sub-Category]]))</f>
        <v>plays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 s="12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>((Table1[[#This Row],[deadline]]/60)/60/24)+DATE(1970,1,1)</f>
        <v>42481.94222222222</v>
      </c>
      <c r="K3837">
        <v>1459463808</v>
      </c>
      <c r="L3837" s="11">
        <f>((Table1[[#This Row],[launched_at]]/60)/60/24)+DATE(1970,1,1)</f>
        <v>42460.94222222222</v>
      </c>
      <c r="M3837">
        <f>MONTH(Table1[[#This Row],[Date Created Conversion]])</f>
        <v>3</v>
      </c>
      <c r="N3837">
        <f>YEAR(Table1[[#This Row],[Date Created Conversion]])</f>
        <v>2016</v>
      </c>
      <c r="O3837" t="b">
        <v>0</v>
      </c>
      <c r="P3837">
        <v>8</v>
      </c>
      <c r="Q3837" t="b">
        <v>1</v>
      </c>
      <c r="R3837" t="s">
        <v>8271</v>
      </c>
      <c r="S3837" s="6">
        <f>Table1[[#This Row],[pledged]]/Table1[[#This Row],[goal]]</f>
        <v>1.6</v>
      </c>
      <c r="T3837" s="8">
        <f>IF(Table1[[#This Row],[pledged]]=0,"no backers",Table1[[#This Row],[pledged]]/Table1[[#This Row],[backers_count]])</f>
        <v>40</v>
      </c>
      <c r="U3837" t="str">
        <f>LEFT(Table1[[#This Row],[Category and Sub-Category]],FIND("/",Table1[[#This Row],[Category and Sub-Category]])-1)</f>
        <v>theater</v>
      </c>
      <c r="V3837" t="str">
        <f>RIGHT(Table1[[#This Row],[Category and Sub-Category]],LEN(Table1[[#This Row],[Category and Sub-Category]])-FIND("/",Table1[[#This Row],[Category and Sub-Category]]))</f>
        <v>plays</v>
      </c>
    </row>
    <row r="3838" spans="1:22" ht="43.2" x14ac:dyDescent="0.3">
      <c r="A3838">
        <v>3836</v>
      </c>
      <c r="B3838" s="3" t="s">
        <v>3833</v>
      </c>
      <c r="C3838" s="3" t="s">
        <v>7945</v>
      </c>
      <c r="D3838" s="12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>((Table1[[#This Row],[deadline]]/60)/60/24)+DATE(1970,1,1)</f>
        <v>42585.172916666663</v>
      </c>
      <c r="K3838">
        <v>1467497652</v>
      </c>
      <c r="L3838" s="11">
        <f>((Table1[[#This Row],[launched_at]]/60)/60/24)+DATE(1970,1,1)</f>
        <v>42553.926527777774</v>
      </c>
      <c r="M3838">
        <f>MONTH(Table1[[#This Row],[Date Created Conversion]])</f>
        <v>7</v>
      </c>
      <c r="N3838">
        <f>YEAR(Table1[[#This Row],[Date Created Conversion]])</f>
        <v>2016</v>
      </c>
      <c r="O3838" t="b">
        <v>0</v>
      </c>
      <c r="P3838">
        <v>14</v>
      </c>
      <c r="Q3838" t="b">
        <v>1</v>
      </c>
      <c r="R3838" t="s">
        <v>8271</v>
      </c>
      <c r="S3838" s="6">
        <f>Table1[[#This Row],[pledged]]/Table1[[#This Row],[goal]]</f>
        <v>1.125</v>
      </c>
      <c r="T3838" s="8">
        <f>IF(Table1[[#This Row],[pledged]]=0,"no backers",Table1[[#This Row],[pledged]]/Table1[[#This Row],[backers_count]])</f>
        <v>64.285714285714292</v>
      </c>
      <c r="U3838" t="str">
        <f>LEFT(Table1[[#This Row],[Category and Sub-Category]],FIND("/",Table1[[#This Row],[Category and Sub-Category]])-1)</f>
        <v>theater</v>
      </c>
      <c r="V3838" t="str">
        <f>RIGHT(Table1[[#This Row],[Category and Sub-Category]],LEN(Table1[[#This Row],[Category and Sub-Category]])-FIND("/",Table1[[#This Row],[Category and Sub-Category]]))</f>
        <v>plays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 s="12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>((Table1[[#This Row],[deadline]]/60)/60/24)+DATE(1970,1,1)</f>
        <v>42188.765717592592</v>
      </c>
      <c r="K3839">
        <v>1432837358</v>
      </c>
      <c r="L3839" s="11">
        <f>((Table1[[#This Row],[launched_at]]/60)/60/24)+DATE(1970,1,1)</f>
        <v>42152.765717592592</v>
      </c>
      <c r="M3839">
        <f>MONTH(Table1[[#This Row],[Date Created Conversion]])</f>
        <v>5</v>
      </c>
      <c r="N3839">
        <f>YEAR(Table1[[#This Row],[Date Created Conversion]])</f>
        <v>2015</v>
      </c>
      <c r="O3839" t="b">
        <v>0</v>
      </c>
      <c r="P3839">
        <v>17</v>
      </c>
      <c r="Q3839" t="b">
        <v>1</v>
      </c>
      <c r="R3839" t="s">
        <v>8271</v>
      </c>
      <c r="S3839" s="6">
        <f>Table1[[#This Row],[pledged]]/Table1[[#This Row],[goal]]</f>
        <v>1.0209999999999999</v>
      </c>
      <c r="T3839" s="8">
        <f>IF(Table1[[#This Row],[pledged]]=0,"no backers",Table1[[#This Row],[pledged]]/Table1[[#This Row],[backers_count]])</f>
        <v>120.11764705882354</v>
      </c>
      <c r="U3839" t="str">
        <f>LEFT(Table1[[#This Row],[Category and Sub-Category]],FIND("/",Table1[[#This Row],[Category and Sub-Category]])-1)</f>
        <v>theater</v>
      </c>
      <c r="V3839" t="str">
        <f>RIGHT(Table1[[#This Row],[Category and Sub-Category]],LEN(Table1[[#This Row],[Category and Sub-Category]])-FIND("/",Table1[[#This Row],[Category and Sub-Category]]))</f>
        <v>plays</v>
      </c>
    </row>
    <row r="3840" spans="1:22" ht="57.6" x14ac:dyDescent="0.3">
      <c r="A3840">
        <v>3838</v>
      </c>
      <c r="B3840" s="3" t="s">
        <v>3835</v>
      </c>
      <c r="C3840" s="3" t="s">
        <v>7947</v>
      </c>
      <c r="D3840" s="12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>((Table1[[#This Row],[deadline]]/60)/60/24)+DATE(1970,1,1)</f>
        <v>42146.710752314815</v>
      </c>
      <c r="K3840">
        <v>1429722209</v>
      </c>
      <c r="L3840" s="11">
        <f>((Table1[[#This Row],[launched_at]]/60)/60/24)+DATE(1970,1,1)</f>
        <v>42116.710752314815</v>
      </c>
      <c r="M3840">
        <f>MONTH(Table1[[#This Row],[Date Created Conversion]])</f>
        <v>4</v>
      </c>
      <c r="N3840">
        <f>YEAR(Table1[[#This Row],[Date Created Conversion]])</f>
        <v>2015</v>
      </c>
      <c r="O3840" t="b">
        <v>0</v>
      </c>
      <c r="P3840">
        <v>100</v>
      </c>
      <c r="Q3840" t="b">
        <v>1</v>
      </c>
      <c r="R3840" t="s">
        <v>8271</v>
      </c>
      <c r="S3840" s="6">
        <f>Table1[[#This Row],[pledged]]/Table1[[#This Row],[goal]]</f>
        <v>1.00824</v>
      </c>
      <c r="T3840" s="8">
        <f>IF(Table1[[#This Row],[pledged]]=0,"no backers",Table1[[#This Row],[pledged]]/Table1[[#This Row],[backers_count]])</f>
        <v>1008.24</v>
      </c>
      <c r="U3840" t="str">
        <f>LEFT(Table1[[#This Row],[Category and Sub-Category]],FIND("/",Table1[[#This Row],[Category and Sub-Category]])-1)</f>
        <v>theater</v>
      </c>
      <c r="V3840" t="str">
        <f>RIGHT(Table1[[#This Row],[Category and Sub-Category]],LEN(Table1[[#This Row],[Category and Sub-Category]])-FIND("/",Table1[[#This Row],[Category and Sub-Category]]))</f>
        <v>plays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 s="12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>((Table1[[#This Row],[deadline]]/60)/60/24)+DATE(1970,1,1)</f>
        <v>42215.142638888887</v>
      </c>
      <c r="K3841">
        <v>1433042724</v>
      </c>
      <c r="L3841" s="11">
        <f>((Table1[[#This Row],[launched_at]]/60)/60/24)+DATE(1970,1,1)</f>
        <v>42155.142638888887</v>
      </c>
      <c r="M3841">
        <f>MONTH(Table1[[#This Row],[Date Created Conversion]])</f>
        <v>5</v>
      </c>
      <c r="N3841">
        <f>YEAR(Table1[[#This Row],[Date Created Conversion]])</f>
        <v>2015</v>
      </c>
      <c r="O3841" t="b">
        <v>0</v>
      </c>
      <c r="P3841">
        <v>32</v>
      </c>
      <c r="Q3841" t="b">
        <v>1</v>
      </c>
      <c r="R3841" t="s">
        <v>8271</v>
      </c>
      <c r="S3841" s="6">
        <f>Table1[[#This Row],[pledged]]/Table1[[#This Row],[goal]]</f>
        <v>1.0125</v>
      </c>
      <c r="T3841" s="8">
        <f>IF(Table1[[#This Row],[pledged]]=0,"no backers",Table1[[#This Row],[pledged]]/Table1[[#This Row],[backers_count]])</f>
        <v>63.28125</v>
      </c>
      <c r="U3841" t="str">
        <f>LEFT(Table1[[#This Row],[Category and Sub-Category]],FIND("/",Table1[[#This Row],[Category and Sub-Category]])-1)</f>
        <v>theater</v>
      </c>
      <c r="V3841" t="str">
        <f>RIGHT(Table1[[#This Row],[Category and Sub-Category]],LEN(Table1[[#This Row],[Category and Sub-Category]])-FIND("/",Table1[[#This Row],[Category and Sub-Category]]))</f>
        <v>plays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 s="1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>((Table1[[#This Row],[deadline]]/60)/60/24)+DATE(1970,1,1)</f>
        <v>42457.660057870366</v>
      </c>
      <c r="K3842">
        <v>1457023829</v>
      </c>
      <c r="L3842" s="11">
        <f>((Table1[[#This Row],[launched_at]]/60)/60/24)+DATE(1970,1,1)</f>
        <v>42432.701724537037</v>
      </c>
      <c r="M3842">
        <f>MONTH(Table1[[#This Row],[Date Created Conversion]])</f>
        <v>3</v>
      </c>
      <c r="N3842">
        <f>YEAR(Table1[[#This Row],[Date Created Conversion]])</f>
        <v>2016</v>
      </c>
      <c r="O3842" t="b">
        <v>0</v>
      </c>
      <c r="P3842">
        <v>3</v>
      </c>
      <c r="Q3842" t="b">
        <v>1</v>
      </c>
      <c r="R3842" t="s">
        <v>8271</v>
      </c>
      <c r="S3842" s="6">
        <f>Table1[[#This Row],[pledged]]/Table1[[#This Row],[goal]]</f>
        <v>65</v>
      </c>
      <c r="T3842" s="8">
        <f>IF(Table1[[#This Row],[pledged]]=0,"no backers",Table1[[#This Row],[pledged]]/Table1[[#This Row],[backers_count]])</f>
        <v>21.666666666666668</v>
      </c>
      <c r="U3842" t="str">
        <f>LEFT(Table1[[#This Row],[Category and Sub-Category]],FIND("/",Table1[[#This Row],[Category and Sub-Category]])-1)</f>
        <v>theater</v>
      </c>
      <c r="V3842" t="str">
        <f>RIGHT(Table1[[#This Row],[Category and Sub-Category]],LEN(Table1[[#This Row],[Category and Sub-Category]])-FIND("/",Table1[[#This Row],[Category and Sub-Category]]))</f>
        <v>plays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 s="12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>((Table1[[#This Row],[deadline]]/60)/60/24)+DATE(1970,1,1)</f>
        <v>41840.785729166666</v>
      </c>
      <c r="K3843">
        <v>1400698287</v>
      </c>
      <c r="L3843" s="11">
        <f>((Table1[[#This Row],[launched_at]]/60)/60/24)+DATE(1970,1,1)</f>
        <v>41780.785729166666</v>
      </c>
      <c r="M3843">
        <f>MONTH(Table1[[#This Row],[Date Created Conversion]])</f>
        <v>5</v>
      </c>
      <c r="N3843">
        <f>YEAR(Table1[[#This Row],[Date Created Conversion]])</f>
        <v>2014</v>
      </c>
      <c r="O3843" t="b">
        <v>1</v>
      </c>
      <c r="P3843">
        <v>34</v>
      </c>
      <c r="Q3843" t="b">
        <v>0</v>
      </c>
      <c r="R3843" t="s">
        <v>8271</v>
      </c>
      <c r="S3843" s="6">
        <f>Table1[[#This Row],[pledged]]/Table1[[#This Row],[goal]]</f>
        <v>8.72E-2</v>
      </c>
      <c r="T3843" s="8">
        <f>IF(Table1[[#This Row],[pledged]]=0,"no backers",Table1[[#This Row],[pledged]]/Table1[[#This Row],[backers_count]])</f>
        <v>25.647058823529413</v>
      </c>
      <c r="U3843" t="str">
        <f>LEFT(Table1[[#This Row],[Category and Sub-Category]],FIND("/",Table1[[#This Row],[Category and Sub-Category]])-1)</f>
        <v>theater</v>
      </c>
      <c r="V3843" t="str">
        <f>RIGHT(Table1[[#This Row],[Category and Sub-Category]],LEN(Table1[[#This Row],[Category and Sub-Category]])-FIND("/",Table1[[#This Row],[Category and Sub-Category]]))</f>
        <v>plays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 s="12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>((Table1[[#This Row],[deadline]]/60)/60/24)+DATE(1970,1,1)</f>
        <v>41770.493657407409</v>
      </c>
      <c r="K3844">
        <v>1397217052</v>
      </c>
      <c r="L3844" s="11">
        <f>((Table1[[#This Row],[launched_at]]/60)/60/24)+DATE(1970,1,1)</f>
        <v>41740.493657407409</v>
      </c>
      <c r="M3844">
        <f>MONTH(Table1[[#This Row],[Date Created Conversion]])</f>
        <v>4</v>
      </c>
      <c r="N3844">
        <f>YEAR(Table1[[#This Row],[Date Created Conversion]])</f>
        <v>2014</v>
      </c>
      <c r="O3844" t="b">
        <v>1</v>
      </c>
      <c r="P3844">
        <v>23</v>
      </c>
      <c r="Q3844" t="b">
        <v>0</v>
      </c>
      <c r="R3844" t="s">
        <v>8271</v>
      </c>
      <c r="S3844" s="6">
        <f>Table1[[#This Row],[pledged]]/Table1[[#This Row],[goal]]</f>
        <v>0.21940000000000001</v>
      </c>
      <c r="T3844" s="8">
        <f>IF(Table1[[#This Row],[pledged]]=0,"no backers",Table1[[#This Row],[pledged]]/Table1[[#This Row],[backers_count]])</f>
        <v>47.695652173913047</v>
      </c>
      <c r="U3844" t="str">
        <f>LEFT(Table1[[#This Row],[Category and Sub-Category]],FIND("/",Table1[[#This Row],[Category and Sub-Category]])-1)</f>
        <v>theater</v>
      </c>
      <c r="V3844" t="str">
        <f>RIGHT(Table1[[#This Row],[Category and Sub-Category]],LEN(Table1[[#This Row],[Category and Sub-Category]])-FIND("/",Table1[[#This Row],[Category and Sub-Category]]))</f>
        <v>plays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 s="12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>((Table1[[#This Row],[deadline]]/60)/60/24)+DATE(1970,1,1)</f>
        <v>41791.072500000002</v>
      </c>
      <c r="K3845">
        <v>1399427064</v>
      </c>
      <c r="L3845" s="11">
        <f>((Table1[[#This Row],[launched_at]]/60)/60/24)+DATE(1970,1,1)</f>
        <v>41766.072500000002</v>
      </c>
      <c r="M3845">
        <f>MONTH(Table1[[#This Row],[Date Created Conversion]])</f>
        <v>5</v>
      </c>
      <c r="N3845">
        <f>YEAR(Table1[[#This Row],[Date Created Conversion]])</f>
        <v>2014</v>
      </c>
      <c r="O3845" t="b">
        <v>1</v>
      </c>
      <c r="P3845">
        <v>19</v>
      </c>
      <c r="Q3845" t="b">
        <v>0</v>
      </c>
      <c r="R3845" t="s">
        <v>8271</v>
      </c>
      <c r="S3845" s="6">
        <f>Table1[[#This Row],[pledged]]/Table1[[#This Row],[goal]]</f>
        <v>0.21299999999999999</v>
      </c>
      <c r="T3845" s="8">
        <f>IF(Table1[[#This Row],[pledged]]=0,"no backers",Table1[[#This Row],[pledged]]/Table1[[#This Row],[backers_count]])</f>
        <v>56.05263157894737</v>
      </c>
      <c r="U3845" t="str">
        <f>LEFT(Table1[[#This Row],[Category and Sub-Category]],FIND("/",Table1[[#This Row],[Category and Sub-Category]])-1)</f>
        <v>theater</v>
      </c>
      <c r="V3845" t="str">
        <f>RIGHT(Table1[[#This Row],[Category and Sub-Category]],LEN(Table1[[#This Row],[Category and Sub-Category]])-FIND("/",Table1[[#This Row],[Category and Sub-Category]]))</f>
        <v>plays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 s="12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>((Table1[[#This Row],[deadline]]/60)/60/24)+DATE(1970,1,1)</f>
        <v>41793.290972222225</v>
      </c>
      <c r="K3846">
        <v>1399474134</v>
      </c>
      <c r="L3846" s="11">
        <f>((Table1[[#This Row],[launched_at]]/60)/60/24)+DATE(1970,1,1)</f>
        <v>41766.617291666669</v>
      </c>
      <c r="M3846">
        <f>MONTH(Table1[[#This Row],[Date Created Conversion]])</f>
        <v>5</v>
      </c>
      <c r="N3846">
        <f>YEAR(Table1[[#This Row],[Date Created Conversion]])</f>
        <v>2014</v>
      </c>
      <c r="O3846" t="b">
        <v>1</v>
      </c>
      <c r="P3846">
        <v>50</v>
      </c>
      <c r="Q3846" t="b">
        <v>0</v>
      </c>
      <c r="R3846" t="s">
        <v>8271</v>
      </c>
      <c r="S3846" s="6">
        <f>Table1[[#This Row],[pledged]]/Table1[[#This Row],[goal]]</f>
        <v>0.41489795918367345</v>
      </c>
      <c r="T3846" s="8">
        <f>IF(Table1[[#This Row],[pledged]]=0,"no backers",Table1[[#This Row],[pledged]]/Table1[[#This Row],[backers_count]])</f>
        <v>81.319999999999993</v>
      </c>
      <c r="U3846" t="str">
        <f>LEFT(Table1[[#This Row],[Category and Sub-Category]],FIND("/",Table1[[#This Row],[Category and Sub-Category]])-1)</f>
        <v>theater</v>
      </c>
      <c r="V3846" t="str">
        <f>RIGHT(Table1[[#This Row],[Category and Sub-Category]],LEN(Table1[[#This Row],[Category and Sub-Category]])-FIND("/",Table1[[#This Row],[Category and Sub-Category]]))</f>
        <v>plays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 s="12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>((Table1[[#This Row],[deadline]]/60)/60/24)+DATE(1970,1,1)</f>
        <v>42278.627013888887</v>
      </c>
      <c r="K3847">
        <v>1441119774</v>
      </c>
      <c r="L3847" s="11">
        <f>((Table1[[#This Row],[launched_at]]/60)/60/24)+DATE(1970,1,1)</f>
        <v>42248.627013888887</v>
      </c>
      <c r="M3847">
        <f>MONTH(Table1[[#This Row],[Date Created Conversion]])</f>
        <v>9</v>
      </c>
      <c r="N3847">
        <f>YEAR(Table1[[#This Row],[Date Created Conversion]])</f>
        <v>2015</v>
      </c>
      <c r="O3847" t="b">
        <v>1</v>
      </c>
      <c r="P3847">
        <v>12</v>
      </c>
      <c r="Q3847" t="b">
        <v>0</v>
      </c>
      <c r="R3847" t="s">
        <v>8271</v>
      </c>
      <c r="S3847" s="6">
        <f>Table1[[#This Row],[pledged]]/Table1[[#This Row],[goal]]</f>
        <v>2.1049999999999999E-2</v>
      </c>
      <c r="T3847" s="8">
        <f>IF(Table1[[#This Row],[pledged]]=0,"no backers",Table1[[#This Row],[pledged]]/Table1[[#This Row],[backers_count]])</f>
        <v>70.166666666666671</v>
      </c>
      <c r="U3847" t="str">
        <f>LEFT(Table1[[#This Row],[Category and Sub-Category]],FIND("/",Table1[[#This Row],[Category and Sub-Category]])-1)</f>
        <v>theater</v>
      </c>
      <c r="V3847" t="str">
        <f>RIGHT(Table1[[#This Row],[Category and Sub-Category]],LEN(Table1[[#This Row],[Category and Sub-Category]])-FIND("/",Table1[[#This Row],[Category and Sub-Category]]))</f>
        <v>plays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 s="12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>((Table1[[#This Row],[deadline]]/60)/60/24)+DATE(1970,1,1)</f>
        <v>41916.290972222225</v>
      </c>
      <c r="K3848">
        <v>1409721542</v>
      </c>
      <c r="L3848" s="11">
        <f>((Table1[[#This Row],[launched_at]]/60)/60/24)+DATE(1970,1,1)</f>
        <v>41885.221550925926</v>
      </c>
      <c r="M3848">
        <f>MONTH(Table1[[#This Row],[Date Created Conversion]])</f>
        <v>9</v>
      </c>
      <c r="N3848">
        <f>YEAR(Table1[[#This Row],[Date Created Conversion]])</f>
        <v>2014</v>
      </c>
      <c r="O3848" t="b">
        <v>1</v>
      </c>
      <c r="P3848">
        <v>8</v>
      </c>
      <c r="Q3848" t="b">
        <v>0</v>
      </c>
      <c r="R3848" t="s">
        <v>8271</v>
      </c>
      <c r="S3848" s="6">
        <f>Table1[[#This Row],[pledged]]/Table1[[#This Row],[goal]]</f>
        <v>2.7E-2</v>
      </c>
      <c r="T3848" s="8">
        <f>IF(Table1[[#This Row],[pledged]]=0,"no backers",Table1[[#This Row],[pledged]]/Table1[[#This Row],[backers_count]])</f>
        <v>23.625</v>
      </c>
      <c r="U3848" t="str">
        <f>LEFT(Table1[[#This Row],[Category and Sub-Category]],FIND("/",Table1[[#This Row],[Category and Sub-Category]])-1)</f>
        <v>theater</v>
      </c>
      <c r="V3848" t="str">
        <f>RIGHT(Table1[[#This Row],[Category and Sub-Category]],LEN(Table1[[#This Row],[Category and Sub-Category]])-FIND("/",Table1[[#This Row],[Category and Sub-Category]]))</f>
        <v>plays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 s="12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>((Table1[[#This Row],[deadline]]/60)/60/24)+DATE(1970,1,1)</f>
        <v>42204.224432870367</v>
      </c>
      <c r="K3849">
        <v>1433395391</v>
      </c>
      <c r="L3849" s="11">
        <f>((Table1[[#This Row],[launched_at]]/60)/60/24)+DATE(1970,1,1)</f>
        <v>42159.224432870367</v>
      </c>
      <c r="M3849">
        <f>MONTH(Table1[[#This Row],[Date Created Conversion]])</f>
        <v>6</v>
      </c>
      <c r="N3849">
        <f>YEAR(Table1[[#This Row],[Date Created Conversion]])</f>
        <v>2015</v>
      </c>
      <c r="O3849" t="b">
        <v>1</v>
      </c>
      <c r="P3849">
        <v>9</v>
      </c>
      <c r="Q3849" t="b">
        <v>0</v>
      </c>
      <c r="R3849" t="s">
        <v>8271</v>
      </c>
      <c r="S3849" s="6">
        <f>Table1[[#This Row],[pledged]]/Table1[[#This Row],[goal]]</f>
        <v>0.16161904761904761</v>
      </c>
      <c r="T3849" s="8">
        <f>IF(Table1[[#This Row],[pledged]]=0,"no backers",Table1[[#This Row],[pledged]]/Table1[[#This Row],[backers_count]])</f>
        <v>188.55555555555554</v>
      </c>
      <c r="U3849" t="str">
        <f>LEFT(Table1[[#This Row],[Category and Sub-Category]],FIND("/",Table1[[#This Row],[Category and Sub-Category]])-1)</f>
        <v>theater</v>
      </c>
      <c r="V3849" t="str">
        <f>RIGHT(Table1[[#This Row],[Category and Sub-Category]],LEN(Table1[[#This Row],[Category and Sub-Category]])-FIND("/",Table1[[#This Row],[Category and Sub-Category]]))</f>
        <v>plays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 s="12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>((Table1[[#This Row],[deadline]]/60)/60/24)+DATE(1970,1,1)</f>
        <v>42295.817002314812</v>
      </c>
      <c r="K3850">
        <v>1442604989</v>
      </c>
      <c r="L3850" s="11">
        <f>((Table1[[#This Row],[launched_at]]/60)/60/24)+DATE(1970,1,1)</f>
        <v>42265.817002314812</v>
      </c>
      <c r="M3850">
        <f>MONTH(Table1[[#This Row],[Date Created Conversion]])</f>
        <v>9</v>
      </c>
      <c r="N3850">
        <f>YEAR(Table1[[#This Row],[Date Created Conversion]])</f>
        <v>2015</v>
      </c>
      <c r="O3850" t="b">
        <v>1</v>
      </c>
      <c r="P3850">
        <v>43</v>
      </c>
      <c r="Q3850" t="b">
        <v>0</v>
      </c>
      <c r="R3850" t="s">
        <v>8271</v>
      </c>
      <c r="S3850" s="6">
        <f>Table1[[#This Row],[pledged]]/Table1[[#This Row],[goal]]</f>
        <v>0.16376923076923078</v>
      </c>
      <c r="T3850" s="8">
        <f>IF(Table1[[#This Row],[pledged]]=0,"no backers",Table1[[#This Row],[pledged]]/Table1[[#This Row],[backers_count]])</f>
        <v>49.511627906976742</v>
      </c>
      <c r="U3850" t="str">
        <f>LEFT(Table1[[#This Row],[Category and Sub-Category]],FIND("/",Table1[[#This Row],[Category and Sub-Category]])-1)</f>
        <v>theater</v>
      </c>
      <c r="V3850" t="str">
        <f>RIGHT(Table1[[#This Row],[Category and Sub-Category]],LEN(Table1[[#This Row],[Category and Sub-Category]])-FIND("/",Table1[[#This Row],[Category and Sub-Category]]))</f>
        <v>plays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 s="12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>((Table1[[#This Row],[deadline]]/60)/60/24)+DATE(1970,1,1)</f>
        <v>42166.767175925925</v>
      </c>
      <c r="K3851">
        <v>1431455084</v>
      </c>
      <c r="L3851" s="11">
        <f>((Table1[[#This Row],[launched_at]]/60)/60/24)+DATE(1970,1,1)</f>
        <v>42136.767175925925</v>
      </c>
      <c r="M3851">
        <f>MONTH(Table1[[#This Row],[Date Created Conversion]])</f>
        <v>5</v>
      </c>
      <c r="N3851">
        <f>YEAR(Table1[[#This Row],[Date Created Conversion]])</f>
        <v>2015</v>
      </c>
      <c r="O3851" t="b">
        <v>1</v>
      </c>
      <c r="P3851">
        <v>28</v>
      </c>
      <c r="Q3851" t="b">
        <v>0</v>
      </c>
      <c r="R3851" t="s">
        <v>8271</v>
      </c>
      <c r="S3851" s="6">
        <f>Table1[[#This Row],[pledged]]/Table1[[#This Row],[goal]]</f>
        <v>7.0433333333333334E-2</v>
      </c>
      <c r="T3851" s="8">
        <f>IF(Table1[[#This Row],[pledged]]=0,"no backers",Table1[[#This Row],[pledged]]/Table1[[#This Row],[backers_count]])</f>
        <v>75.464285714285708</v>
      </c>
      <c r="U3851" t="str">
        <f>LEFT(Table1[[#This Row],[Category and Sub-Category]],FIND("/",Table1[[#This Row],[Category and Sub-Category]])-1)</f>
        <v>theater</v>
      </c>
      <c r="V3851" t="str">
        <f>RIGHT(Table1[[#This Row],[Category and Sub-Category]],LEN(Table1[[#This Row],[Category and Sub-Category]])-FIND("/",Table1[[#This Row],[Category and Sub-Category]]))</f>
        <v>plays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 s="1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>((Table1[[#This Row],[deadline]]/60)/60/24)+DATE(1970,1,1)</f>
        <v>42005.124340277776</v>
      </c>
      <c r="K3852">
        <v>1417489143</v>
      </c>
      <c r="L3852" s="11">
        <f>((Table1[[#This Row],[launched_at]]/60)/60/24)+DATE(1970,1,1)</f>
        <v>41975.124340277776</v>
      </c>
      <c r="M3852">
        <f>MONTH(Table1[[#This Row],[Date Created Conversion]])</f>
        <v>12</v>
      </c>
      <c r="N3852">
        <f>YEAR(Table1[[#This Row],[Date Created Conversion]])</f>
        <v>2014</v>
      </c>
      <c r="O3852" t="b">
        <v>1</v>
      </c>
      <c r="P3852">
        <v>4</v>
      </c>
      <c r="Q3852" t="b">
        <v>0</v>
      </c>
      <c r="R3852" t="s">
        <v>8271</v>
      </c>
      <c r="S3852" s="6">
        <f>Table1[[#This Row],[pledged]]/Table1[[#This Row],[goal]]</f>
        <v>3.7999999999999999E-2</v>
      </c>
      <c r="T3852" s="8">
        <f>IF(Table1[[#This Row],[pledged]]=0,"no backers",Table1[[#This Row],[pledged]]/Table1[[#This Row],[backers_count]])</f>
        <v>9.5</v>
      </c>
      <c r="U3852" t="str">
        <f>LEFT(Table1[[#This Row],[Category and Sub-Category]],FIND("/",Table1[[#This Row],[Category and Sub-Category]])-1)</f>
        <v>theater</v>
      </c>
      <c r="V3852" t="str">
        <f>RIGHT(Table1[[#This Row],[Category and Sub-Category]],LEN(Table1[[#This Row],[Category and Sub-Category]])-FIND("/",Table1[[#This Row],[Category and Sub-Category]]))</f>
        <v>plays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 s="12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>((Table1[[#This Row],[deadline]]/60)/60/24)+DATE(1970,1,1)</f>
        <v>42202.439571759256</v>
      </c>
      <c r="K3853">
        <v>1434537179</v>
      </c>
      <c r="L3853" s="11">
        <f>((Table1[[#This Row],[launched_at]]/60)/60/24)+DATE(1970,1,1)</f>
        <v>42172.439571759256</v>
      </c>
      <c r="M3853">
        <f>MONTH(Table1[[#This Row],[Date Created Conversion]])</f>
        <v>6</v>
      </c>
      <c r="N3853">
        <f>YEAR(Table1[[#This Row],[Date Created Conversion]])</f>
        <v>2015</v>
      </c>
      <c r="O3853" t="b">
        <v>1</v>
      </c>
      <c r="P3853">
        <v>24</v>
      </c>
      <c r="Q3853" t="b">
        <v>0</v>
      </c>
      <c r="R3853" t="s">
        <v>8271</v>
      </c>
      <c r="S3853" s="6">
        <f>Table1[[#This Row],[pledged]]/Table1[[#This Row],[goal]]</f>
        <v>0.34079999999999999</v>
      </c>
      <c r="T3853" s="8">
        <f>IF(Table1[[#This Row],[pledged]]=0,"no backers",Table1[[#This Row],[pledged]]/Table1[[#This Row],[backers_count]])</f>
        <v>35.5</v>
      </c>
      <c r="U3853" t="str">
        <f>LEFT(Table1[[#This Row],[Category and Sub-Category]],FIND("/",Table1[[#This Row],[Category and Sub-Category]])-1)</f>
        <v>theater</v>
      </c>
      <c r="V3853" t="str">
        <f>RIGHT(Table1[[#This Row],[Category and Sub-Category]],LEN(Table1[[#This Row],[Category and Sub-Category]])-FIND("/",Table1[[#This Row],[Category and Sub-Category]]))</f>
        <v>plays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 s="12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>((Table1[[#This Row],[deadline]]/60)/60/24)+DATE(1970,1,1)</f>
        <v>42090.149027777778</v>
      </c>
      <c r="K3854">
        <v>1425270876</v>
      </c>
      <c r="L3854" s="11">
        <f>((Table1[[#This Row],[launched_at]]/60)/60/24)+DATE(1970,1,1)</f>
        <v>42065.190694444449</v>
      </c>
      <c r="M3854">
        <f>MONTH(Table1[[#This Row],[Date Created Conversion]])</f>
        <v>3</v>
      </c>
      <c r="N3854">
        <f>YEAR(Table1[[#This Row],[Date Created Conversion]])</f>
        <v>2015</v>
      </c>
      <c r="O3854" t="b">
        <v>0</v>
      </c>
      <c r="P3854">
        <v>2</v>
      </c>
      <c r="Q3854" t="b">
        <v>0</v>
      </c>
      <c r="R3854" t="s">
        <v>8271</v>
      </c>
      <c r="S3854" s="6">
        <f>Table1[[#This Row],[pledged]]/Table1[[#This Row],[goal]]</f>
        <v>2E-3</v>
      </c>
      <c r="T3854" s="8">
        <f>IF(Table1[[#This Row],[pledged]]=0,"no backers",Table1[[#This Row],[pledged]]/Table1[[#This Row],[backers_count]])</f>
        <v>10</v>
      </c>
      <c r="U3854" t="str">
        <f>LEFT(Table1[[#This Row],[Category and Sub-Category]],FIND("/",Table1[[#This Row],[Category and Sub-Category]])-1)</f>
        <v>theater</v>
      </c>
      <c r="V3854" t="str">
        <f>RIGHT(Table1[[#This Row],[Category and Sub-Category]],LEN(Table1[[#This Row],[Category and Sub-Category]])-FIND("/",Table1[[#This Row],[Category and Sub-Category]]))</f>
        <v>plays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 s="12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>((Table1[[#This Row],[deadline]]/60)/60/24)+DATE(1970,1,1)</f>
        <v>41883.84002314815</v>
      </c>
      <c r="K3855">
        <v>1406578178</v>
      </c>
      <c r="L3855" s="11">
        <f>((Table1[[#This Row],[launched_at]]/60)/60/24)+DATE(1970,1,1)</f>
        <v>41848.84002314815</v>
      </c>
      <c r="M3855">
        <f>MONTH(Table1[[#This Row],[Date Created Conversion]])</f>
        <v>7</v>
      </c>
      <c r="N3855">
        <f>YEAR(Table1[[#This Row],[Date Created Conversion]])</f>
        <v>2014</v>
      </c>
      <c r="O3855" t="b">
        <v>0</v>
      </c>
      <c r="P3855">
        <v>2</v>
      </c>
      <c r="Q3855" t="b">
        <v>0</v>
      </c>
      <c r="R3855" t="s">
        <v>8271</v>
      </c>
      <c r="S3855" s="6">
        <f>Table1[[#This Row],[pledged]]/Table1[[#This Row],[goal]]</f>
        <v>2.5999999999999998E-4</v>
      </c>
      <c r="T3855" s="8">
        <f>IF(Table1[[#This Row],[pledged]]=0,"no backers",Table1[[#This Row],[pledged]]/Table1[[#This Row],[backers_count]])</f>
        <v>13</v>
      </c>
      <c r="U3855" t="str">
        <f>LEFT(Table1[[#This Row],[Category and Sub-Category]],FIND("/",Table1[[#This Row],[Category and Sub-Category]])-1)</f>
        <v>theater</v>
      </c>
      <c r="V3855" t="str">
        <f>RIGHT(Table1[[#This Row],[Category and Sub-Category]],LEN(Table1[[#This Row],[Category and Sub-Category]])-FIND("/",Table1[[#This Row],[Category and Sub-Category]]))</f>
        <v>plays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 s="12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>((Table1[[#This Row],[deadline]]/60)/60/24)+DATE(1970,1,1)</f>
        <v>42133.884930555556</v>
      </c>
      <c r="K3856">
        <v>1428614058</v>
      </c>
      <c r="L3856" s="11">
        <f>((Table1[[#This Row],[launched_at]]/60)/60/24)+DATE(1970,1,1)</f>
        <v>42103.884930555556</v>
      </c>
      <c r="M3856">
        <f>MONTH(Table1[[#This Row],[Date Created Conversion]])</f>
        <v>4</v>
      </c>
      <c r="N3856">
        <f>YEAR(Table1[[#This Row],[Date Created Conversion]])</f>
        <v>2015</v>
      </c>
      <c r="O3856" t="b">
        <v>0</v>
      </c>
      <c r="P3856">
        <v>20</v>
      </c>
      <c r="Q3856" t="b">
        <v>0</v>
      </c>
      <c r="R3856" t="s">
        <v>8271</v>
      </c>
      <c r="S3856" s="6">
        <f>Table1[[#This Row],[pledged]]/Table1[[#This Row],[goal]]</f>
        <v>0.16254545454545455</v>
      </c>
      <c r="T3856" s="8">
        <f>IF(Table1[[#This Row],[pledged]]=0,"no backers",Table1[[#This Row],[pledged]]/Table1[[#This Row],[backers_count]])</f>
        <v>89.4</v>
      </c>
      <c r="U3856" t="str">
        <f>LEFT(Table1[[#This Row],[Category and Sub-Category]],FIND("/",Table1[[#This Row],[Category and Sub-Category]])-1)</f>
        <v>theater</v>
      </c>
      <c r="V3856" t="str">
        <f>RIGHT(Table1[[#This Row],[Category and Sub-Category]],LEN(Table1[[#This Row],[Category and Sub-Category]])-FIND("/",Table1[[#This Row],[Category and Sub-Category]]))</f>
        <v>plays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 s="12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>((Table1[[#This Row],[deadline]]/60)/60/24)+DATE(1970,1,1)</f>
        <v>42089.929062499999</v>
      </c>
      <c r="K3857">
        <v>1424819871</v>
      </c>
      <c r="L3857" s="11">
        <f>((Table1[[#This Row],[launched_at]]/60)/60/24)+DATE(1970,1,1)</f>
        <v>42059.970729166671</v>
      </c>
      <c r="M3857">
        <f>MONTH(Table1[[#This Row],[Date Created Conversion]])</f>
        <v>2</v>
      </c>
      <c r="N3857">
        <f>YEAR(Table1[[#This Row],[Date Created Conversion]])</f>
        <v>2015</v>
      </c>
      <c r="O3857" t="b">
        <v>0</v>
      </c>
      <c r="P3857">
        <v>1</v>
      </c>
      <c r="Q3857" t="b">
        <v>0</v>
      </c>
      <c r="R3857" t="s">
        <v>8271</v>
      </c>
      <c r="S3857" s="6">
        <f>Table1[[#This Row],[pledged]]/Table1[[#This Row],[goal]]</f>
        <v>2.5000000000000001E-2</v>
      </c>
      <c r="T3857" s="8">
        <f>IF(Table1[[#This Row],[pledged]]=0,"no backers",Table1[[#This Row],[pledged]]/Table1[[#This Row],[backers_count]])</f>
        <v>25</v>
      </c>
      <c r="U3857" t="str">
        <f>LEFT(Table1[[#This Row],[Category and Sub-Category]],FIND("/",Table1[[#This Row],[Category and Sub-Category]])-1)</f>
        <v>theater</v>
      </c>
      <c r="V3857" t="str">
        <f>RIGHT(Table1[[#This Row],[Category and Sub-Category]],LEN(Table1[[#This Row],[Category and Sub-Category]])-FIND("/",Table1[[#This Row],[Category and Sub-Category]]))</f>
        <v>plays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 s="12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>((Table1[[#This Row],[deadline]]/60)/60/24)+DATE(1970,1,1)</f>
        <v>42071.701423611114</v>
      </c>
      <c r="K3858">
        <v>1423245003</v>
      </c>
      <c r="L3858" s="11">
        <f>((Table1[[#This Row],[launched_at]]/60)/60/24)+DATE(1970,1,1)</f>
        <v>42041.743090277778</v>
      </c>
      <c r="M3858">
        <f>MONTH(Table1[[#This Row],[Date Created Conversion]])</f>
        <v>2</v>
      </c>
      <c r="N3858">
        <f>YEAR(Table1[[#This Row],[Date Created Conversion]])</f>
        <v>2015</v>
      </c>
      <c r="O3858" t="b">
        <v>0</v>
      </c>
      <c r="P3858">
        <v>1</v>
      </c>
      <c r="Q3858" t="b">
        <v>0</v>
      </c>
      <c r="R3858" t="s">
        <v>8271</v>
      </c>
      <c r="S3858" s="6">
        <f>Table1[[#This Row],[pledged]]/Table1[[#This Row],[goal]]</f>
        <v>2.0000000000000001E-4</v>
      </c>
      <c r="T3858" s="8">
        <f>IF(Table1[[#This Row],[pledged]]=0,"no backers",Table1[[#This Row],[pledged]]/Table1[[#This Row],[backers_count]])</f>
        <v>1</v>
      </c>
      <c r="U3858" t="str">
        <f>LEFT(Table1[[#This Row],[Category and Sub-Category]],FIND("/",Table1[[#This Row],[Category and Sub-Category]])-1)</f>
        <v>theater</v>
      </c>
      <c r="V3858" t="str">
        <f>RIGHT(Table1[[#This Row],[Category and Sub-Category]],LEN(Table1[[#This Row],[Category and Sub-Category]])-FIND("/",Table1[[#This Row],[Category and Sub-Category]]))</f>
        <v>plays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 s="12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>((Table1[[#This Row],[deadline]]/60)/60/24)+DATE(1970,1,1)</f>
        <v>41852.716666666667</v>
      </c>
      <c r="K3859">
        <v>1404927690</v>
      </c>
      <c r="L3859" s="11">
        <f>((Table1[[#This Row],[launched_at]]/60)/60/24)+DATE(1970,1,1)</f>
        <v>41829.73715277778</v>
      </c>
      <c r="M3859">
        <f>MONTH(Table1[[#This Row],[Date Created Conversion]])</f>
        <v>7</v>
      </c>
      <c r="N3859">
        <f>YEAR(Table1[[#This Row],[Date Created Conversion]])</f>
        <v>2014</v>
      </c>
      <c r="O3859" t="b">
        <v>0</v>
      </c>
      <c r="P3859">
        <v>4</v>
      </c>
      <c r="Q3859" t="b">
        <v>0</v>
      </c>
      <c r="R3859" t="s">
        <v>8271</v>
      </c>
      <c r="S3859" s="6">
        <f>Table1[[#This Row],[pledged]]/Table1[[#This Row],[goal]]</f>
        <v>5.1999999999999998E-2</v>
      </c>
      <c r="T3859" s="8">
        <f>IF(Table1[[#This Row],[pledged]]=0,"no backers",Table1[[#This Row],[pledged]]/Table1[[#This Row],[backers_count]])</f>
        <v>65</v>
      </c>
      <c r="U3859" t="str">
        <f>LEFT(Table1[[#This Row],[Category and Sub-Category]],FIND("/",Table1[[#This Row],[Category and Sub-Category]])-1)</f>
        <v>theater</v>
      </c>
      <c r="V3859" t="str">
        <f>RIGHT(Table1[[#This Row],[Category and Sub-Category]],LEN(Table1[[#This Row],[Category and Sub-Category]])-FIND("/",Table1[[#This Row],[Category and Sub-Category]]))</f>
        <v>plays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 s="12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>((Table1[[#This Row],[deadline]]/60)/60/24)+DATE(1970,1,1)</f>
        <v>42146.875</v>
      </c>
      <c r="K3860">
        <v>1430734844</v>
      </c>
      <c r="L3860" s="11">
        <f>((Table1[[#This Row],[launched_at]]/60)/60/24)+DATE(1970,1,1)</f>
        <v>42128.431064814817</v>
      </c>
      <c r="M3860">
        <f>MONTH(Table1[[#This Row],[Date Created Conversion]])</f>
        <v>5</v>
      </c>
      <c r="N3860">
        <f>YEAR(Table1[[#This Row],[Date Created Conversion]])</f>
        <v>2015</v>
      </c>
      <c r="O3860" t="b">
        <v>0</v>
      </c>
      <c r="P3860">
        <v>1</v>
      </c>
      <c r="Q3860" t="b">
        <v>0</v>
      </c>
      <c r="R3860" t="s">
        <v>8271</v>
      </c>
      <c r="S3860" s="6">
        <f>Table1[[#This Row],[pledged]]/Table1[[#This Row],[goal]]</f>
        <v>0.02</v>
      </c>
      <c r="T3860" s="8">
        <f>IF(Table1[[#This Row],[pledged]]=0,"no backers",Table1[[#This Row],[pledged]]/Table1[[#This Row],[backers_count]])</f>
        <v>10</v>
      </c>
      <c r="U3860" t="str">
        <f>LEFT(Table1[[#This Row],[Category and Sub-Category]],FIND("/",Table1[[#This Row],[Category and Sub-Category]])-1)</f>
        <v>theater</v>
      </c>
      <c r="V3860" t="str">
        <f>RIGHT(Table1[[#This Row],[Category and Sub-Category]],LEN(Table1[[#This Row],[Category and Sub-Category]])-FIND("/",Table1[[#This Row],[Category and Sub-Category]]))</f>
        <v>plays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 s="12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>((Table1[[#This Row],[deadline]]/60)/60/24)+DATE(1970,1,1)</f>
        <v>41815.875</v>
      </c>
      <c r="K3861">
        <v>1401485207</v>
      </c>
      <c r="L3861" s="11">
        <f>((Table1[[#This Row],[launched_at]]/60)/60/24)+DATE(1970,1,1)</f>
        <v>41789.893599537041</v>
      </c>
      <c r="M3861">
        <f>MONTH(Table1[[#This Row],[Date Created Conversion]])</f>
        <v>5</v>
      </c>
      <c r="N3861">
        <f>YEAR(Table1[[#This Row],[Date Created Conversion]])</f>
        <v>2014</v>
      </c>
      <c r="O3861" t="b">
        <v>0</v>
      </c>
      <c r="P3861">
        <v>1</v>
      </c>
      <c r="Q3861" t="b">
        <v>0</v>
      </c>
      <c r="R3861" t="s">
        <v>8271</v>
      </c>
      <c r="S3861" s="6">
        <f>Table1[[#This Row],[pledged]]/Table1[[#This Row],[goal]]</f>
        <v>4.0000000000000002E-4</v>
      </c>
      <c r="T3861" s="8">
        <f>IF(Table1[[#This Row],[pledged]]=0,"no backers",Table1[[#This Row],[pledged]]/Table1[[#This Row],[backers_count]])</f>
        <v>1</v>
      </c>
      <c r="U3861" t="str">
        <f>LEFT(Table1[[#This Row],[Category and Sub-Category]],FIND("/",Table1[[#This Row],[Category and Sub-Category]])-1)</f>
        <v>theater</v>
      </c>
      <c r="V3861" t="str">
        <f>RIGHT(Table1[[#This Row],[Category and Sub-Category]],LEN(Table1[[#This Row],[Category and Sub-Category]])-FIND("/",Table1[[#This Row],[Category and Sub-Category]]))</f>
        <v>plays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 s="1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>((Table1[[#This Row],[deadline]]/60)/60/24)+DATE(1970,1,1)</f>
        <v>41863.660995370366</v>
      </c>
      <c r="K3862">
        <v>1405266710</v>
      </c>
      <c r="L3862" s="11">
        <f>((Table1[[#This Row],[launched_at]]/60)/60/24)+DATE(1970,1,1)</f>
        <v>41833.660995370366</v>
      </c>
      <c r="M3862">
        <f>MONTH(Table1[[#This Row],[Date Created Conversion]])</f>
        <v>7</v>
      </c>
      <c r="N3862">
        <f>YEAR(Table1[[#This Row],[Date Created Conversion]])</f>
        <v>2014</v>
      </c>
      <c r="O3862" t="b">
        <v>0</v>
      </c>
      <c r="P3862">
        <v>13</v>
      </c>
      <c r="Q3862" t="b">
        <v>0</v>
      </c>
      <c r="R3862" t="s">
        <v>8271</v>
      </c>
      <c r="S3862" s="6">
        <f>Table1[[#This Row],[pledged]]/Table1[[#This Row],[goal]]</f>
        <v>0.17666666666666667</v>
      </c>
      <c r="T3862" s="8">
        <f>IF(Table1[[#This Row],[pledged]]=0,"no backers",Table1[[#This Row],[pledged]]/Table1[[#This Row],[backers_count]])</f>
        <v>81.538461538461533</v>
      </c>
      <c r="U3862" t="str">
        <f>LEFT(Table1[[#This Row],[Category and Sub-Category]],FIND("/",Table1[[#This Row],[Category and Sub-Category]])-1)</f>
        <v>theater</v>
      </c>
      <c r="V3862" t="str">
        <f>RIGHT(Table1[[#This Row],[Category and Sub-Category]],LEN(Table1[[#This Row],[Category and Sub-Category]])-FIND("/",Table1[[#This Row],[Category and Sub-Category]]))</f>
        <v>plays</v>
      </c>
    </row>
    <row r="3863" spans="1:22" x14ac:dyDescent="0.3">
      <c r="A3863">
        <v>3861</v>
      </c>
      <c r="B3863" s="3" t="s">
        <v>3858</v>
      </c>
      <c r="C3863" s="3" t="s">
        <v>7970</v>
      </c>
      <c r="D3863" s="12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>((Table1[[#This Row],[deadline]]/60)/60/24)+DATE(1970,1,1)</f>
        <v>41955.907638888893</v>
      </c>
      <c r="K3863">
        <v>1412258977</v>
      </c>
      <c r="L3863" s="11">
        <f>((Table1[[#This Row],[launched_at]]/60)/60/24)+DATE(1970,1,1)</f>
        <v>41914.590011574073</v>
      </c>
      <c r="M3863">
        <f>MONTH(Table1[[#This Row],[Date Created Conversion]])</f>
        <v>10</v>
      </c>
      <c r="N3863">
        <f>YEAR(Table1[[#This Row],[Date Created Conversion]])</f>
        <v>2014</v>
      </c>
      <c r="O3863" t="b">
        <v>0</v>
      </c>
      <c r="P3863">
        <v>1</v>
      </c>
      <c r="Q3863" t="b">
        <v>0</v>
      </c>
      <c r="R3863" t="s">
        <v>8271</v>
      </c>
      <c r="S3863" s="6">
        <f>Table1[[#This Row],[pledged]]/Table1[[#This Row],[goal]]</f>
        <v>0.05</v>
      </c>
      <c r="T3863" s="8">
        <f>IF(Table1[[#This Row],[pledged]]=0,"no backers",Table1[[#This Row],[pledged]]/Table1[[#This Row],[backers_count]])</f>
        <v>100</v>
      </c>
      <c r="U3863" t="str">
        <f>LEFT(Table1[[#This Row],[Category and Sub-Category]],FIND("/",Table1[[#This Row],[Category and Sub-Category]])-1)</f>
        <v>theater</v>
      </c>
      <c r="V3863" t="str">
        <f>RIGHT(Table1[[#This Row],[Category and Sub-Category]],LEN(Table1[[#This Row],[Category and Sub-Category]])-FIND("/",Table1[[#This Row],[Category and Sub-Category]]))</f>
        <v>plays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 s="12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>((Table1[[#This Row],[deadline]]/60)/60/24)+DATE(1970,1,1)</f>
        <v>42625.707638888889</v>
      </c>
      <c r="K3864">
        <v>1472451356</v>
      </c>
      <c r="L3864" s="11">
        <f>((Table1[[#This Row],[launched_at]]/60)/60/24)+DATE(1970,1,1)</f>
        <v>42611.261064814811</v>
      </c>
      <c r="M3864">
        <f>MONTH(Table1[[#This Row],[Date Created Conversion]])</f>
        <v>8</v>
      </c>
      <c r="N3864">
        <f>YEAR(Table1[[#This Row],[Date Created Conversion]])</f>
        <v>2016</v>
      </c>
      <c r="O3864" t="b">
        <v>0</v>
      </c>
      <c r="P3864">
        <v>1</v>
      </c>
      <c r="Q3864" t="b">
        <v>0</v>
      </c>
      <c r="R3864" t="s">
        <v>8271</v>
      </c>
      <c r="S3864" s="6">
        <f>Table1[[#This Row],[pledged]]/Table1[[#This Row],[goal]]</f>
        <v>1.3333333333333334E-4</v>
      </c>
      <c r="T3864" s="8">
        <f>IF(Table1[[#This Row],[pledged]]=0,"no backers",Table1[[#This Row],[pledged]]/Table1[[#This Row],[backers_count]])</f>
        <v>1</v>
      </c>
      <c r="U3864" t="str">
        <f>LEFT(Table1[[#This Row],[Category and Sub-Category]],FIND("/",Table1[[#This Row],[Category and Sub-Category]])-1)</f>
        <v>theater</v>
      </c>
      <c r="V3864" t="str">
        <f>RIGHT(Table1[[#This Row],[Category and Sub-Category]],LEN(Table1[[#This Row],[Category and Sub-Category]])-FIND("/",Table1[[#This Row],[Category and Sub-Category]]))</f>
        <v>plays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 s="12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>((Table1[[#This Row],[deadline]]/60)/60/24)+DATE(1970,1,1)</f>
        <v>42313.674826388888</v>
      </c>
      <c r="K3865">
        <v>1441552305</v>
      </c>
      <c r="L3865" s="11">
        <f>((Table1[[#This Row],[launched_at]]/60)/60/24)+DATE(1970,1,1)</f>
        <v>42253.633159722223</v>
      </c>
      <c r="M3865">
        <f>MONTH(Table1[[#This Row],[Date Created Conversion]])</f>
        <v>9</v>
      </c>
      <c r="N3865">
        <f>YEAR(Table1[[#This Row],[Date Created Conversion]])</f>
        <v>2015</v>
      </c>
      <c r="O3865" t="b">
        <v>0</v>
      </c>
      <c r="P3865">
        <v>0</v>
      </c>
      <c r="Q3865" t="b">
        <v>0</v>
      </c>
      <c r="R3865" t="s">
        <v>8271</v>
      </c>
      <c r="S3865" s="6">
        <f>Table1[[#This Row],[pledged]]/Table1[[#This Row],[goal]]</f>
        <v>0</v>
      </c>
      <c r="T3865" s="8" t="str">
        <f>IF(Table1[[#This Row],[pledged]]=0,"no backers",Table1[[#This Row],[pledged]]/Table1[[#This Row],[backers_count]])</f>
        <v>no backers</v>
      </c>
      <c r="U3865" t="str">
        <f>LEFT(Table1[[#This Row],[Category and Sub-Category]],FIND("/",Table1[[#This Row],[Category and Sub-Category]])-1)</f>
        <v>theater</v>
      </c>
      <c r="V3865" t="str">
        <f>RIGHT(Table1[[#This Row],[Category and Sub-Category]],LEN(Table1[[#This Row],[Category and Sub-Category]])-FIND("/",Table1[[#This Row],[Category and Sub-Category]]))</f>
        <v>plays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 s="12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>((Table1[[#This Row],[deadline]]/60)/60/24)+DATE(1970,1,1)</f>
        <v>42325.933495370366</v>
      </c>
      <c r="K3866">
        <v>1445203454</v>
      </c>
      <c r="L3866" s="11">
        <f>((Table1[[#This Row],[launched_at]]/60)/60/24)+DATE(1970,1,1)</f>
        <v>42295.891828703709</v>
      </c>
      <c r="M3866">
        <f>MONTH(Table1[[#This Row],[Date Created Conversion]])</f>
        <v>10</v>
      </c>
      <c r="N3866">
        <f>YEAR(Table1[[#This Row],[Date Created Conversion]])</f>
        <v>2015</v>
      </c>
      <c r="O3866" t="b">
        <v>0</v>
      </c>
      <c r="P3866">
        <v>3</v>
      </c>
      <c r="Q3866" t="b">
        <v>0</v>
      </c>
      <c r="R3866" t="s">
        <v>8271</v>
      </c>
      <c r="S3866" s="6">
        <f>Table1[[#This Row],[pledged]]/Table1[[#This Row],[goal]]</f>
        <v>1.2E-2</v>
      </c>
      <c r="T3866" s="8">
        <f>IF(Table1[[#This Row],[pledged]]=0,"no backers",Table1[[#This Row],[pledged]]/Table1[[#This Row],[backers_count]])</f>
        <v>20</v>
      </c>
      <c r="U3866" t="str">
        <f>LEFT(Table1[[#This Row],[Category and Sub-Category]],FIND("/",Table1[[#This Row],[Category and Sub-Category]])-1)</f>
        <v>theater</v>
      </c>
      <c r="V3866" t="str">
        <f>RIGHT(Table1[[#This Row],[Category and Sub-Category]],LEN(Table1[[#This Row],[Category and Sub-Category]])-FIND("/",Table1[[#This Row],[Category and Sub-Category]]))</f>
        <v>plays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 s="12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>((Table1[[#This Row],[deadline]]/60)/60/24)+DATE(1970,1,1)</f>
        <v>41881.229166666664</v>
      </c>
      <c r="K3867">
        <v>1405957098</v>
      </c>
      <c r="L3867" s="11">
        <f>((Table1[[#This Row],[launched_at]]/60)/60/24)+DATE(1970,1,1)</f>
        <v>41841.651597222226</v>
      </c>
      <c r="M3867">
        <f>MONTH(Table1[[#This Row],[Date Created Conversion]])</f>
        <v>7</v>
      </c>
      <c r="N3867">
        <f>YEAR(Table1[[#This Row],[Date Created Conversion]])</f>
        <v>2014</v>
      </c>
      <c r="O3867" t="b">
        <v>0</v>
      </c>
      <c r="P3867">
        <v>14</v>
      </c>
      <c r="Q3867" t="b">
        <v>0</v>
      </c>
      <c r="R3867" t="s">
        <v>8271</v>
      </c>
      <c r="S3867" s="6">
        <f>Table1[[#This Row],[pledged]]/Table1[[#This Row],[goal]]</f>
        <v>0.26937422295897223</v>
      </c>
      <c r="T3867" s="8">
        <f>IF(Table1[[#This Row],[pledged]]=0,"no backers",Table1[[#This Row],[pledged]]/Table1[[#This Row],[backers_count]])</f>
        <v>46.428571428571431</v>
      </c>
      <c r="U3867" t="str">
        <f>LEFT(Table1[[#This Row],[Category and Sub-Category]],FIND("/",Table1[[#This Row],[Category and Sub-Category]])-1)</f>
        <v>theater</v>
      </c>
      <c r="V3867" t="str">
        <f>RIGHT(Table1[[#This Row],[Category and Sub-Category]],LEN(Table1[[#This Row],[Category and Sub-Category]])-FIND("/",Table1[[#This Row],[Category and Sub-Category]]))</f>
        <v>plays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 s="12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>((Table1[[#This Row],[deadline]]/60)/60/24)+DATE(1970,1,1)</f>
        <v>42452.145138888889</v>
      </c>
      <c r="K3868">
        <v>1454453021</v>
      </c>
      <c r="L3868" s="11">
        <f>((Table1[[#This Row],[launched_at]]/60)/60/24)+DATE(1970,1,1)</f>
        <v>42402.947002314817</v>
      </c>
      <c r="M3868">
        <f>MONTH(Table1[[#This Row],[Date Created Conversion]])</f>
        <v>2</v>
      </c>
      <c r="N3868">
        <f>YEAR(Table1[[#This Row],[Date Created Conversion]])</f>
        <v>2016</v>
      </c>
      <c r="O3868" t="b">
        <v>0</v>
      </c>
      <c r="P3868">
        <v>2</v>
      </c>
      <c r="Q3868" t="b">
        <v>0</v>
      </c>
      <c r="R3868" t="s">
        <v>8271</v>
      </c>
      <c r="S3868" s="6">
        <f>Table1[[#This Row],[pledged]]/Table1[[#This Row],[goal]]</f>
        <v>5.4999999999999997E-3</v>
      </c>
      <c r="T3868" s="8">
        <f>IF(Table1[[#This Row],[pledged]]=0,"no backers",Table1[[#This Row],[pledged]]/Table1[[#This Row],[backers_count]])</f>
        <v>5.5</v>
      </c>
      <c r="U3868" t="str">
        <f>LEFT(Table1[[#This Row],[Category and Sub-Category]],FIND("/",Table1[[#This Row],[Category and Sub-Category]])-1)</f>
        <v>theater</v>
      </c>
      <c r="V3868" t="str">
        <f>RIGHT(Table1[[#This Row],[Category and Sub-Category]],LEN(Table1[[#This Row],[Category and Sub-Category]])-FIND("/",Table1[[#This Row],[Category and Sub-Category]]))</f>
        <v>plays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 s="12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>((Table1[[#This Row],[deadline]]/60)/60/24)+DATE(1970,1,1)</f>
        <v>42539.814108796301</v>
      </c>
      <c r="K3869">
        <v>1463686339</v>
      </c>
      <c r="L3869" s="11">
        <f>((Table1[[#This Row],[launched_at]]/60)/60/24)+DATE(1970,1,1)</f>
        <v>42509.814108796301</v>
      </c>
      <c r="M3869">
        <f>MONTH(Table1[[#This Row],[Date Created Conversion]])</f>
        <v>5</v>
      </c>
      <c r="N3869">
        <f>YEAR(Table1[[#This Row],[Date Created Conversion]])</f>
        <v>2016</v>
      </c>
      <c r="O3869" t="b">
        <v>0</v>
      </c>
      <c r="P3869">
        <v>5</v>
      </c>
      <c r="Q3869" t="b">
        <v>0</v>
      </c>
      <c r="R3869" t="s">
        <v>8271</v>
      </c>
      <c r="S3869" s="6">
        <f>Table1[[#This Row],[pledged]]/Table1[[#This Row],[goal]]</f>
        <v>0.1255</v>
      </c>
      <c r="T3869" s="8">
        <f>IF(Table1[[#This Row],[pledged]]=0,"no backers",Table1[[#This Row],[pledged]]/Table1[[#This Row],[backers_count]])</f>
        <v>50.2</v>
      </c>
      <c r="U3869" t="str">
        <f>LEFT(Table1[[#This Row],[Category and Sub-Category]],FIND("/",Table1[[#This Row],[Category and Sub-Category]])-1)</f>
        <v>theater</v>
      </c>
      <c r="V3869" t="str">
        <f>RIGHT(Table1[[#This Row],[Category and Sub-Category]],LEN(Table1[[#This Row],[Category and Sub-Category]])-FIND("/",Table1[[#This Row],[Category and Sub-Category]]))</f>
        <v>plays</v>
      </c>
    </row>
    <row r="3870" spans="1:22" x14ac:dyDescent="0.3">
      <c r="A3870">
        <v>3868</v>
      </c>
      <c r="B3870" s="3" t="s">
        <v>3865</v>
      </c>
      <c r="C3870" s="3" t="s">
        <v>7977</v>
      </c>
      <c r="D3870" s="12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>((Table1[[#This Row],[deadline]]/60)/60/24)+DATE(1970,1,1)</f>
        <v>41890.659780092588</v>
      </c>
      <c r="K3870">
        <v>1408031405</v>
      </c>
      <c r="L3870" s="11">
        <f>((Table1[[#This Row],[launched_at]]/60)/60/24)+DATE(1970,1,1)</f>
        <v>41865.659780092588</v>
      </c>
      <c r="M3870">
        <f>MONTH(Table1[[#This Row],[Date Created Conversion]])</f>
        <v>8</v>
      </c>
      <c r="N3870">
        <f>YEAR(Table1[[#This Row],[Date Created Conversion]])</f>
        <v>2014</v>
      </c>
      <c r="O3870" t="b">
        <v>0</v>
      </c>
      <c r="P3870">
        <v>1</v>
      </c>
      <c r="Q3870" t="b">
        <v>0</v>
      </c>
      <c r="R3870" t="s">
        <v>8305</v>
      </c>
      <c r="S3870" s="6">
        <f>Table1[[#This Row],[pledged]]/Table1[[#This Row],[goal]]</f>
        <v>2E-3</v>
      </c>
      <c r="T3870" s="8">
        <f>IF(Table1[[#This Row],[pledged]]=0,"no backers",Table1[[#This Row],[pledged]]/Table1[[#This Row],[backers_count]])</f>
        <v>10</v>
      </c>
      <c r="U3870" t="str">
        <f>LEFT(Table1[[#This Row],[Category and Sub-Category]],FIND("/",Table1[[#This Row],[Category and Sub-Category]])-1)</f>
        <v>theater</v>
      </c>
      <c r="V3870" t="str">
        <f>RIGHT(Table1[[#This Row],[Category and Sub-Category]],LEN(Table1[[#This Row],[Category and Sub-Category]])-FIND("/",Table1[[#This Row],[Category and Sub-Category]]))</f>
        <v>musical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 s="12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>((Table1[[#This Row],[deadline]]/60)/60/24)+DATE(1970,1,1)</f>
        <v>42077.132638888885</v>
      </c>
      <c r="K3871">
        <v>1423761792</v>
      </c>
      <c r="L3871" s="11">
        <f>((Table1[[#This Row],[launched_at]]/60)/60/24)+DATE(1970,1,1)</f>
        <v>42047.724444444444</v>
      </c>
      <c r="M3871">
        <f>MONTH(Table1[[#This Row],[Date Created Conversion]])</f>
        <v>2</v>
      </c>
      <c r="N3871">
        <f>YEAR(Table1[[#This Row],[Date Created Conversion]])</f>
        <v>2015</v>
      </c>
      <c r="O3871" t="b">
        <v>0</v>
      </c>
      <c r="P3871">
        <v>15</v>
      </c>
      <c r="Q3871" t="b">
        <v>0</v>
      </c>
      <c r="R3871" t="s">
        <v>8305</v>
      </c>
      <c r="S3871" s="6">
        <f>Table1[[#This Row],[pledged]]/Table1[[#This Row],[goal]]</f>
        <v>3.44748684310884E-2</v>
      </c>
      <c r="T3871" s="8">
        <f>IF(Table1[[#This Row],[pledged]]=0,"no backers",Table1[[#This Row],[pledged]]/Table1[[#This Row],[backers_count]])</f>
        <v>30.133333333333333</v>
      </c>
      <c r="U3871" t="str">
        <f>LEFT(Table1[[#This Row],[Category and Sub-Category]],FIND("/",Table1[[#This Row],[Category and Sub-Category]])-1)</f>
        <v>theater</v>
      </c>
      <c r="V3871" t="str">
        <f>RIGHT(Table1[[#This Row],[Category and Sub-Category]],LEN(Table1[[#This Row],[Category and Sub-Category]])-FIND("/",Table1[[#This Row],[Category and Sub-Category]]))</f>
        <v>musical</v>
      </c>
    </row>
    <row r="3872" spans="1:22" ht="57.6" x14ac:dyDescent="0.3">
      <c r="A3872">
        <v>3870</v>
      </c>
      <c r="B3872" s="3" t="s">
        <v>3867</v>
      </c>
      <c r="C3872" s="3" t="s">
        <v>7979</v>
      </c>
      <c r="D3872" s="1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>((Table1[[#This Row],[deadline]]/60)/60/24)+DATE(1970,1,1)</f>
        <v>41823.17219907407</v>
      </c>
      <c r="K3872">
        <v>1401768478</v>
      </c>
      <c r="L3872" s="11">
        <f>((Table1[[#This Row],[launched_at]]/60)/60/24)+DATE(1970,1,1)</f>
        <v>41793.17219907407</v>
      </c>
      <c r="M3872">
        <f>MONTH(Table1[[#This Row],[Date Created Conversion]])</f>
        <v>6</v>
      </c>
      <c r="N3872">
        <f>YEAR(Table1[[#This Row],[Date Created Conversion]])</f>
        <v>2014</v>
      </c>
      <c r="O3872" t="b">
        <v>0</v>
      </c>
      <c r="P3872">
        <v>10</v>
      </c>
      <c r="Q3872" t="b">
        <v>0</v>
      </c>
      <c r="R3872" t="s">
        <v>8305</v>
      </c>
      <c r="S3872" s="6">
        <f>Table1[[#This Row],[pledged]]/Table1[[#This Row],[goal]]</f>
        <v>0.15</v>
      </c>
      <c r="T3872" s="8">
        <f>IF(Table1[[#This Row],[pledged]]=0,"no backers",Table1[[#This Row],[pledged]]/Table1[[#This Row],[backers_count]])</f>
        <v>150</v>
      </c>
      <c r="U3872" t="str">
        <f>LEFT(Table1[[#This Row],[Category and Sub-Category]],FIND("/",Table1[[#This Row],[Category and Sub-Category]])-1)</f>
        <v>theater</v>
      </c>
      <c r="V3872" t="str">
        <f>RIGHT(Table1[[#This Row],[Category and Sub-Category]],LEN(Table1[[#This Row],[Category and Sub-Category]])-FIND("/",Table1[[#This Row],[Category and Sub-Category]]))</f>
        <v>musical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 s="12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>((Table1[[#This Row],[deadline]]/60)/60/24)+DATE(1970,1,1)</f>
        <v>42823.739004629635</v>
      </c>
      <c r="K3873">
        <v>1485629050</v>
      </c>
      <c r="L3873" s="11">
        <f>((Table1[[#This Row],[launched_at]]/60)/60/24)+DATE(1970,1,1)</f>
        <v>42763.780671296292</v>
      </c>
      <c r="M3873">
        <f>MONTH(Table1[[#This Row],[Date Created Conversion]])</f>
        <v>1</v>
      </c>
      <c r="N3873">
        <f>YEAR(Table1[[#This Row],[Date Created Conversion]])</f>
        <v>2017</v>
      </c>
      <c r="O3873" t="b">
        <v>0</v>
      </c>
      <c r="P3873">
        <v>3</v>
      </c>
      <c r="Q3873" t="b">
        <v>0</v>
      </c>
      <c r="R3873" t="s">
        <v>8305</v>
      </c>
      <c r="S3873" s="6">
        <f>Table1[[#This Row],[pledged]]/Table1[[#This Row],[goal]]</f>
        <v>2.6666666666666668E-2</v>
      </c>
      <c r="T3873" s="8">
        <f>IF(Table1[[#This Row],[pledged]]=0,"no backers",Table1[[#This Row],[pledged]]/Table1[[#This Row],[backers_count]])</f>
        <v>13.333333333333334</v>
      </c>
      <c r="U3873" t="str">
        <f>LEFT(Table1[[#This Row],[Category and Sub-Category]],FIND("/",Table1[[#This Row],[Category and Sub-Category]])-1)</f>
        <v>theater</v>
      </c>
      <c r="V3873" t="str">
        <f>RIGHT(Table1[[#This Row],[Category and Sub-Category]],LEN(Table1[[#This Row],[Category and Sub-Category]])-FIND("/",Table1[[#This Row],[Category and Sub-Category]]))</f>
        <v>musical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 s="12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>((Table1[[#This Row],[deadline]]/60)/60/24)+DATE(1970,1,1)</f>
        <v>42230.145787037036</v>
      </c>
      <c r="K3874">
        <v>1435202996</v>
      </c>
      <c r="L3874" s="11">
        <f>((Table1[[#This Row],[launched_at]]/60)/60/24)+DATE(1970,1,1)</f>
        <v>42180.145787037036</v>
      </c>
      <c r="M3874">
        <f>MONTH(Table1[[#This Row],[Date Created Conversion]])</f>
        <v>6</v>
      </c>
      <c r="N3874">
        <f>YEAR(Table1[[#This Row],[Date Created Conversion]])</f>
        <v>2015</v>
      </c>
      <c r="O3874" t="b">
        <v>0</v>
      </c>
      <c r="P3874">
        <v>0</v>
      </c>
      <c r="Q3874" t="b">
        <v>0</v>
      </c>
      <c r="R3874" t="s">
        <v>8305</v>
      </c>
      <c r="S3874" s="6">
        <f>Table1[[#This Row],[pledged]]/Table1[[#This Row],[goal]]</f>
        <v>0</v>
      </c>
      <c r="T3874" s="8" t="str">
        <f>IF(Table1[[#This Row],[pledged]]=0,"no backers",Table1[[#This Row],[pledged]]/Table1[[#This Row],[backers_count]])</f>
        <v>no backers</v>
      </c>
      <c r="U3874" t="str">
        <f>LEFT(Table1[[#This Row],[Category and Sub-Category]],FIND("/",Table1[[#This Row],[Category and Sub-Category]])-1)</f>
        <v>theater</v>
      </c>
      <c r="V3874" t="str">
        <f>RIGHT(Table1[[#This Row],[Category and Sub-Category]],LEN(Table1[[#This Row],[Category and Sub-Category]])-FIND("/",Table1[[#This Row],[Category and Sub-Category]]))</f>
        <v>musical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 s="12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>((Table1[[#This Row],[deadline]]/60)/60/24)+DATE(1970,1,1)</f>
        <v>42285.696006944447</v>
      </c>
      <c r="K3875">
        <v>1441730535</v>
      </c>
      <c r="L3875" s="11">
        <f>((Table1[[#This Row],[launched_at]]/60)/60/24)+DATE(1970,1,1)</f>
        <v>42255.696006944447</v>
      </c>
      <c r="M3875">
        <f>MONTH(Table1[[#This Row],[Date Created Conversion]])</f>
        <v>9</v>
      </c>
      <c r="N3875">
        <f>YEAR(Table1[[#This Row],[Date Created Conversion]])</f>
        <v>2015</v>
      </c>
      <c r="O3875" t="b">
        <v>0</v>
      </c>
      <c r="P3875">
        <v>0</v>
      </c>
      <c r="Q3875" t="b">
        <v>0</v>
      </c>
      <c r="R3875" t="s">
        <v>8305</v>
      </c>
      <c r="S3875" s="6">
        <f>Table1[[#This Row],[pledged]]/Table1[[#This Row],[goal]]</f>
        <v>0</v>
      </c>
      <c r="T3875" s="8" t="str">
        <f>IF(Table1[[#This Row],[pledged]]=0,"no backers",Table1[[#This Row],[pledged]]/Table1[[#This Row],[backers_count]])</f>
        <v>no backers</v>
      </c>
      <c r="U3875" t="str">
        <f>LEFT(Table1[[#This Row],[Category and Sub-Category]],FIND("/",Table1[[#This Row],[Category and Sub-Category]])-1)</f>
        <v>theater</v>
      </c>
      <c r="V3875" t="str">
        <f>RIGHT(Table1[[#This Row],[Category and Sub-Category]],LEN(Table1[[#This Row],[Category and Sub-Category]])-FIND("/",Table1[[#This Row],[Category and Sub-Category]]))</f>
        <v>musical</v>
      </c>
    </row>
    <row r="3876" spans="1:22" ht="57.6" x14ac:dyDescent="0.3">
      <c r="A3876">
        <v>3874</v>
      </c>
      <c r="B3876" s="3" t="s">
        <v>3871</v>
      </c>
      <c r="C3876" s="3" t="s">
        <v>7983</v>
      </c>
      <c r="D3876" s="12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>((Table1[[#This Row],[deadline]]/60)/60/24)+DATE(1970,1,1)</f>
        <v>42028.041666666672</v>
      </c>
      <c r="K3876">
        <v>1420244622</v>
      </c>
      <c r="L3876" s="11">
        <f>((Table1[[#This Row],[launched_at]]/60)/60/24)+DATE(1970,1,1)</f>
        <v>42007.016458333332</v>
      </c>
      <c r="M3876">
        <f>MONTH(Table1[[#This Row],[Date Created Conversion]])</f>
        <v>1</v>
      </c>
      <c r="N3876">
        <f>YEAR(Table1[[#This Row],[Date Created Conversion]])</f>
        <v>2015</v>
      </c>
      <c r="O3876" t="b">
        <v>0</v>
      </c>
      <c r="P3876">
        <v>0</v>
      </c>
      <c r="Q3876" t="b">
        <v>0</v>
      </c>
      <c r="R3876" t="s">
        <v>8305</v>
      </c>
      <c r="S3876" s="6">
        <f>Table1[[#This Row],[pledged]]/Table1[[#This Row],[goal]]</f>
        <v>0</v>
      </c>
      <c r="T3876" s="8" t="str">
        <f>IF(Table1[[#This Row],[pledged]]=0,"no backers",Table1[[#This Row],[pledged]]/Table1[[#This Row],[backers_count]])</f>
        <v>no backers</v>
      </c>
      <c r="U3876" t="str">
        <f>LEFT(Table1[[#This Row],[Category and Sub-Category]],FIND("/",Table1[[#This Row],[Category and Sub-Category]])-1)</f>
        <v>theater</v>
      </c>
      <c r="V3876" t="str">
        <f>RIGHT(Table1[[#This Row],[Category and Sub-Category]],LEN(Table1[[#This Row],[Category and Sub-Category]])-FIND("/",Table1[[#This Row],[Category and Sub-Category]]))</f>
        <v>musical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 s="12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>((Table1[[#This Row],[deadline]]/60)/60/24)+DATE(1970,1,1)</f>
        <v>42616.416666666672</v>
      </c>
      <c r="K3877">
        <v>1472804365</v>
      </c>
      <c r="L3877" s="11">
        <f>((Table1[[#This Row],[launched_at]]/60)/60/24)+DATE(1970,1,1)</f>
        <v>42615.346817129626</v>
      </c>
      <c r="M3877">
        <f>MONTH(Table1[[#This Row],[Date Created Conversion]])</f>
        <v>9</v>
      </c>
      <c r="N3877">
        <f>YEAR(Table1[[#This Row],[Date Created Conversion]])</f>
        <v>2016</v>
      </c>
      <c r="O3877" t="b">
        <v>0</v>
      </c>
      <c r="P3877">
        <v>0</v>
      </c>
      <c r="Q3877" t="b">
        <v>0</v>
      </c>
      <c r="R3877" t="s">
        <v>8305</v>
      </c>
      <c r="S3877" s="6">
        <f>Table1[[#This Row],[pledged]]/Table1[[#This Row],[goal]]</f>
        <v>0</v>
      </c>
      <c r="T3877" s="8" t="str">
        <f>IF(Table1[[#This Row],[pledged]]=0,"no backers",Table1[[#This Row],[pledged]]/Table1[[#This Row],[backers_count]])</f>
        <v>no backers</v>
      </c>
      <c r="U3877" t="str">
        <f>LEFT(Table1[[#This Row],[Category and Sub-Category]],FIND("/",Table1[[#This Row],[Category and Sub-Category]])-1)</f>
        <v>theater</v>
      </c>
      <c r="V3877" t="str">
        <f>RIGHT(Table1[[#This Row],[Category and Sub-Category]],LEN(Table1[[#This Row],[Category and Sub-Category]])-FIND("/",Table1[[#This Row],[Category and Sub-Category]]))</f>
        <v>musical</v>
      </c>
    </row>
    <row r="3878" spans="1:22" ht="57.6" x14ac:dyDescent="0.3">
      <c r="A3878">
        <v>3876</v>
      </c>
      <c r="B3878" s="3" t="s">
        <v>3873</v>
      </c>
      <c r="C3878" s="3" t="s">
        <v>7985</v>
      </c>
      <c r="D3878" s="12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>((Table1[[#This Row],[deadline]]/60)/60/24)+DATE(1970,1,1)</f>
        <v>42402.624166666668</v>
      </c>
      <c r="K3878">
        <v>1451833128</v>
      </c>
      <c r="L3878" s="11">
        <f>((Table1[[#This Row],[launched_at]]/60)/60/24)+DATE(1970,1,1)</f>
        <v>42372.624166666668</v>
      </c>
      <c r="M3878">
        <f>MONTH(Table1[[#This Row],[Date Created Conversion]])</f>
        <v>1</v>
      </c>
      <c r="N3878">
        <f>YEAR(Table1[[#This Row],[Date Created Conversion]])</f>
        <v>2016</v>
      </c>
      <c r="O3878" t="b">
        <v>0</v>
      </c>
      <c r="P3878">
        <v>46</v>
      </c>
      <c r="Q3878" t="b">
        <v>0</v>
      </c>
      <c r="R3878" t="s">
        <v>8305</v>
      </c>
      <c r="S3878" s="6">
        <f>Table1[[#This Row],[pledged]]/Table1[[#This Row],[goal]]</f>
        <v>0.52794871794871789</v>
      </c>
      <c r="T3878" s="8">
        <f>IF(Table1[[#This Row],[pledged]]=0,"no backers",Table1[[#This Row],[pledged]]/Table1[[#This Row],[backers_count]])</f>
        <v>44.760869565217391</v>
      </c>
      <c r="U3878" t="str">
        <f>LEFT(Table1[[#This Row],[Category and Sub-Category]],FIND("/",Table1[[#This Row],[Category and Sub-Category]])-1)</f>
        <v>theater</v>
      </c>
      <c r="V3878" t="str">
        <f>RIGHT(Table1[[#This Row],[Category and Sub-Category]],LEN(Table1[[#This Row],[Category and Sub-Category]])-FIND("/",Table1[[#This Row],[Category and Sub-Category]]))</f>
        <v>musical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 s="12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>((Table1[[#This Row],[deadline]]/60)/60/24)+DATE(1970,1,1)</f>
        <v>42712.67768518519</v>
      </c>
      <c r="K3879">
        <v>1478621752</v>
      </c>
      <c r="L3879" s="11">
        <f>((Table1[[#This Row],[launched_at]]/60)/60/24)+DATE(1970,1,1)</f>
        <v>42682.67768518519</v>
      </c>
      <c r="M3879">
        <f>MONTH(Table1[[#This Row],[Date Created Conversion]])</f>
        <v>11</v>
      </c>
      <c r="N3879">
        <f>YEAR(Table1[[#This Row],[Date Created Conversion]])</f>
        <v>2016</v>
      </c>
      <c r="O3879" t="b">
        <v>0</v>
      </c>
      <c r="P3879">
        <v>14</v>
      </c>
      <c r="Q3879" t="b">
        <v>0</v>
      </c>
      <c r="R3879" t="s">
        <v>8305</v>
      </c>
      <c r="S3879" s="6">
        <f>Table1[[#This Row],[pledged]]/Table1[[#This Row],[goal]]</f>
        <v>4.9639999999999997E-2</v>
      </c>
      <c r="T3879" s="8">
        <f>IF(Table1[[#This Row],[pledged]]=0,"no backers",Table1[[#This Row],[pledged]]/Table1[[#This Row],[backers_count]])</f>
        <v>88.642857142857139</v>
      </c>
      <c r="U3879" t="str">
        <f>LEFT(Table1[[#This Row],[Category and Sub-Category]],FIND("/",Table1[[#This Row],[Category and Sub-Category]])-1)</f>
        <v>theater</v>
      </c>
      <c r="V3879" t="str">
        <f>RIGHT(Table1[[#This Row],[Category and Sub-Category]],LEN(Table1[[#This Row],[Category and Sub-Category]])-FIND("/",Table1[[#This Row],[Category and Sub-Category]]))</f>
        <v>musical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 s="12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>((Table1[[#This Row],[deadline]]/60)/60/24)+DATE(1970,1,1)</f>
        <v>42185.165972222225</v>
      </c>
      <c r="K3880">
        <v>1433014746</v>
      </c>
      <c r="L3880" s="11">
        <f>((Table1[[#This Row],[launched_at]]/60)/60/24)+DATE(1970,1,1)</f>
        <v>42154.818819444445</v>
      </c>
      <c r="M3880">
        <f>MONTH(Table1[[#This Row],[Date Created Conversion]])</f>
        <v>5</v>
      </c>
      <c r="N3880">
        <f>YEAR(Table1[[#This Row],[Date Created Conversion]])</f>
        <v>2015</v>
      </c>
      <c r="O3880" t="b">
        <v>0</v>
      </c>
      <c r="P3880">
        <v>1</v>
      </c>
      <c r="Q3880" t="b">
        <v>0</v>
      </c>
      <c r="R3880" t="s">
        <v>8305</v>
      </c>
      <c r="S3880" s="6">
        <f>Table1[[#This Row],[pledged]]/Table1[[#This Row],[goal]]</f>
        <v>5.5555555555555556E-4</v>
      </c>
      <c r="T3880" s="8">
        <f>IF(Table1[[#This Row],[pledged]]=0,"no backers",Table1[[#This Row],[pledged]]/Table1[[#This Row],[backers_count]])</f>
        <v>10</v>
      </c>
      <c r="U3880" t="str">
        <f>LEFT(Table1[[#This Row],[Category and Sub-Category]],FIND("/",Table1[[#This Row],[Category and Sub-Category]])-1)</f>
        <v>theater</v>
      </c>
      <c r="V3880" t="str">
        <f>RIGHT(Table1[[#This Row],[Category and Sub-Category]],LEN(Table1[[#This Row],[Category and Sub-Category]])-FIND("/",Table1[[#This Row],[Category and Sub-Category]]))</f>
        <v>musical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 s="12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>((Table1[[#This Row],[deadline]]/60)/60/24)+DATE(1970,1,1)</f>
        <v>42029.861064814817</v>
      </c>
      <c r="K3881">
        <v>1419626396</v>
      </c>
      <c r="L3881" s="11">
        <f>((Table1[[#This Row],[launched_at]]/60)/60/24)+DATE(1970,1,1)</f>
        <v>41999.861064814817</v>
      </c>
      <c r="M3881">
        <f>MONTH(Table1[[#This Row],[Date Created Conversion]])</f>
        <v>12</v>
      </c>
      <c r="N3881">
        <f>YEAR(Table1[[#This Row],[Date Created Conversion]])</f>
        <v>2014</v>
      </c>
      <c r="O3881" t="b">
        <v>0</v>
      </c>
      <c r="P3881">
        <v>0</v>
      </c>
      <c r="Q3881" t="b">
        <v>0</v>
      </c>
      <c r="R3881" t="s">
        <v>8305</v>
      </c>
      <c r="S3881" s="6">
        <f>Table1[[#This Row],[pledged]]/Table1[[#This Row],[goal]]</f>
        <v>0</v>
      </c>
      <c r="T3881" s="8" t="str">
        <f>IF(Table1[[#This Row],[pledged]]=0,"no backers",Table1[[#This Row],[pledged]]/Table1[[#This Row],[backers_count]])</f>
        <v>no backers</v>
      </c>
      <c r="U3881" t="str">
        <f>LEFT(Table1[[#This Row],[Category and Sub-Category]],FIND("/",Table1[[#This Row],[Category and Sub-Category]])-1)</f>
        <v>theater</v>
      </c>
      <c r="V3881" t="str">
        <f>RIGHT(Table1[[#This Row],[Category and Sub-Category]],LEN(Table1[[#This Row],[Category and Sub-Category]])-FIND("/",Table1[[#This Row],[Category and Sub-Category]]))</f>
        <v>musical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 s="1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>((Table1[[#This Row],[deadline]]/60)/60/24)+DATE(1970,1,1)</f>
        <v>41850.958333333336</v>
      </c>
      <c r="K3882">
        <v>1403724820</v>
      </c>
      <c r="L3882" s="11">
        <f>((Table1[[#This Row],[launched_at]]/60)/60/24)+DATE(1970,1,1)</f>
        <v>41815.815046296295</v>
      </c>
      <c r="M3882">
        <f>MONTH(Table1[[#This Row],[Date Created Conversion]])</f>
        <v>6</v>
      </c>
      <c r="N3882">
        <f>YEAR(Table1[[#This Row],[Date Created Conversion]])</f>
        <v>2014</v>
      </c>
      <c r="O3882" t="b">
        <v>0</v>
      </c>
      <c r="P3882">
        <v>17</v>
      </c>
      <c r="Q3882" t="b">
        <v>0</v>
      </c>
      <c r="R3882" t="s">
        <v>8305</v>
      </c>
      <c r="S3882" s="6">
        <f>Table1[[#This Row],[pledged]]/Table1[[#This Row],[goal]]</f>
        <v>0.13066666666666665</v>
      </c>
      <c r="T3882" s="8">
        <f>IF(Table1[[#This Row],[pledged]]=0,"no backers",Table1[[#This Row],[pledged]]/Table1[[#This Row],[backers_count]])</f>
        <v>57.647058823529413</v>
      </c>
      <c r="U3882" t="str">
        <f>LEFT(Table1[[#This Row],[Category and Sub-Category]],FIND("/",Table1[[#This Row],[Category and Sub-Category]])-1)</f>
        <v>theater</v>
      </c>
      <c r="V3882" t="str">
        <f>RIGHT(Table1[[#This Row],[Category and Sub-Category]],LEN(Table1[[#This Row],[Category and Sub-Category]])-FIND("/",Table1[[#This Row],[Category and Sub-Category]]))</f>
        <v>musical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 s="12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>((Table1[[#This Row],[deadline]]/60)/60/24)+DATE(1970,1,1)</f>
        <v>42786.018506944441</v>
      </c>
      <c r="K3883">
        <v>1484958399</v>
      </c>
      <c r="L3883" s="11">
        <f>((Table1[[#This Row],[launched_at]]/60)/60/24)+DATE(1970,1,1)</f>
        <v>42756.018506944441</v>
      </c>
      <c r="M3883">
        <f>MONTH(Table1[[#This Row],[Date Created Conversion]])</f>
        <v>1</v>
      </c>
      <c r="N3883">
        <f>YEAR(Table1[[#This Row],[Date Created Conversion]])</f>
        <v>2017</v>
      </c>
      <c r="O3883" t="b">
        <v>0</v>
      </c>
      <c r="P3883">
        <v>1</v>
      </c>
      <c r="Q3883" t="b">
        <v>0</v>
      </c>
      <c r="R3883" t="s">
        <v>8305</v>
      </c>
      <c r="S3883" s="6">
        <f>Table1[[#This Row],[pledged]]/Table1[[#This Row],[goal]]</f>
        <v>0.05</v>
      </c>
      <c r="T3883" s="8">
        <f>IF(Table1[[#This Row],[pledged]]=0,"no backers",Table1[[#This Row],[pledged]]/Table1[[#This Row],[backers_count]])</f>
        <v>25</v>
      </c>
      <c r="U3883" t="str">
        <f>LEFT(Table1[[#This Row],[Category and Sub-Category]],FIND("/",Table1[[#This Row],[Category and Sub-Category]])-1)</f>
        <v>theater</v>
      </c>
      <c r="V3883" t="str">
        <f>RIGHT(Table1[[#This Row],[Category and Sub-Category]],LEN(Table1[[#This Row],[Category and Sub-Category]])-FIND("/",Table1[[#This Row],[Category and Sub-Category]]))</f>
        <v>musical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 s="12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>((Table1[[#This Row],[deadline]]/60)/60/24)+DATE(1970,1,1)</f>
        <v>42400.960416666669</v>
      </c>
      <c r="K3884">
        <v>1451950570</v>
      </c>
      <c r="L3884" s="11">
        <f>((Table1[[#This Row],[launched_at]]/60)/60/24)+DATE(1970,1,1)</f>
        <v>42373.983449074076</v>
      </c>
      <c r="M3884">
        <f>MONTH(Table1[[#This Row],[Date Created Conversion]])</f>
        <v>1</v>
      </c>
      <c r="N3884">
        <f>YEAR(Table1[[#This Row],[Date Created Conversion]])</f>
        <v>2016</v>
      </c>
      <c r="O3884" t="b">
        <v>0</v>
      </c>
      <c r="P3884">
        <v>0</v>
      </c>
      <c r="Q3884" t="b">
        <v>0</v>
      </c>
      <c r="R3884" t="s">
        <v>8305</v>
      </c>
      <c r="S3884" s="6">
        <f>Table1[[#This Row],[pledged]]/Table1[[#This Row],[goal]]</f>
        <v>0</v>
      </c>
      <c r="T3884" s="8" t="str">
        <f>IF(Table1[[#This Row],[pledged]]=0,"no backers",Table1[[#This Row],[pledged]]/Table1[[#This Row],[backers_count]])</f>
        <v>no backers</v>
      </c>
      <c r="U3884" t="str">
        <f>LEFT(Table1[[#This Row],[Category and Sub-Category]],FIND("/",Table1[[#This Row],[Category and Sub-Category]])-1)</f>
        <v>theater</v>
      </c>
      <c r="V3884" t="str">
        <f>RIGHT(Table1[[#This Row],[Category and Sub-Category]],LEN(Table1[[#This Row],[Category and Sub-Category]])-FIND("/",Table1[[#This Row],[Category and Sub-Category]]))</f>
        <v>musical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 s="12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>((Table1[[#This Row],[deadline]]/60)/60/24)+DATE(1970,1,1)</f>
        <v>41884.602650462963</v>
      </c>
      <c r="K3885">
        <v>1407076069</v>
      </c>
      <c r="L3885" s="11">
        <f>((Table1[[#This Row],[launched_at]]/60)/60/24)+DATE(1970,1,1)</f>
        <v>41854.602650462963</v>
      </c>
      <c r="M3885">
        <f>MONTH(Table1[[#This Row],[Date Created Conversion]])</f>
        <v>8</v>
      </c>
      <c r="N3885">
        <f>YEAR(Table1[[#This Row],[Date Created Conversion]])</f>
        <v>2014</v>
      </c>
      <c r="O3885" t="b">
        <v>0</v>
      </c>
      <c r="P3885">
        <v>0</v>
      </c>
      <c r="Q3885" t="b">
        <v>0</v>
      </c>
      <c r="R3885" t="s">
        <v>8305</v>
      </c>
      <c r="S3885" s="6">
        <f>Table1[[#This Row],[pledged]]/Table1[[#This Row],[goal]]</f>
        <v>0</v>
      </c>
      <c r="T3885" s="8" t="str">
        <f>IF(Table1[[#This Row],[pledged]]=0,"no backers",Table1[[#This Row],[pledged]]/Table1[[#This Row],[backers_count]])</f>
        <v>no backers</v>
      </c>
      <c r="U3885" t="str">
        <f>LEFT(Table1[[#This Row],[Category and Sub-Category]],FIND("/",Table1[[#This Row],[Category and Sub-Category]])-1)</f>
        <v>theater</v>
      </c>
      <c r="V3885" t="str">
        <f>RIGHT(Table1[[#This Row],[Category and Sub-Category]],LEN(Table1[[#This Row],[Category and Sub-Category]])-FIND("/",Table1[[#This Row],[Category and Sub-Category]]))</f>
        <v>musical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 s="12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>((Table1[[#This Row],[deadline]]/60)/60/24)+DATE(1970,1,1)</f>
        <v>42090.749907407408</v>
      </c>
      <c r="K3886">
        <v>1425322792</v>
      </c>
      <c r="L3886" s="11">
        <f>((Table1[[#This Row],[launched_at]]/60)/60/24)+DATE(1970,1,1)</f>
        <v>42065.791574074072</v>
      </c>
      <c r="M3886">
        <f>MONTH(Table1[[#This Row],[Date Created Conversion]])</f>
        <v>3</v>
      </c>
      <c r="N3886">
        <f>YEAR(Table1[[#This Row],[Date Created Conversion]])</f>
        <v>2015</v>
      </c>
      <c r="O3886" t="b">
        <v>0</v>
      </c>
      <c r="P3886">
        <v>0</v>
      </c>
      <c r="Q3886" t="b">
        <v>0</v>
      </c>
      <c r="R3886" t="s">
        <v>8305</v>
      </c>
      <c r="S3886" s="6">
        <f>Table1[[#This Row],[pledged]]/Table1[[#This Row],[goal]]</f>
        <v>0</v>
      </c>
      <c r="T3886" s="8" t="str">
        <f>IF(Table1[[#This Row],[pledged]]=0,"no backers",Table1[[#This Row],[pledged]]/Table1[[#This Row],[backers_count]])</f>
        <v>no backers</v>
      </c>
      <c r="U3886" t="str">
        <f>LEFT(Table1[[#This Row],[Category and Sub-Category]],FIND("/",Table1[[#This Row],[Category and Sub-Category]])-1)</f>
        <v>theater</v>
      </c>
      <c r="V3886" t="str">
        <f>RIGHT(Table1[[#This Row],[Category and Sub-Category]],LEN(Table1[[#This Row],[Category and Sub-Category]])-FIND("/",Table1[[#This Row],[Category and Sub-Category]]))</f>
        <v>musical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 s="12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>((Table1[[#This Row],[deadline]]/60)/60/24)+DATE(1970,1,1)</f>
        <v>42499.951284722221</v>
      </c>
      <c r="K3887">
        <v>1460242191</v>
      </c>
      <c r="L3887" s="11">
        <f>((Table1[[#This Row],[launched_at]]/60)/60/24)+DATE(1970,1,1)</f>
        <v>42469.951284722221</v>
      </c>
      <c r="M3887">
        <f>MONTH(Table1[[#This Row],[Date Created Conversion]])</f>
        <v>4</v>
      </c>
      <c r="N3887">
        <f>YEAR(Table1[[#This Row],[Date Created Conversion]])</f>
        <v>2016</v>
      </c>
      <c r="O3887" t="b">
        <v>0</v>
      </c>
      <c r="P3887">
        <v>0</v>
      </c>
      <c r="Q3887" t="b">
        <v>0</v>
      </c>
      <c r="R3887" t="s">
        <v>8305</v>
      </c>
      <c r="S3887" s="6">
        <f>Table1[[#This Row],[pledged]]/Table1[[#This Row],[goal]]</f>
        <v>0</v>
      </c>
      <c r="T3887" s="8" t="str">
        <f>IF(Table1[[#This Row],[pledged]]=0,"no backers",Table1[[#This Row],[pledged]]/Table1[[#This Row],[backers_count]])</f>
        <v>no backers</v>
      </c>
      <c r="U3887" t="str">
        <f>LEFT(Table1[[#This Row],[Category and Sub-Category]],FIND("/",Table1[[#This Row],[Category and Sub-Category]])-1)</f>
        <v>theater</v>
      </c>
      <c r="V3887" t="str">
        <f>RIGHT(Table1[[#This Row],[Category and Sub-Category]],LEN(Table1[[#This Row],[Category and Sub-Category]])-FIND("/",Table1[[#This Row],[Category and Sub-Category]]))</f>
        <v>musical</v>
      </c>
    </row>
    <row r="3888" spans="1:22" x14ac:dyDescent="0.3">
      <c r="A3888">
        <v>3886</v>
      </c>
      <c r="B3888" s="3" t="s">
        <v>3883</v>
      </c>
      <c r="C3888" s="3">
        <v>1</v>
      </c>
      <c r="D3888" s="12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>((Table1[[#This Row],[deadline]]/60)/60/24)+DATE(1970,1,1)</f>
        <v>41984.228032407409</v>
      </c>
      <c r="K3888">
        <v>1415683702</v>
      </c>
      <c r="L3888" s="11">
        <f>((Table1[[#This Row],[launched_at]]/60)/60/24)+DATE(1970,1,1)</f>
        <v>41954.228032407409</v>
      </c>
      <c r="M3888">
        <f>MONTH(Table1[[#This Row],[Date Created Conversion]])</f>
        <v>11</v>
      </c>
      <c r="N3888">
        <f>YEAR(Table1[[#This Row],[Date Created Conversion]])</f>
        <v>2014</v>
      </c>
      <c r="O3888" t="b">
        <v>0</v>
      </c>
      <c r="P3888">
        <v>0</v>
      </c>
      <c r="Q3888" t="b">
        <v>0</v>
      </c>
      <c r="R3888" t="s">
        <v>8305</v>
      </c>
      <c r="S3888" s="6">
        <f>Table1[[#This Row],[pledged]]/Table1[[#This Row],[goal]]</f>
        <v>0</v>
      </c>
      <c r="T3888" s="8" t="str">
        <f>IF(Table1[[#This Row],[pledged]]=0,"no backers",Table1[[#This Row],[pledged]]/Table1[[#This Row],[backers_count]])</f>
        <v>no backers</v>
      </c>
      <c r="U3888" t="str">
        <f>LEFT(Table1[[#This Row],[Category and Sub-Category]],FIND("/",Table1[[#This Row],[Category and Sub-Category]])-1)</f>
        <v>theater</v>
      </c>
      <c r="V3888" t="str">
        <f>RIGHT(Table1[[#This Row],[Category and Sub-Category]],LEN(Table1[[#This Row],[Category and Sub-Category]])-FIND("/",Table1[[#This Row],[Category and Sub-Category]]))</f>
        <v>musical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 s="12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>((Table1[[#This Row],[deadline]]/60)/60/24)+DATE(1970,1,1)</f>
        <v>42125.916666666672</v>
      </c>
      <c r="K3889">
        <v>1426538129</v>
      </c>
      <c r="L3889" s="11">
        <f>((Table1[[#This Row],[launched_at]]/60)/60/24)+DATE(1970,1,1)</f>
        <v>42079.857974537037</v>
      </c>
      <c r="M3889">
        <f>MONTH(Table1[[#This Row],[Date Created Conversion]])</f>
        <v>3</v>
      </c>
      <c r="N3889">
        <f>YEAR(Table1[[#This Row],[Date Created Conversion]])</f>
        <v>2015</v>
      </c>
      <c r="O3889" t="b">
        <v>0</v>
      </c>
      <c r="P3889">
        <v>2</v>
      </c>
      <c r="Q3889" t="b">
        <v>0</v>
      </c>
      <c r="R3889" t="s">
        <v>8305</v>
      </c>
      <c r="S3889" s="6">
        <f>Table1[[#This Row],[pledged]]/Table1[[#This Row],[goal]]</f>
        <v>1.7500000000000002E-2</v>
      </c>
      <c r="T3889" s="8">
        <f>IF(Table1[[#This Row],[pledged]]=0,"no backers",Table1[[#This Row],[pledged]]/Table1[[#This Row],[backers_count]])</f>
        <v>17.5</v>
      </c>
      <c r="U3889" t="str">
        <f>LEFT(Table1[[#This Row],[Category and Sub-Category]],FIND("/",Table1[[#This Row],[Category and Sub-Category]])-1)</f>
        <v>theater</v>
      </c>
      <c r="V3889" t="str">
        <f>RIGHT(Table1[[#This Row],[Category and Sub-Category]],LEN(Table1[[#This Row],[Category and Sub-Category]])-FIND("/",Table1[[#This Row],[Category and Sub-Category]]))</f>
        <v>musical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 s="12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>((Table1[[#This Row],[deadline]]/60)/60/24)+DATE(1970,1,1)</f>
        <v>42792.545810185184</v>
      </c>
      <c r="K3890">
        <v>1485522358</v>
      </c>
      <c r="L3890" s="11">
        <f>((Table1[[#This Row],[launched_at]]/60)/60/24)+DATE(1970,1,1)</f>
        <v>42762.545810185184</v>
      </c>
      <c r="M3890">
        <f>MONTH(Table1[[#This Row],[Date Created Conversion]])</f>
        <v>1</v>
      </c>
      <c r="N3890">
        <f>YEAR(Table1[[#This Row],[Date Created Conversion]])</f>
        <v>2017</v>
      </c>
      <c r="O3890" t="b">
        <v>0</v>
      </c>
      <c r="P3890">
        <v>14</v>
      </c>
      <c r="Q3890" t="b">
        <v>0</v>
      </c>
      <c r="R3890" t="s">
        <v>8271</v>
      </c>
      <c r="S3890" s="6">
        <f>Table1[[#This Row],[pledged]]/Table1[[#This Row],[goal]]</f>
        <v>0.27100000000000002</v>
      </c>
      <c r="T3890" s="8">
        <f>IF(Table1[[#This Row],[pledged]]=0,"no backers",Table1[[#This Row],[pledged]]/Table1[[#This Row],[backers_count]])</f>
        <v>38.714285714285715</v>
      </c>
      <c r="U3890" t="str">
        <f>LEFT(Table1[[#This Row],[Category and Sub-Category]],FIND("/",Table1[[#This Row],[Category and Sub-Category]])-1)</f>
        <v>theater</v>
      </c>
      <c r="V3890" t="str">
        <f>RIGHT(Table1[[#This Row],[Category and Sub-Category]],LEN(Table1[[#This Row],[Category and Sub-Category]])-FIND("/",Table1[[#This Row],[Category and Sub-Category]]))</f>
        <v>plays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 s="12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>((Table1[[#This Row],[deadline]]/60)/60/24)+DATE(1970,1,1)</f>
        <v>42008.976388888885</v>
      </c>
      <c r="K3891">
        <v>1417651630</v>
      </c>
      <c r="L3891" s="11">
        <f>((Table1[[#This Row],[launched_at]]/60)/60/24)+DATE(1970,1,1)</f>
        <v>41977.004976851851</v>
      </c>
      <c r="M3891">
        <f>MONTH(Table1[[#This Row],[Date Created Conversion]])</f>
        <v>12</v>
      </c>
      <c r="N3891">
        <f>YEAR(Table1[[#This Row],[Date Created Conversion]])</f>
        <v>2014</v>
      </c>
      <c r="O3891" t="b">
        <v>0</v>
      </c>
      <c r="P3891">
        <v>9</v>
      </c>
      <c r="Q3891" t="b">
        <v>0</v>
      </c>
      <c r="R3891" t="s">
        <v>8271</v>
      </c>
      <c r="S3891" s="6">
        <f>Table1[[#This Row],[pledged]]/Table1[[#This Row],[goal]]</f>
        <v>1.4749999999999999E-2</v>
      </c>
      <c r="T3891" s="8">
        <f>IF(Table1[[#This Row],[pledged]]=0,"no backers",Table1[[#This Row],[pledged]]/Table1[[#This Row],[backers_count]])</f>
        <v>13.111111111111111</v>
      </c>
      <c r="U3891" t="str">
        <f>LEFT(Table1[[#This Row],[Category and Sub-Category]],FIND("/",Table1[[#This Row],[Category and Sub-Category]])-1)</f>
        <v>theater</v>
      </c>
      <c r="V3891" t="str">
        <f>RIGHT(Table1[[#This Row],[Category and Sub-Category]],LEN(Table1[[#This Row],[Category and Sub-Category]])-FIND("/",Table1[[#This Row],[Category and Sub-Category]]))</f>
        <v>plays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 s="1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>((Table1[[#This Row],[deadline]]/60)/60/24)+DATE(1970,1,1)</f>
        <v>42231.758611111116</v>
      </c>
      <c r="K3892">
        <v>1434478344</v>
      </c>
      <c r="L3892" s="11">
        <f>((Table1[[#This Row],[launched_at]]/60)/60/24)+DATE(1970,1,1)</f>
        <v>42171.758611111116</v>
      </c>
      <c r="M3892">
        <f>MONTH(Table1[[#This Row],[Date Created Conversion]])</f>
        <v>6</v>
      </c>
      <c r="N3892">
        <f>YEAR(Table1[[#This Row],[Date Created Conversion]])</f>
        <v>2015</v>
      </c>
      <c r="O3892" t="b">
        <v>0</v>
      </c>
      <c r="P3892">
        <v>8</v>
      </c>
      <c r="Q3892" t="b">
        <v>0</v>
      </c>
      <c r="R3892" t="s">
        <v>8271</v>
      </c>
      <c r="S3892" s="6">
        <f>Table1[[#This Row],[pledged]]/Table1[[#This Row],[goal]]</f>
        <v>0.16826666666666668</v>
      </c>
      <c r="T3892" s="8">
        <f>IF(Table1[[#This Row],[pledged]]=0,"no backers",Table1[[#This Row],[pledged]]/Table1[[#This Row],[backers_count]])</f>
        <v>315.5</v>
      </c>
      <c r="U3892" t="str">
        <f>LEFT(Table1[[#This Row],[Category and Sub-Category]],FIND("/",Table1[[#This Row],[Category and Sub-Category]])-1)</f>
        <v>theater</v>
      </c>
      <c r="V3892" t="str">
        <f>RIGHT(Table1[[#This Row],[Category and Sub-Category]],LEN(Table1[[#This Row],[Category and Sub-Category]])-FIND("/",Table1[[#This Row],[Category and Sub-Category]]))</f>
        <v>plays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 s="12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>((Table1[[#This Row],[deadline]]/60)/60/24)+DATE(1970,1,1)</f>
        <v>42086.207638888889</v>
      </c>
      <c r="K3893">
        <v>1424488244</v>
      </c>
      <c r="L3893" s="11">
        <f>((Table1[[#This Row],[launched_at]]/60)/60/24)+DATE(1970,1,1)</f>
        <v>42056.1324537037</v>
      </c>
      <c r="M3893">
        <f>MONTH(Table1[[#This Row],[Date Created Conversion]])</f>
        <v>2</v>
      </c>
      <c r="N3893">
        <f>YEAR(Table1[[#This Row],[Date Created Conversion]])</f>
        <v>2015</v>
      </c>
      <c r="O3893" t="b">
        <v>0</v>
      </c>
      <c r="P3893">
        <v>7</v>
      </c>
      <c r="Q3893" t="b">
        <v>0</v>
      </c>
      <c r="R3893" t="s">
        <v>8271</v>
      </c>
      <c r="S3893" s="6">
        <f>Table1[[#This Row],[pledged]]/Table1[[#This Row],[goal]]</f>
        <v>0.32500000000000001</v>
      </c>
      <c r="T3893" s="8">
        <f>IF(Table1[[#This Row],[pledged]]=0,"no backers",Table1[[#This Row],[pledged]]/Table1[[#This Row],[backers_count]])</f>
        <v>37.142857142857146</v>
      </c>
      <c r="U3893" t="str">
        <f>LEFT(Table1[[#This Row],[Category and Sub-Category]],FIND("/",Table1[[#This Row],[Category and Sub-Category]])-1)</f>
        <v>theater</v>
      </c>
      <c r="V3893" t="str">
        <f>RIGHT(Table1[[#This Row],[Category and Sub-Category]],LEN(Table1[[#This Row],[Category and Sub-Category]])-FIND("/",Table1[[#This Row],[Category and Sub-Category]]))</f>
        <v>plays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 s="12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>((Table1[[#This Row],[deadline]]/60)/60/24)+DATE(1970,1,1)</f>
        <v>41875.291666666664</v>
      </c>
      <c r="K3894">
        <v>1408203557</v>
      </c>
      <c r="L3894" s="11">
        <f>((Table1[[#This Row],[launched_at]]/60)/60/24)+DATE(1970,1,1)</f>
        <v>41867.652280092596</v>
      </c>
      <c r="M3894">
        <f>MONTH(Table1[[#This Row],[Date Created Conversion]])</f>
        <v>8</v>
      </c>
      <c r="N3894">
        <f>YEAR(Table1[[#This Row],[Date Created Conversion]])</f>
        <v>2014</v>
      </c>
      <c r="O3894" t="b">
        <v>0</v>
      </c>
      <c r="P3894">
        <v>0</v>
      </c>
      <c r="Q3894" t="b">
        <v>0</v>
      </c>
      <c r="R3894" t="s">
        <v>8271</v>
      </c>
      <c r="S3894" s="6">
        <f>Table1[[#This Row],[pledged]]/Table1[[#This Row],[goal]]</f>
        <v>0</v>
      </c>
      <c r="T3894" s="8" t="str">
        <f>IF(Table1[[#This Row],[pledged]]=0,"no backers",Table1[[#This Row],[pledged]]/Table1[[#This Row],[backers_count]])</f>
        <v>no backers</v>
      </c>
      <c r="U3894" t="str">
        <f>LEFT(Table1[[#This Row],[Category and Sub-Category]],FIND("/",Table1[[#This Row],[Category and Sub-Category]])-1)</f>
        <v>theater</v>
      </c>
      <c r="V3894" t="str">
        <f>RIGHT(Table1[[#This Row],[Category and Sub-Category]],LEN(Table1[[#This Row],[Category and Sub-Category]])-FIND("/",Table1[[#This Row],[Category and Sub-Category]]))</f>
        <v>plays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 s="12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>((Table1[[#This Row],[deadline]]/60)/60/24)+DATE(1970,1,1)</f>
        <v>41821.25</v>
      </c>
      <c r="K3895">
        <v>1400600840</v>
      </c>
      <c r="L3895" s="11">
        <f>((Table1[[#This Row],[launched_at]]/60)/60/24)+DATE(1970,1,1)</f>
        <v>41779.657870370371</v>
      </c>
      <c r="M3895">
        <f>MONTH(Table1[[#This Row],[Date Created Conversion]])</f>
        <v>5</v>
      </c>
      <c r="N3895">
        <f>YEAR(Table1[[#This Row],[Date Created Conversion]])</f>
        <v>2014</v>
      </c>
      <c r="O3895" t="b">
        <v>0</v>
      </c>
      <c r="P3895">
        <v>84</v>
      </c>
      <c r="Q3895" t="b">
        <v>0</v>
      </c>
      <c r="R3895" t="s">
        <v>8271</v>
      </c>
      <c r="S3895" s="6">
        <f>Table1[[#This Row],[pledged]]/Table1[[#This Row],[goal]]</f>
        <v>0.2155</v>
      </c>
      <c r="T3895" s="8">
        <f>IF(Table1[[#This Row],[pledged]]=0,"no backers",Table1[[#This Row],[pledged]]/Table1[[#This Row],[backers_count]])</f>
        <v>128.27380952380952</v>
      </c>
      <c r="U3895" t="str">
        <f>LEFT(Table1[[#This Row],[Category and Sub-Category]],FIND("/",Table1[[#This Row],[Category and Sub-Category]])-1)</f>
        <v>theater</v>
      </c>
      <c r="V3895" t="str">
        <f>RIGHT(Table1[[#This Row],[Category and Sub-Category]],LEN(Table1[[#This Row],[Category and Sub-Category]])-FIND("/",Table1[[#This Row],[Category and Sub-Category]]))</f>
        <v>plays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 s="12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>((Table1[[#This Row],[deadline]]/60)/60/24)+DATE(1970,1,1)</f>
        <v>42710.207638888889</v>
      </c>
      <c r="K3896">
        <v>1478386812</v>
      </c>
      <c r="L3896" s="11">
        <f>((Table1[[#This Row],[launched_at]]/60)/60/24)+DATE(1970,1,1)</f>
        <v>42679.958472222221</v>
      </c>
      <c r="M3896">
        <f>MONTH(Table1[[#This Row],[Date Created Conversion]])</f>
        <v>11</v>
      </c>
      <c r="N3896">
        <f>YEAR(Table1[[#This Row],[Date Created Conversion]])</f>
        <v>2016</v>
      </c>
      <c r="O3896" t="b">
        <v>0</v>
      </c>
      <c r="P3896">
        <v>11</v>
      </c>
      <c r="Q3896" t="b">
        <v>0</v>
      </c>
      <c r="R3896" t="s">
        <v>8271</v>
      </c>
      <c r="S3896" s="6">
        <f>Table1[[#This Row],[pledged]]/Table1[[#This Row],[goal]]</f>
        <v>3.4666666666666665E-2</v>
      </c>
      <c r="T3896" s="8">
        <f>IF(Table1[[#This Row],[pledged]]=0,"no backers",Table1[[#This Row],[pledged]]/Table1[[#This Row],[backers_count]])</f>
        <v>47.272727272727273</v>
      </c>
      <c r="U3896" t="str">
        <f>LEFT(Table1[[#This Row],[Category and Sub-Category]],FIND("/",Table1[[#This Row],[Category and Sub-Category]])-1)</f>
        <v>theater</v>
      </c>
      <c r="V3896" t="str">
        <f>RIGHT(Table1[[#This Row],[Category and Sub-Category]],LEN(Table1[[#This Row],[Category and Sub-Category]])-FIND("/",Table1[[#This Row],[Category and Sub-Category]]))</f>
        <v>plays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 s="12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>((Table1[[#This Row],[deadline]]/60)/60/24)+DATE(1970,1,1)</f>
        <v>42063.250208333338</v>
      </c>
      <c r="K3897">
        <v>1422424818</v>
      </c>
      <c r="L3897" s="11">
        <f>((Table1[[#This Row],[launched_at]]/60)/60/24)+DATE(1970,1,1)</f>
        <v>42032.250208333338</v>
      </c>
      <c r="M3897">
        <f>MONTH(Table1[[#This Row],[Date Created Conversion]])</f>
        <v>1</v>
      </c>
      <c r="N3897">
        <f>YEAR(Table1[[#This Row],[Date Created Conversion]])</f>
        <v>2015</v>
      </c>
      <c r="O3897" t="b">
        <v>0</v>
      </c>
      <c r="P3897">
        <v>1</v>
      </c>
      <c r="Q3897" t="b">
        <v>0</v>
      </c>
      <c r="R3897" t="s">
        <v>8271</v>
      </c>
      <c r="S3897" s="6">
        <f>Table1[[#This Row],[pledged]]/Table1[[#This Row],[goal]]</f>
        <v>0.05</v>
      </c>
      <c r="T3897" s="8">
        <f>IF(Table1[[#This Row],[pledged]]=0,"no backers",Table1[[#This Row],[pledged]]/Table1[[#This Row],[backers_count]])</f>
        <v>50</v>
      </c>
      <c r="U3897" t="str">
        <f>LEFT(Table1[[#This Row],[Category and Sub-Category]],FIND("/",Table1[[#This Row],[Category and Sub-Category]])-1)</f>
        <v>theater</v>
      </c>
      <c r="V3897" t="str">
        <f>RIGHT(Table1[[#This Row],[Category and Sub-Category]],LEN(Table1[[#This Row],[Category and Sub-Category]])-FIND("/",Table1[[#This Row],[Category and Sub-Category]]))</f>
        <v>plays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 s="12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>((Table1[[#This Row],[deadline]]/60)/60/24)+DATE(1970,1,1)</f>
        <v>41807.191875000004</v>
      </c>
      <c r="K3898">
        <v>1401770178</v>
      </c>
      <c r="L3898" s="11">
        <f>((Table1[[#This Row],[launched_at]]/60)/60/24)+DATE(1970,1,1)</f>
        <v>41793.191875000004</v>
      </c>
      <c r="M3898">
        <f>MONTH(Table1[[#This Row],[Date Created Conversion]])</f>
        <v>6</v>
      </c>
      <c r="N3898">
        <f>YEAR(Table1[[#This Row],[Date Created Conversion]])</f>
        <v>2014</v>
      </c>
      <c r="O3898" t="b">
        <v>0</v>
      </c>
      <c r="P3898">
        <v>4</v>
      </c>
      <c r="Q3898" t="b">
        <v>0</v>
      </c>
      <c r="R3898" t="s">
        <v>8271</v>
      </c>
      <c r="S3898" s="6">
        <f>Table1[[#This Row],[pledged]]/Table1[[#This Row],[goal]]</f>
        <v>0.10625</v>
      </c>
      <c r="T3898" s="8">
        <f>IF(Table1[[#This Row],[pledged]]=0,"no backers",Table1[[#This Row],[pledged]]/Table1[[#This Row],[backers_count]])</f>
        <v>42.5</v>
      </c>
      <c r="U3898" t="str">
        <f>LEFT(Table1[[#This Row],[Category and Sub-Category]],FIND("/",Table1[[#This Row],[Category and Sub-Category]])-1)</f>
        <v>theater</v>
      </c>
      <c r="V3898" t="str">
        <f>RIGHT(Table1[[#This Row],[Category and Sub-Category]],LEN(Table1[[#This Row],[Category and Sub-Category]])-FIND("/",Table1[[#This Row],[Category and Sub-Category]]))</f>
        <v>plays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 s="12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>((Table1[[#This Row],[deadline]]/60)/60/24)+DATE(1970,1,1)</f>
        <v>42012.87364583333</v>
      </c>
      <c r="K3899">
        <v>1418158683</v>
      </c>
      <c r="L3899" s="11">
        <f>((Table1[[#This Row],[launched_at]]/60)/60/24)+DATE(1970,1,1)</f>
        <v>41982.87364583333</v>
      </c>
      <c r="M3899">
        <f>MONTH(Table1[[#This Row],[Date Created Conversion]])</f>
        <v>12</v>
      </c>
      <c r="N3899">
        <f>YEAR(Table1[[#This Row],[Date Created Conversion]])</f>
        <v>2014</v>
      </c>
      <c r="O3899" t="b">
        <v>0</v>
      </c>
      <c r="P3899">
        <v>10</v>
      </c>
      <c r="Q3899" t="b">
        <v>0</v>
      </c>
      <c r="R3899" t="s">
        <v>8271</v>
      </c>
      <c r="S3899" s="6">
        <f>Table1[[#This Row],[pledged]]/Table1[[#This Row],[goal]]</f>
        <v>0.17599999999999999</v>
      </c>
      <c r="T3899" s="8">
        <f>IF(Table1[[#This Row],[pledged]]=0,"no backers",Table1[[#This Row],[pledged]]/Table1[[#This Row],[backers_count]])</f>
        <v>44</v>
      </c>
      <c r="U3899" t="str">
        <f>LEFT(Table1[[#This Row],[Category and Sub-Category]],FIND("/",Table1[[#This Row],[Category and Sub-Category]])-1)</f>
        <v>theater</v>
      </c>
      <c r="V3899" t="str">
        <f>RIGHT(Table1[[#This Row],[Category and Sub-Category]],LEN(Table1[[#This Row],[Category and Sub-Category]])-FIND("/",Table1[[#This Row],[Category and Sub-Category]]))</f>
        <v>plays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 s="12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>((Table1[[#This Row],[deadline]]/60)/60/24)+DATE(1970,1,1)</f>
        <v>42233.666666666672</v>
      </c>
      <c r="K3900">
        <v>1436355270</v>
      </c>
      <c r="L3900" s="11">
        <f>((Table1[[#This Row],[launched_at]]/60)/60/24)+DATE(1970,1,1)</f>
        <v>42193.482291666667</v>
      </c>
      <c r="M3900">
        <f>MONTH(Table1[[#This Row],[Date Created Conversion]])</f>
        <v>7</v>
      </c>
      <c r="N3900">
        <f>YEAR(Table1[[#This Row],[Date Created Conversion]])</f>
        <v>2015</v>
      </c>
      <c r="O3900" t="b">
        <v>0</v>
      </c>
      <c r="P3900">
        <v>16</v>
      </c>
      <c r="Q3900" t="b">
        <v>0</v>
      </c>
      <c r="R3900" t="s">
        <v>8271</v>
      </c>
      <c r="S3900" s="6">
        <f>Table1[[#This Row],[pledged]]/Table1[[#This Row],[goal]]</f>
        <v>0.3256</v>
      </c>
      <c r="T3900" s="8">
        <f>IF(Table1[[#This Row],[pledged]]=0,"no backers",Table1[[#This Row],[pledged]]/Table1[[#This Row],[backers_count]])</f>
        <v>50.875</v>
      </c>
      <c r="U3900" t="str">
        <f>LEFT(Table1[[#This Row],[Category and Sub-Category]],FIND("/",Table1[[#This Row],[Category and Sub-Category]])-1)</f>
        <v>theater</v>
      </c>
      <c r="V3900" t="str">
        <f>RIGHT(Table1[[#This Row],[Category and Sub-Category]],LEN(Table1[[#This Row],[Category and Sub-Category]])-FIND("/",Table1[[#This Row],[Category and Sub-Category]]))</f>
        <v>plays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 s="12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>((Table1[[#This Row],[deadline]]/60)/60/24)+DATE(1970,1,1)</f>
        <v>41863.775011574071</v>
      </c>
      <c r="K3901">
        <v>1406140561</v>
      </c>
      <c r="L3901" s="11">
        <f>((Table1[[#This Row],[launched_at]]/60)/60/24)+DATE(1970,1,1)</f>
        <v>41843.775011574071</v>
      </c>
      <c r="M3901">
        <f>MONTH(Table1[[#This Row],[Date Created Conversion]])</f>
        <v>7</v>
      </c>
      <c r="N3901">
        <f>YEAR(Table1[[#This Row],[Date Created Conversion]])</f>
        <v>2014</v>
      </c>
      <c r="O3901" t="b">
        <v>0</v>
      </c>
      <c r="P3901">
        <v>2</v>
      </c>
      <c r="Q3901" t="b">
        <v>0</v>
      </c>
      <c r="R3901" t="s">
        <v>8271</v>
      </c>
      <c r="S3901" s="6">
        <f>Table1[[#This Row],[pledged]]/Table1[[#This Row],[goal]]</f>
        <v>1.2500000000000001E-2</v>
      </c>
      <c r="T3901" s="8">
        <f>IF(Table1[[#This Row],[pledged]]=0,"no backers",Table1[[#This Row],[pledged]]/Table1[[#This Row],[backers_count]])</f>
        <v>62.5</v>
      </c>
      <c r="U3901" t="str">
        <f>LEFT(Table1[[#This Row],[Category and Sub-Category]],FIND("/",Table1[[#This Row],[Category and Sub-Category]])-1)</f>
        <v>theater</v>
      </c>
      <c r="V3901" t="str">
        <f>RIGHT(Table1[[#This Row],[Category and Sub-Category]],LEN(Table1[[#This Row],[Category and Sub-Category]])-FIND("/",Table1[[#This Row],[Category and Sub-Category]]))</f>
        <v>plays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 s="1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>((Table1[[#This Row],[deadline]]/60)/60/24)+DATE(1970,1,1)</f>
        <v>42166.092488425929</v>
      </c>
      <c r="K3902">
        <v>1431396791</v>
      </c>
      <c r="L3902" s="11">
        <f>((Table1[[#This Row],[launched_at]]/60)/60/24)+DATE(1970,1,1)</f>
        <v>42136.092488425929</v>
      </c>
      <c r="M3902">
        <f>MONTH(Table1[[#This Row],[Date Created Conversion]])</f>
        <v>5</v>
      </c>
      <c r="N3902">
        <f>YEAR(Table1[[#This Row],[Date Created Conversion]])</f>
        <v>2015</v>
      </c>
      <c r="O3902" t="b">
        <v>0</v>
      </c>
      <c r="P3902">
        <v>5</v>
      </c>
      <c r="Q3902" t="b">
        <v>0</v>
      </c>
      <c r="R3902" t="s">
        <v>8271</v>
      </c>
      <c r="S3902" s="6">
        <f>Table1[[#This Row],[pledged]]/Table1[[#This Row],[goal]]</f>
        <v>5.3999999999999999E-2</v>
      </c>
      <c r="T3902" s="8">
        <f>IF(Table1[[#This Row],[pledged]]=0,"no backers",Table1[[#This Row],[pledged]]/Table1[[#This Row],[backers_count]])</f>
        <v>27</v>
      </c>
      <c r="U3902" t="str">
        <f>LEFT(Table1[[#This Row],[Category and Sub-Category]],FIND("/",Table1[[#This Row],[Category and Sub-Category]])-1)</f>
        <v>theater</v>
      </c>
      <c r="V3902" t="str">
        <f>RIGHT(Table1[[#This Row],[Category and Sub-Category]],LEN(Table1[[#This Row],[Category and Sub-Category]])-FIND("/",Table1[[#This Row],[Category and Sub-Category]]))</f>
        <v>plays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 s="12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>((Table1[[#This Row],[deadline]]/60)/60/24)+DATE(1970,1,1)</f>
        <v>42357.826377314821</v>
      </c>
      <c r="K3903">
        <v>1447098599</v>
      </c>
      <c r="L3903" s="11">
        <f>((Table1[[#This Row],[launched_at]]/60)/60/24)+DATE(1970,1,1)</f>
        <v>42317.826377314821</v>
      </c>
      <c r="M3903">
        <f>MONTH(Table1[[#This Row],[Date Created Conversion]])</f>
        <v>11</v>
      </c>
      <c r="N3903">
        <f>YEAR(Table1[[#This Row],[Date Created Conversion]])</f>
        <v>2015</v>
      </c>
      <c r="O3903" t="b">
        <v>0</v>
      </c>
      <c r="P3903">
        <v>1</v>
      </c>
      <c r="Q3903" t="b">
        <v>0</v>
      </c>
      <c r="R3903" t="s">
        <v>8271</v>
      </c>
      <c r="S3903" s="6">
        <f>Table1[[#This Row],[pledged]]/Table1[[#This Row],[goal]]</f>
        <v>8.3333333333333332E-3</v>
      </c>
      <c r="T3903" s="8">
        <f>IF(Table1[[#This Row],[pledged]]=0,"no backers",Table1[[#This Row],[pledged]]/Table1[[#This Row],[backers_count]])</f>
        <v>25</v>
      </c>
      <c r="U3903" t="str">
        <f>LEFT(Table1[[#This Row],[Category and Sub-Category]],FIND("/",Table1[[#This Row],[Category and Sub-Category]])-1)</f>
        <v>theater</v>
      </c>
      <c r="V3903" t="str">
        <f>RIGHT(Table1[[#This Row],[Category and Sub-Category]],LEN(Table1[[#This Row],[Category and Sub-Category]])-FIND("/",Table1[[#This Row],[Category and Sub-Category]]))</f>
        <v>plays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 s="12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>((Table1[[#This Row],[deadline]]/60)/60/24)+DATE(1970,1,1)</f>
        <v>42688.509745370371</v>
      </c>
      <c r="K3904">
        <v>1476962042</v>
      </c>
      <c r="L3904" s="11">
        <f>((Table1[[#This Row],[launched_at]]/60)/60/24)+DATE(1970,1,1)</f>
        <v>42663.468078703707</v>
      </c>
      <c r="M3904">
        <f>MONTH(Table1[[#This Row],[Date Created Conversion]])</f>
        <v>10</v>
      </c>
      <c r="N3904">
        <f>YEAR(Table1[[#This Row],[Date Created Conversion]])</f>
        <v>2016</v>
      </c>
      <c r="O3904" t="b">
        <v>0</v>
      </c>
      <c r="P3904">
        <v>31</v>
      </c>
      <c r="Q3904" t="b">
        <v>0</v>
      </c>
      <c r="R3904" t="s">
        <v>8271</v>
      </c>
      <c r="S3904" s="6">
        <f>Table1[[#This Row],[pledged]]/Table1[[#This Row],[goal]]</f>
        <v>0.48833333333333334</v>
      </c>
      <c r="T3904" s="8">
        <f>IF(Table1[[#This Row],[pledged]]=0,"no backers",Table1[[#This Row],[pledged]]/Table1[[#This Row],[backers_count]])</f>
        <v>47.258064516129032</v>
      </c>
      <c r="U3904" t="str">
        <f>LEFT(Table1[[#This Row],[Category and Sub-Category]],FIND("/",Table1[[#This Row],[Category and Sub-Category]])-1)</f>
        <v>theater</v>
      </c>
      <c r="V3904" t="str">
        <f>RIGHT(Table1[[#This Row],[Category and Sub-Category]],LEN(Table1[[#This Row],[Category and Sub-Category]])-FIND("/",Table1[[#This Row],[Category and Sub-Category]]))</f>
        <v>plays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 s="12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>((Table1[[#This Row],[deadline]]/60)/60/24)+DATE(1970,1,1)</f>
        <v>42230.818055555559</v>
      </c>
      <c r="K3905">
        <v>1435709765</v>
      </c>
      <c r="L3905" s="11">
        <f>((Table1[[#This Row],[launched_at]]/60)/60/24)+DATE(1970,1,1)</f>
        <v>42186.01116898148</v>
      </c>
      <c r="M3905">
        <f>MONTH(Table1[[#This Row],[Date Created Conversion]])</f>
        <v>7</v>
      </c>
      <c r="N3905">
        <f>YEAR(Table1[[#This Row],[Date Created Conversion]])</f>
        <v>2015</v>
      </c>
      <c r="O3905" t="b">
        <v>0</v>
      </c>
      <c r="P3905">
        <v>0</v>
      </c>
      <c r="Q3905" t="b">
        <v>0</v>
      </c>
      <c r="R3905" t="s">
        <v>8271</v>
      </c>
      <c r="S3905" s="6">
        <f>Table1[[#This Row],[pledged]]/Table1[[#This Row],[goal]]</f>
        <v>0</v>
      </c>
      <c r="T3905" s="8" t="str">
        <f>IF(Table1[[#This Row],[pledged]]=0,"no backers",Table1[[#This Row],[pledged]]/Table1[[#This Row],[backers_count]])</f>
        <v>no backers</v>
      </c>
      <c r="U3905" t="str">
        <f>LEFT(Table1[[#This Row],[Category and Sub-Category]],FIND("/",Table1[[#This Row],[Category and Sub-Category]])-1)</f>
        <v>theater</v>
      </c>
      <c r="V3905" t="str">
        <f>RIGHT(Table1[[#This Row],[Category and Sub-Category]],LEN(Table1[[#This Row],[Category and Sub-Category]])-FIND("/",Table1[[#This Row],[Category and Sub-Category]]))</f>
        <v>plays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 s="12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>((Table1[[#This Row],[deadline]]/60)/60/24)+DATE(1970,1,1)</f>
        <v>42109.211111111115</v>
      </c>
      <c r="K3906">
        <v>1427866200</v>
      </c>
      <c r="L3906" s="11">
        <f>((Table1[[#This Row],[launched_at]]/60)/60/24)+DATE(1970,1,1)</f>
        <v>42095.229166666672</v>
      </c>
      <c r="M3906">
        <f>MONTH(Table1[[#This Row],[Date Created Conversion]])</f>
        <v>4</v>
      </c>
      <c r="N3906">
        <f>YEAR(Table1[[#This Row],[Date Created Conversion]])</f>
        <v>2015</v>
      </c>
      <c r="O3906" t="b">
        <v>0</v>
      </c>
      <c r="P3906">
        <v>2</v>
      </c>
      <c r="Q3906" t="b">
        <v>0</v>
      </c>
      <c r="R3906" t="s">
        <v>8271</v>
      </c>
      <c r="S3906" s="6">
        <f>Table1[[#This Row],[pledged]]/Table1[[#This Row],[goal]]</f>
        <v>2.9999999999999997E-4</v>
      </c>
      <c r="T3906" s="8">
        <f>IF(Table1[[#This Row],[pledged]]=0,"no backers",Table1[[#This Row],[pledged]]/Table1[[#This Row],[backers_count]])</f>
        <v>1.5</v>
      </c>
      <c r="U3906" t="str">
        <f>LEFT(Table1[[#This Row],[Category and Sub-Category]],FIND("/",Table1[[#This Row],[Category and Sub-Category]])-1)</f>
        <v>theater</v>
      </c>
      <c r="V3906" t="str">
        <f>RIGHT(Table1[[#This Row],[Category and Sub-Category]],LEN(Table1[[#This Row],[Category and Sub-Category]])-FIND("/",Table1[[#This Row],[Category and Sub-Category]]))</f>
        <v>plays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 s="12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>((Table1[[#This Row],[deadline]]/60)/60/24)+DATE(1970,1,1)</f>
        <v>42166.958333333328</v>
      </c>
      <c r="K3907">
        <v>1430405903</v>
      </c>
      <c r="L3907" s="11">
        <f>((Table1[[#This Row],[launched_at]]/60)/60/24)+DATE(1970,1,1)</f>
        <v>42124.623877314814</v>
      </c>
      <c r="M3907">
        <f>MONTH(Table1[[#This Row],[Date Created Conversion]])</f>
        <v>4</v>
      </c>
      <c r="N3907">
        <f>YEAR(Table1[[#This Row],[Date Created Conversion]])</f>
        <v>2015</v>
      </c>
      <c r="O3907" t="b">
        <v>0</v>
      </c>
      <c r="P3907">
        <v>7</v>
      </c>
      <c r="Q3907" t="b">
        <v>0</v>
      </c>
      <c r="R3907" t="s">
        <v>8271</v>
      </c>
      <c r="S3907" s="6">
        <f>Table1[[#This Row],[pledged]]/Table1[[#This Row],[goal]]</f>
        <v>0.11533333333333333</v>
      </c>
      <c r="T3907" s="8">
        <f>IF(Table1[[#This Row],[pledged]]=0,"no backers",Table1[[#This Row],[pledged]]/Table1[[#This Row],[backers_count]])</f>
        <v>24.714285714285715</v>
      </c>
      <c r="U3907" t="str">
        <f>LEFT(Table1[[#This Row],[Category and Sub-Category]],FIND("/",Table1[[#This Row],[Category and Sub-Category]])-1)</f>
        <v>theater</v>
      </c>
      <c r="V3907" t="str">
        <f>RIGHT(Table1[[#This Row],[Category and Sub-Category]],LEN(Table1[[#This Row],[Category and Sub-Category]])-FIND("/",Table1[[#This Row],[Category and Sub-Category]]))</f>
        <v>plays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 s="12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>((Table1[[#This Row],[deadline]]/60)/60/24)+DATE(1970,1,1)</f>
        <v>42181.559027777781</v>
      </c>
      <c r="K3908">
        <v>1432072893</v>
      </c>
      <c r="L3908" s="11">
        <f>((Table1[[#This Row],[launched_at]]/60)/60/24)+DATE(1970,1,1)</f>
        <v>42143.917743055557</v>
      </c>
      <c r="M3908">
        <f>MONTH(Table1[[#This Row],[Date Created Conversion]])</f>
        <v>5</v>
      </c>
      <c r="N3908">
        <f>YEAR(Table1[[#This Row],[Date Created Conversion]])</f>
        <v>2015</v>
      </c>
      <c r="O3908" t="b">
        <v>0</v>
      </c>
      <c r="P3908">
        <v>16</v>
      </c>
      <c r="Q3908" t="b">
        <v>0</v>
      </c>
      <c r="R3908" t="s">
        <v>8271</v>
      </c>
      <c r="S3908" s="6">
        <f>Table1[[#This Row],[pledged]]/Table1[[#This Row],[goal]]</f>
        <v>0.67333333333333334</v>
      </c>
      <c r="T3908" s="8">
        <f>IF(Table1[[#This Row],[pledged]]=0,"no backers",Table1[[#This Row],[pledged]]/Table1[[#This Row],[backers_count]])</f>
        <v>63.125</v>
      </c>
      <c r="U3908" t="str">
        <f>LEFT(Table1[[#This Row],[Category and Sub-Category]],FIND("/",Table1[[#This Row],[Category and Sub-Category]])-1)</f>
        <v>theater</v>
      </c>
      <c r="V3908" t="str">
        <f>RIGHT(Table1[[#This Row],[Category and Sub-Category]],LEN(Table1[[#This Row],[Category and Sub-Category]])-FIND("/",Table1[[#This Row],[Category and Sub-Category]]))</f>
        <v>plays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 s="12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>((Table1[[#This Row],[deadline]]/60)/60/24)+DATE(1970,1,1)</f>
        <v>41938.838888888888</v>
      </c>
      <c r="K3909">
        <v>1411587606</v>
      </c>
      <c r="L3909" s="11">
        <f>((Table1[[#This Row],[launched_at]]/60)/60/24)+DATE(1970,1,1)</f>
        <v>41906.819513888891</v>
      </c>
      <c r="M3909">
        <f>MONTH(Table1[[#This Row],[Date Created Conversion]])</f>
        <v>9</v>
      </c>
      <c r="N3909">
        <f>YEAR(Table1[[#This Row],[Date Created Conversion]])</f>
        <v>2014</v>
      </c>
      <c r="O3909" t="b">
        <v>0</v>
      </c>
      <c r="P3909">
        <v>4</v>
      </c>
      <c r="Q3909" t="b">
        <v>0</v>
      </c>
      <c r="R3909" t="s">
        <v>8271</v>
      </c>
      <c r="S3909" s="6">
        <f>Table1[[#This Row],[pledged]]/Table1[[#This Row],[goal]]</f>
        <v>0.153</v>
      </c>
      <c r="T3909" s="8">
        <f>IF(Table1[[#This Row],[pledged]]=0,"no backers",Table1[[#This Row],[pledged]]/Table1[[#This Row],[backers_count]])</f>
        <v>38.25</v>
      </c>
      <c r="U3909" t="str">
        <f>LEFT(Table1[[#This Row],[Category and Sub-Category]],FIND("/",Table1[[#This Row],[Category and Sub-Category]])-1)</f>
        <v>theater</v>
      </c>
      <c r="V3909" t="str">
        <f>RIGHT(Table1[[#This Row],[Category and Sub-Category]],LEN(Table1[[#This Row],[Category and Sub-Category]])-FIND("/",Table1[[#This Row],[Category and Sub-Category]]))</f>
        <v>plays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 s="12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>((Table1[[#This Row],[deadline]]/60)/60/24)+DATE(1970,1,1)</f>
        <v>41849.135370370372</v>
      </c>
      <c r="K3910">
        <v>1405307696</v>
      </c>
      <c r="L3910" s="11">
        <f>((Table1[[#This Row],[launched_at]]/60)/60/24)+DATE(1970,1,1)</f>
        <v>41834.135370370372</v>
      </c>
      <c r="M3910">
        <f>MONTH(Table1[[#This Row],[Date Created Conversion]])</f>
        <v>7</v>
      </c>
      <c r="N3910">
        <f>YEAR(Table1[[#This Row],[Date Created Conversion]])</f>
        <v>2014</v>
      </c>
      <c r="O3910" t="b">
        <v>0</v>
      </c>
      <c r="P3910">
        <v>4</v>
      </c>
      <c r="Q3910" t="b">
        <v>0</v>
      </c>
      <c r="R3910" t="s">
        <v>8271</v>
      </c>
      <c r="S3910" s="6">
        <f>Table1[[#This Row],[pledged]]/Table1[[#This Row],[goal]]</f>
        <v>8.666666666666667E-2</v>
      </c>
      <c r="T3910" s="8">
        <f>IF(Table1[[#This Row],[pledged]]=0,"no backers",Table1[[#This Row],[pledged]]/Table1[[#This Row],[backers_count]])</f>
        <v>16.25</v>
      </c>
      <c r="U3910" t="str">
        <f>LEFT(Table1[[#This Row],[Category and Sub-Category]],FIND("/",Table1[[#This Row],[Category and Sub-Category]])-1)</f>
        <v>theater</v>
      </c>
      <c r="V3910" t="str">
        <f>RIGHT(Table1[[#This Row],[Category and Sub-Category]],LEN(Table1[[#This Row],[Category and Sub-Category]])-FIND("/",Table1[[#This Row],[Category and Sub-Category]]))</f>
        <v>plays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 s="12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>((Table1[[#This Row],[deadline]]/60)/60/24)+DATE(1970,1,1)</f>
        <v>41893.359282407408</v>
      </c>
      <c r="K3911">
        <v>1407832642</v>
      </c>
      <c r="L3911" s="11">
        <f>((Table1[[#This Row],[launched_at]]/60)/60/24)+DATE(1970,1,1)</f>
        <v>41863.359282407408</v>
      </c>
      <c r="M3911">
        <f>MONTH(Table1[[#This Row],[Date Created Conversion]])</f>
        <v>8</v>
      </c>
      <c r="N3911">
        <f>YEAR(Table1[[#This Row],[Date Created Conversion]])</f>
        <v>2014</v>
      </c>
      <c r="O3911" t="b">
        <v>0</v>
      </c>
      <c r="P3911">
        <v>4</v>
      </c>
      <c r="Q3911" t="b">
        <v>0</v>
      </c>
      <c r="R3911" t="s">
        <v>8271</v>
      </c>
      <c r="S3911" s="6">
        <f>Table1[[#This Row],[pledged]]/Table1[[#This Row],[goal]]</f>
        <v>2.2499999999999998E-3</v>
      </c>
      <c r="T3911" s="8">
        <f>IF(Table1[[#This Row],[pledged]]=0,"no backers",Table1[[#This Row],[pledged]]/Table1[[#This Row],[backers_count]])</f>
        <v>33.75</v>
      </c>
      <c r="U3911" t="str">
        <f>LEFT(Table1[[#This Row],[Category and Sub-Category]],FIND("/",Table1[[#This Row],[Category and Sub-Category]])-1)</f>
        <v>theater</v>
      </c>
      <c r="V3911" t="str">
        <f>RIGHT(Table1[[#This Row],[Category and Sub-Category]],LEN(Table1[[#This Row],[Category and Sub-Category]])-FIND("/",Table1[[#This Row],[Category and Sub-Category]]))</f>
        <v>plays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 s="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>((Table1[[#This Row],[deadline]]/60)/60/24)+DATE(1970,1,1)</f>
        <v>42254.756909722222</v>
      </c>
      <c r="K3912">
        <v>1439057397</v>
      </c>
      <c r="L3912" s="11">
        <f>((Table1[[#This Row],[launched_at]]/60)/60/24)+DATE(1970,1,1)</f>
        <v>42224.756909722222</v>
      </c>
      <c r="M3912">
        <f>MONTH(Table1[[#This Row],[Date Created Conversion]])</f>
        <v>8</v>
      </c>
      <c r="N3912">
        <f>YEAR(Table1[[#This Row],[Date Created Conversion]])</f>
        <v>2015</v>
      </c>
      <c r="O3912" t="b">
        <v>0</v>
      </c>
      <c r="P3912">
        <v>3</v>
      </c>
      <c r="Q3912" t="b">
        <v>0</v>
      </c>
      <c r="R3912" t="s">
        <v>8271</v>
      </c>
      <c r="S3912" s="6">
        <f>Table1[[#This Row],[pledged]]/Table1[[#This Row],[goal]]</f>
        <v>3.0833333333333334E-2</v>
      </c>
      <c r="T3912" s="8">
        <f>IF(Table1[[#This Row],[pledged]]=0,"no backers",Table1[[#This Row],[pledged]]/Table1[[#This Row],[backers_count]])</f>
        <v>61.666666666666664</v>
      </c>
      <c r="U3912" t="str">
        <f>LEFT(Table1[[#This Row],[Category and Sub-Category]],FIND("/",Table1[[#This Row],[Category and Sub-Category]])-1)</f>
        <v>theater</v>
      </c>
      <c r="V3912" t="str">
        <f>RIGHT(Table1[[#This Row],[Category and Sub-Category]],LEN(Table1[[#This Row],[Category and Sub-Category]])-FIND("/",Table1[[#This Row],[Category and Sub-Category]]))</f>
        <v>plays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 s="12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>((Table1[[#This Row],[deadline]]/60)/60/24)+DATE(1970,1,1)</f>
        <v>41969.853900462964</v>
      </c>
      <c r="K3913">
        <v>1414438177</v>
      </c>
      <c r="L3913" s="11">
        <f>((Table1[[#This Row],[launched_at]]/60)/60/24)+DATE(1970,1,1)</f>
        <v>41939.8122337963</v>
      </c>
      <c r="M3913">
        <f>MONTH(Table1[[#This Row],[Date Created Conversion]])</f>
        <v>10</v>
      </c>
      <c r="N3913">
        <f>YEAR(Table1[[#This Row],[Date Created Conversion]])</f>
        <v>2014</v>
      </c>
      <c r="O3913" t="b">
        <v>0</v>
      </c>
      <c r="P3913">
        <v>36</v>
      </c>
      <c r="Q3913" t="b">
        <v>0</v>
      </c>
      <c r="R3913" t="s">
        <v>8271</v>
      </c>
      <c r="S3913" s="6">
        <f>Table1[[#This Row],[pledged]]/Table1[[#This Row],[goal]]</f>
        <v>0.37412499999999999</v>
      </c>
      <c r="T3913" s="8">
        <f>IF(Table1[[#This Row],[pledged]]=0,"no backers",Table1[[#This Row],[pledged]]/Table1[[#This Row],[backers_count]])</f>
        <v>83.138888888888886</v>
      </c>
      <c r="U3913" t="str">
        <f>LEFT(Table1[[#This Row],[Category and Sub-Category]],FIND("/",Table1[[#This Row],[Category and Sub-Category]])-1)</f>
        <v>theater</v>
      </c>
      <c r="V3913" t="str">
        <f>RIGHT(Table1[[#This Row],[Category and Sub-Category]],LEN(Table1[[#This Row],[Category and Sub-Category]])-FIND("/",Table1[[#This Row],[Category and Sub-Category]]))</f>
        <v>plays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 s="12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>((Table1[[#This Row],[deadline]]/60)/60/24)+DATE(1970,1,1)</f>
        <v>42119.190972222219</v>
      </c>
      <c r="K3914">
        <v>1424759330</v>
      </c>
      <c r="L3914" s="11">
        <f>((Table1[[#This Row],[launched_at]]/60)/60/24)+DATE(1970,1,1)</f>
        <v>42059.270023148143</v>
      </c>
      <c r="M3914">
        <f>MONTH(Table1[[#This Row],[Date Created Conversion]])</f>
        <v>2</v>
      </c>
      <c r="N3914">
        <f>YEAR(Table1[[#This Row],[Date Created Conversion]])</f>
        <v>2015</v>
      </c>
      <c r="O3914" t="b">
        <v>0</v>
      </c>
      <c r="P3914">
        <v>1</v>
      </c>
      <c r="Q3914" t="b">
        <v>0</v>
      </c>
      <c r="R3914" t="s">
        <v>8271</v>
      </c>
      <c r="S3914" s="6">
        <f>Table1[[#This Row],[pledged]]/Table1[[#This Row],[goal]]</f>
        <v>6.666666666666667E-5</v>
      </c>
      <c r="T3914" s="8">
        <f>IF(Table1[[#This Row],[pledged]]=0,"no backers",Table1[[#This Row],[pledged]]/Table1[[#This Row],[backers_count]])</f>
        <v>1</v>
      </c>
      <c r="U3914" t="str">
        <f>LEFT(Table1[[#This Row],[Category and Sub-Category]],FIND("/",Table1[[#This Row],[Category and Sub-Category]])-1)</f>
        <v>theater</v>
      </c>
      <c r="V3914" t="str">
        <f>RIGHT(Table1[[#This Row],[Category and Sub-Category]],LEN(Table1[[#This Row],[Category and Sub-Category]])-FIND("/",Table1[[#This Row],[Category and Sub-Category]]))</f>
        <v>plays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 s="12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>((Table1[[#This Row],[deadline]]/60)/60/24)+DATE(1970,1,1)</f>
        <v>42338.252881944441</v>
      </c>
      <c r="K3915">
        <v>1446267849</v>
      </c>
      <c r="L3915" s="11">
        <f>((Table1[[#This Row],[launched_at]]/60)/60/24)+DATE(1970,1,1)</f>
        <v>42308.211215277777</v>
      </c>
      <c r="M3915">
        <f>MONTH(Table1[[#This Row],[Date Created Conversion]])</f>
        <v>10</v>
      </c>
      <c r="N3915">
        <f>YEAR(Table1[[#This Row],[Date Created Conversion]])</f>
        <v>2015</v>
      </c>
      <c r="O3915" t="b">
        <v>0</v>
      </c>
      <c r="P3915">
        <v>7</v>
      </c>
      <c r="Q3915" t="b">
        <v>0</v>
      </c>
      <c r="R3915" t="s">
        <v>8271</v>
      </c>
      <c r="S3915" s="6">
        <f>Table1[[#This Row],[pledged]]/Table1[[#This Row],[goal]]</f>
        <v>0.1</v>
      </c>
      <c r="T3915" s="8">
        <f>IF(Table1[[#This Row],[pledged]]=0,"no backers",Table1[[#This Row],[pledged]]/Table1[[#This Row],[backers_count]])</f>
        <v>142.85714285714286</v>
      </c>
      <c r="U3915" t="str">
        <f>LEFT(Table1[[#This Row],[Category and Sub-Category]],FIND("/",Table1[[#This Row],[Category and Sub-Category]])-1)</f>
        <v>theater</v>
      </c>
      <c r="V3915" t="str">
        <f>RIGHT(Table1[[#This Row],[Category and Sub-Category]],LEN(Table1[[#This Row],[Category and Sub-Category]])-FIND("/",Table1[[#This Row],[Category and Sub-Category]]))</f>
        <v>plays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 s="12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>((Table1[[#This Row],[deadline]]/60)/60/24)+DATE(1970,1,1)</f>
        <v>42134.957638888889</v>
      </c>
      <c r="K3916">
        <v>1429558756</v>
      </c>
      <c r="L3916" s="11">
        <f>((Table1[[#This Row],[launched_at]]/60)/60/24)+DATE(1970,1,1)</f>
        <v>42114.818935185183</v>
      </c>
      <c r="M3916">
        <f>MONTH(Table1[[#This Row],[Date Created Conversion]])</f>
        <v>4</v>
      </c>
      <c r="N3916">
        <f>YEAR(Table1[[#This Row],[Date Created Conversion]])</f>
        <v>2015</v>
      </c>
      <c r="O3916" t="b">
        <v>0</v>
      </c>
      <c r="P3916">
        <v>27</v>
      </c>
      <c r="Q3916" t="b">
        <v>0</v>
      </c>
      <c r="R3916" t="s">
        <v>8271</v>
      </c>
      <c r="S3916" s="6">
        <f>Table1[[#This Row],[pledged]]/Table1[[#This Row],[goal]]</f>
        <v>0.36359999999999998</v>
      </c>
      <c r="T3916" s="8">
        <f>IF(Table1[[#This Row],[pledged]]=0,"no backers",Table1[[#This Row],[pledged]]/Table1[[#This Row],[backers_count]])</f>
        <v>33.666666666666664</v>
      </c>
      <c r="U3916" t="str">
        <f>LEFT(Table1[[#This Row],[Category and Sub-Category]],FIND("/",Table1[[#This Row],[Category and Sub-Category]])-1)</f>
        <v>theater</v>
      </c>
      <c r="V3916" t="str">
        <f>RIGHT(Table1[[#This Row],[Category and Sub-Category]],LEN(Table1[[#This Row],[Category and Sub-Category]])-FIND("/",Table1[[#This Row],[Category and Sub-Category]]))</f>
        <v>plays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 s="12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>((Table1[[#This Row],[deadline]]/60)/60/24)+DATE(1970,1,1)</f>
        <v>42522.98505787037</v>
      </c>
      <c r="K3917">
        <v>1462232309</v>
      </c>
      <c r="L3917" s="11">
        <f>((Table1[[#This Row],[launched_at]]/60)/60/24)+DATE(1970,1,1)</f>
        <v>42492.98505787037</v>
      </c>
      <c r="M3917">
        <f>MONTH(Table1[[#This Row],[Date Created Conversion]])</f>
        <v>5</v>
      </c>
      <c r="N3917">
        <f>YEAR(Table1[[#This Row],[Date Created Conversion]])</f>
        <v>2016</v>
      </c>
      <c r="O3917" t="b">
        <v>0</v>
      </c>
      <c r="P3917">
        <v>1</v>
      </c>
      <c r="Q3917" t="b">
        <v>0</v>
      </c>
      <c r="R3917" t="s">
        <v>8271</v>
      </c>
      <c r="S3917" s="6">
        <f>Table1[[#This Row],[pledged]]/Table1[[#This Row],[goal]]</f>
        <v>3.3333333333333335E-3</v>
      </c>
      <c r="T3917" s="8">
        <f>IF(Table1[[#This Row],[pledged]]=0,"no backers",Table1[[#This Row],[pledged]]/Table1[[#This Row],[backers_count]])</f>
        <v>5</v>
      </c>
      <c r="U3917" t="str">
        <f>LEFT(Table1[[#This Row],[Category and Sub-Category]],FIND("/",Table1[[#This Row],[Category and Sub-Category]])-1)</f>
        <v>theater</v>
      </c>
      <c r="V3917" t="str">
        <f>RIGHT(Table1[[#This Row],[Category and Sub-Category]],LEN(Table1[[#This Row],[Category and Sub-Category]])-FIND("/",Table1[[#This Row],[Category and Sub-Category]]))</f>
        <v>plays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 s="12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>((Table1[[#This Row],[deadline]]/60)/60/24)+DATE(1970,1,1)</f>
        <v>42524.471666666665</v>
      </c>
      <c r="K3918">
        <v>1462360752</v>
      </c>
      <c r="L3918" s="11">
        <f>((Table1[[#This Row],[launched_at]]/60)/60/24)+DATE(1970,1,1)</f>
        <v>42494.471666666665</v>
      </c>
      <c r="M3918">
        <f>MONTH(Table1[[#This Row],[Date Created Conversion]])</f>
        <v>5</v>
      </c>
      <c r="N3918">
        <f>YEAR(Table1[[#This Row],[Date Created Conversion]])</f>
        <v>2016</v>
      </c>
      <c r="O3918" t="b">
        <v>0</v>
      </c>
      <c r="P3918">
        <v>0</v>
      </c>
      <c r="Q3918" t="b">
        <v>0</v>
      </c>
      <c r="R3918" t="s">
        <v>8271</v>
      </c>
      <c r="S3918" s="6">
        <f>Table1[[#This Row],[pledged]]/Table1[[#This Row],[goal]]</f>
        <v>0</v>
      </c>
      <c r="T3918" s="8" t="str">
        <f>IF(Table1[[#This Row],[pledged]]=0,"no backers",Table1[[#This Row],[pledged]]/Table1[[#This Row],[backers_count]])</f>
        <v>no backers</v>
      </c>
      <c r="U3918" t="str">
        <f>LEFT(Table1[[#This Row],[Category and Sub-Category]],FIND("/",Table1[[#This Row],[Category and Sub-Category]])-1)</f>
        <v>theater</v>
      </c>
      <c r="V3918" t="str">
        <f>RIGHT(Table1[[#This Row],[Category and Sub-Category]],LEN(Table1[[#This Row],[Category and Sub-Category]])-FIND("/",Table1[[#This Row],[Category and Sub-Category]]))</f>
        <v>plays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 s="12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>((Table1[[#This Row],[deadline]]/60)/60/24)+DATE(1970,1,1)</f>
        <v>41893.527326388888</v>
      </c>
      <c r="K3919">
        <v>1407847161</v>
      </c>
      <c r="L3919" s="11">
        <f>((Table1[[#This Row],[launched_at]]/60)/60/24)+DATE(1970,1,1)</f>
        <v>41863.527326388888</v>
      </c>
      <c r="M3919">
        <f>MONTH(Table1[[#This Row],[Date Created Conversion]])</f>
        <v>8</v>
      </c>
      <c r="N3919">
        <f>YEAR(Table1[[#This Row],[Date Created Conversion]])</f>
        <v>2014</v>
      </c>
      <c r="O3919" t="b">
        <v>0</v>
      </c>
      <c r="P3919">
        <v>1</v>
      </c>
      <c r="Q3919" t="b">
        <v>0</v>
      </c>
      <c r="R3919" t="s">
        <v>8271</v>
      </c>
      <c r="S3919" s="6">
        <f>Table1[[#This Row],[pledged]]/Table1[[#This Row],[goal]]</f>
        <v>2.8571428571428571E-3</v>
      </c>
      <c r="T3919" s="8">
        <f>IF(Table1[[#This Row],[pledged]]=0,"no backers",Table1[[#This Row],[pledged]]/Table1[[#This Row],[backers_count]])</f>
        <v>10</v>
      </c>
      <c r="U3919" t="str">
        <f>LEFT(Table1[[#This Row],[Category and Sub-Category]],FIND("/",Table1[[#This Row],[Category and Sub-Category]])-1)</f>
        <v>theater</v>
      </c>
      <c r="V3919" t="str">
        <f>RIGHT(Table1[[#This Row],[Category and Sub-Category]],LEN(Table1[[#This Row],[Category and Sub-Category]])-FIND("/",Table1[[#This Row],[Category and Sub-Category]]))</f>
        <v>plays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 s="12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>((Table1[[#This Row],[deadline]]/60)/60/24)+DATE(1970,1,1)</f>
        <v>41855.666666666664</v>
      </c>
      <c r="K3920">
        <v>1406131023</v>
      </c>
      <c r="L3920" s="11">
        <f>((Table1[[#This Row],[launched_at]]/60)/60/24)+DATE(1970,1,1)</f>
        <v>41843.664618055554</v>
      </c>
      <c r="M3920">
        <f>MONTH(Table1[[#This Row],[Date Created Conversion]])</f>
        <v>7</v>
      </c>
      <c r="N3920">
        <f>YEAR(Table1[[#This Row],[Date Created Conversion]])</f>
        <v>2014</v>
      </c>
      <c r="O3920" t="b">
        <v>0</v>
      </c>
      <c r="P3920">
        <v>3</v>
      </c>
      <c r="Q3920" t="b">
        <v>0</v>
      </c>
      <c r="R3920" t="s">
        <v>8271</v>
      </c>
      <c r="S3920" s="6">
        <f>Table1[[#This Row],[pledged]]/Table1[[#This Row],[goal]]</f>
        <v>2E-3</v>
      </c>
      <c r="T3920" s="8">
        <f>IF(Table1[[#This Row],[pledged]]=0,"no backers",Table1[[#This Row],[pledged]]/Table1[[#This Row],[backers_count]])</f>
        <v>40</v>
      </c>
      <c r="U3920" t="str">
        <f>LEFT(Table1[[#This Row],[Category and Sub-Category]],FIND("/",Table1[[#This Row],[Category and Sub-Category]])-1)</f>
        <v>theater</v>
      </c>
      <c r="V3920" t="str">
        <f>RIGHT(Table1[[#This Row],[Category and Sub-Category]],LEN(Table1[[#This Row],[Category and Sub-Category]])-FIND("/",Table1[[#This Row],[Category and Sub-Category]]))</f>
        <v>plays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 s="12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>((Table1[[#This Row],[deadline]]/60)/60/24)+DATE(1970,1,1)</f>
        <v>42387</v>
      </c>
      <c r="K3921">
        <v>1450628773</v>
      </c>
      <c r="L3921" s="11">
        <f>((Table1[[#This Row],[launched_at]]/60)/60/24)+DATE(1970,1,1)</f>
        <v>42358.684872685189</v>
      </c>
      <c r="M3921">
        <f>MONTH(Table1[[#This Row],[Date Created Conversion]])</f>
        <v>12</v>
      </c>
      <c r="N3921">
        <f>YEAR(Table1[[#This Row],[Date Created Conversion]])</f>
        <v>2015</v>
      </c>
      <c r="O3921" t="b">
        <v>0</v>
      </c>
      <c r="P3921">
        <v>3</v>
      </c>
      <c r="Q3921" t="b">
        <v>0</v>
      </c>
      <c r="R3921" t="s">
        <v>8271</v>
      </c>
      <c r="S3921" s="6">
        <f>Table1[[#This Row],[pledged]]/Table1[[#This Row],[goal]]</f>
        <v>1.7999999999999999E-2</v>
      </c>
      <c r="T3921" s="8">
        <f>IF(Table1[[#This Row],[pledged]]=0,"no backers",Table1[[#This Row],[pledged]]/Table1[[#This Row],[backers_count]])</f>
        <v>30</v>
      </c>
      <c r="U3921" t="str">
        <f>LEFT(Table1[[#This Row],[Category and Sub-Category]],FIND("/",Table1[[#This Row],[Category and Sub-Category]])-1)</f>
        <v>theater</v>
      </c>
      <c r="V3921" t="str">
        <f>RIGHT(Table1[[#This Row],[Category and Sub-Category]],LEN(Table1[[#This Row],[Category and Sub-Category]])-FIND("/",Table1[[#This Row],[Category and Sub-Category]]))</f>
        <v>plays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 s="1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>((Table1[[#This Row],[deadline]]/60)/60/24)+DATE(1970,1,1)</f>
        <v>42687.428935185191</v>
      </c>
      <c r="K3922">
        <v>1476436660</v>
      </c>
      <c r="L3922" s="11">
        <f>((Table1[[#This Row],[launched_at]]/60)/60/24)+DATE(1970,1,1)</f>
        <v>42657.38726851852</v>
      </c>
      <c r="M3922">
        <f>MONTH(Table1[[#This Row],[Date Created Conversion]])</f>
        <v>10</v>
      </c>
      <c r="N3922">
        <f>YEAR(Table1[[#This Row],[Date Created Conversion]])</f>
        <v>2016</v>
      </c>
      <c r="O3922" t="b">
        <v>0</v>
      </c>
      <c r="P3922">
        <v>3</v>
      </c>
      <c r="Q3922" t="b">
        <v>0</v>
      </c>
      <c r="R3922" t="s">
        <v>8271</v>
      </c>
      <c r="S3922" s="6">
        <f>Table1[[#This Row],[pledged]]/Table1[[#This Row],[goal]]</f>
        <v>5.3999999999999999E-2</v>
      </c>
      <c r="T3922" s="8">
        <f>IF(Table1[[#This Row],[pledged]]=0,"no backers",Table1[[#This Row],[pledged]]/Table1[[#This Row],[backers_count]])</f>
        <v>45</v>
      </c>
      <c r="U3922" t="str">
        <f>LEFT(Table1[[#This Row],[Category and Sub-Category]],FIND("/",Table1[[#This Row],[Category and Sub-Category]])-1)</f>
        <v>theater</v>
      </c>
      <c r="V3922" t="str">
        <f>RIGHT(Table1[[#This Row],[Category and Sub-Category]],LEN(Table1[[#This Row],[Category and Sub-Category]])-FIND("/",Table1[[#This Row],[Category and Sub-Category]]))</f>
        <v>plays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 s="12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>((Table1[[#This Row],[deadline]]/60)/60/24)+DATE(1970,1,1)</f>
        <v>41938.75</v>
      </c>
      <c r="K3923">
        <v>1413291655</v>
      </c>
      <c r="L3923" s="11">
        <f>((Table1[[#This Row],[launched_at]]/60)/60/24)+DATE(1970,1,1)</f>
        <v>41926.542303240742</v>
      </c>
      <c r="M3923">
        <f>MONTH(Table1[[#This Row],[Date Created Conversion]])</f>
        <v>10</v>
      </c>
      <c r="N3923">
        <f>YEAR(Table1[[#This Row],[Date Created Conversion]])</f>
        <v>2014</v>
      </c>
      <c r="O3923" t="b">
        <v>0</v>
      </c>
      <c r="P3923">
        <v>0</v>
      </c>
      <c r="Q3923" t="b">
        <v>0</v>
      </c>
      <c r="R3923" t="s">
        <v>8271</v>
      </c>
      <c r="S3923" s="6">
        <f>Table1[[#This Row],[pledged]]/Table1[[#This Row],[goal]]</f>
        <v>0</v>
      </c>
      <c r="T3923" s="8" t="str">
        <f>IF(Table1[[#This Row],[pledged]]=0,"no backers",Table1[[#This Row],[pledged]]/Table1[[#This Row],[backers_count]])</f>
        <v>no backers</v>
      </c>
      <c r="U3923" t="str">
        <f>LEFT(Table1[[#This Row],[Category and Sub-Category]],FIND("/",Table1[[#This Row],[Category and Sub-Category]])-1)</f>
        <v>theater</v>
      </c>
      <c r="V3923" t="str">
        <f>RIGHT(Table1[[#This Row],[Category and Sub-Category]],LEN(Table1[[#This Row],[Category and Sub-Category]])-FIND("/",Table1[[#This Row],[Category and Sub-Category]]))</f>
        <v>plays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 s="12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>((Table1[[#This Row],[deadline]]/60)/60/24)+DATE(1970,1,1)</f>
        <v>42065.958333333328</v>
      </c>
      <c r="K3924">
        <v>1421432810</v>
      </c>
      <c r="L3924" s="11">
        <f>((Table1[[#This Row],[launched_at]]/60)/60/24)+DATE(1970,1,1)</f>
        <v>42020.768634259264</v>
      </c>
      <c r="M3924">
        <f>MONTH(Table1[[#This Row],[Date Created Conversion]])</f>
        <v>1</v>
      </c>
      <c r="N3924">
        <f>YEAR(Table1[[#This Row],[Date Created Conversion]])</f>
        <v>2015</v>
      </c>
      <c r="O3924" t="b">
        <v>0</v>
      </c>
      <c r="P3924">
        <v>6</v>
      </c>
      <c r="Q3924" t="b">
        <v>0</v>
      </c>
      <c r="R3924" t="s">
        <v>8271</v>
      </c>
      <c r="S3924" s="6">
        <f>Table1[[#This Row],[pledged]]/Table1[[#This Row],[goal]]</f>
        <v>8.1333333333333327E-2</v>
      </c>
      <c r="T3924" s="8">
        <f>IF(Table1[[#This Row],[pledged]]=0,"no backers",Table1[[#This Row],[pledged]]/Table1[[#This Row],[backers_count]])</f>
        <v>10.166666666666666</v>
      </c>
      <c r="U3924" t="str">
        <f>LEFT(Table1[[#This Row],[Category and Sub-Category]],FIND("/",Table1[[#This Row],[Category and Sub-Category]])-1)</f>
        <v>theater</v>
      </c>
      <c r="V3924" t="str">
        <f>RIGHT(Table1[[#This Row],[Category and Sub-Category]],LEN(Table1[[#This Row],[Category and Sub-Category]])-FIND("/",Table1[[#This Row],[Category and Sub-Category]]))</f>
        <v>plays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 s="12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>((Table1[[#This Row],[deadline]]/60)/60/24)+DATE(1970,1,1)</f>
        <v>42103.979988425926</v>
      </c>
      <c r="K3925">
        <v>1426203071</v>
      </c>
      <c r="L3925" s="11">
        <f>((Table1[[#This Row],[launched_at]]/60)/60/24)+DATE(1970,1,1)</f>
        <v>42075.979988425926</v>
      </c>
      <c r="M3925">
        <f>MONTH(Table1[[#This Row],[Date Created Conversion]])</f>
        <v>3</v>
      </c>
      <c r="N3925">
        <f>YEAR(Table1[[#This Row],[Date Created Conversion]])</f>
        <v>2015</v>
      </c>
      <c r="O3925" t="b">
        <v>0</v>
      </c>
      <c r="P3925">
        <v>17</v>
      </c>
      <c r="Q3925" t="b">
        <v>0</v>
      </c>
      <c r="R3925" t="s">
        <v>8271</v>
      </c>
      <c r="S3925" s="6">
        <f>Table1[[#This Row],[pledged]]/Table1[[#This Row],[goal]]</f>
        <v>0.12034782608695652</v>
      </c>
      <c r="T3925" s="8">
        <f>IF(Table1[[#This Row],[pledged]]=0,"no backers",Table1[[#This Row],[pledged]]/Table1[[#This Row],[backers_count]])</f>
        <v>81.411764705882348</v>
      </c>
      <c r="U3925" t="str">
        <f>LEFT(Table1[[#This Row],[Category and Sub-Category]],FIND("/",Table1[[#This Row],[Category and Sub-Category]])-1)</f>
        <v>theater</v>
      </c>
      <c r="V3925" t="str">
        <f>RIGHT(Table1[[#This Row],[Category and Sub-Category]],LEN(Table1[[#This Row],[Category and Sub-Category]])-FIND("/",Table1[[#This Row],[Category and Sub-Category]]))</f>
        <v>plays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 s="12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>((Table1[[#This Row],[deadline]]/60)/60/24)+DATE(1970,1,1)</f>
        <v>41816.959745370368</v>
      </c>
      <c r="K3926">
        <v>1401231722</v>
      </c>
      <c r="L3926" s="11">
        <f>((Table1[[#This Row],[launched_at]]/60)/60/24)+DATE(1970,1,1)</f>
        <v>41786.959745370368</v>
      </c>
      <c r="M3926">
        <f>MONTH(Table1[[#This Row],[Date Created Conversion]])</f>
        <v>5</v>
      </c>
      <c r="N3926">
        <f>YEAR(Table1[[#This Row],[Date Created Conversion]])</f>
        <v>2014</v>
      </c>
      <c r="O3926" t="b">
        <v>0</v>
      </c>
      <c r="P3926">
        <v>40</v>
      </c>
      <c r="Q3926" t="b">
        <v>0</v>
      </c>
      <c r="R3926" t="s">
        <v>8271</v>
      </c>
      <c r="S3926" s="6">
        <f>Table1[[#This Row],[pledged]]/Table1[[#This Row],[goal]]</f>
        <v>0.15266666666666667</v>
      </c>
      <c r="T3926" s="8">
        <f>IF(Table1[[#This Row],[pledged]]=0,"no backers",Table1[[#This Row],[pledged]]/Table1[[#This Row],[backers_count]])</f>
        <v>57.25</v>
      </c>
      <c r="U3926" t="str">
        <f>LEFT(Table1[[#This Row],[Category and Sub-Category]],FIND("/",Table1[[#This Row],[Category and Sub-Category]])-1)</f>
        <v>theater</v>
      </c>
      <c r="V3926" t="str">
        <f>RIGHT(Table1[[#This Row],[Category and Sub-Category]],LEN(Table1[[#This Row],[Category and Sub-Category]])-FIND("/",Table1[[#This Row],[Category and Sub-Category]]))</f>
        <v>plays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 s="12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>((Table1[[#This Row],[deadline]]/60)/60/24)+DATE(1970,1,1)</f>
        <v>41850.870821759258</v>
      </c>
      <c r="K3927">
        <v>1404161639</v>
      </c>
      <c r="L3927" s="11">
        <f>((Table1[[#This Row],[launched_at]]/60)/60/24)+DATE(1970,1,1)</f>
        <v>41820.870821759258</v>
      </c>
      <c r="M3927">
        <f>MONTH(Table1[[#This Row],[Date Created Conversion]])</f>
        <v>6</v>
      </c>
      <c r="N3927">
        <f>YEAR(Table1[[#This Row],[Date Created Conversion]])</f>
        <v>2014</v>
      </c>
      <c r="O3927" t="b">
        <v>0</v>
      </c>
      <c r="P3927">
        <v>3</v>
      </c>
      <c r="Q3927" t="b">
        <v>0</v>
      </c>
      <c r="R3927" t="s">
        <v>8271</v>
      </c>
      <c r="S3927" s="6">
        <f>Table1[[#This Row],[pledged]]/Table1[[#This Row],[goal]]</f>
        <v>0.1</v>
      </c>
      <c r="T3927" s="8">
        <f>IF(Table1[[#This Row],[pledged]]=0,"no backers",Table1[[#This Row],[pledged]]/Table1[[#This Row],[backers_count]])</f>
        <v>5</v>
      </c>
      <c r="U3927" t="str">
        <f>LEFT(Table1[[#This Row],[Category and Sub-Category]],FIND("/",Table1[[#This Row],[Category and Sub-Category]])-1)</f>
        <v>theater</v>
      </c>
      <c r="V3927" t="str">
        <f>RIGHT(Table1[[#This Row],[Category and Sub-Category]],LEN(Table1[[#This Row],[Category and Sub-Category]])-FIND("/",Table1[[#This Row],[Category and Sub-Category]]))</f>
        <v>plays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 s="12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>((Table1[[#This Row],[deadline]]/60)/60/24)+DATE(1970,1,1)</f>
        <v>42000.085046296299</v>
      </c>
      <c r="K3928">
        <v>1417053748</v>
      </c>
      <c r="L3928" s="11">
        <f>((Table1[[#This Row],[launched_at]]/60)/60/24)+DATE(1970,1,1)</f>
        <v>41970.085046296299</v>
      </c>
      <c r="M3928">
        <f>MONTH(Table1[[#This Row],[Date Created Conversion]])</f>
        <v>11</v>
      </c>
      <c r="N3928">
        <f>YEAR(Table1[[#This Row],[Date Created Conversion]])</f>
        <v>2014</v>
      </c>
      <c r="O3928" t="b">
        <v>0</v>
      </c>
      <c r="P3928">
        <v>1</v>
      </c>
      <c r="Q3928" t="b">
        <v>0</v>
      </c>
      <c r="R3928" t="s">
        <v>8271</v>
      </c>
      <c r="S3928" s="6">
        <f>Table1[[#This Row],[pledged]]/Table1[[#This Row],[goal]]</f>
        <v>3.0000000000000001E-3</v>
      </c>
      <c r="T3928" s="8">
        <f>IF(Table1[[#This Row],[pledged]]=0,"no backers",Table1[[#This Row],[pledged]]/Table1[[#This Row],[backers_count]])</f>
        <v>15</v>
      </c>
      <c r="U3928" t="str">
        <f>LEFT(Table1[[#This Row],[Category and Sub-Category]],FIND("/",Table1[[#This Row],[Category and Sub-Category]])-1)</f>
        <v>theater</v>
      </c>
      <c r="V3928" t="str">
        <f>RIGHT(Table1[[#This Row],[Category and Sub-Category]],LEN(Table1[[#This Row],[Category and Sub-Category]])-FIND("/",Table1[[#This Row],[Category and Sub-Category]]))</f>
        <v>plays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 s="12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>((Table1[[#This Row],[deadline]]/60)/60/24)+DATE(1970,1,1)</f>
        <v>41860.267407407409</v>
      </c>
      <c r="K3929">
        <v>1404973504</v>
      </c>
      <c r="L3929" s="11">
        <f>((Table1[[#This Row],[launched_at]]/60)/60/24)+DATE(1970,1,1)</f>
        <v>41830.267407407409</v>
      </c>
      <c r="M3929">
        <f>MONTH(Table1[[#This Row],[Date Created Conversion]])</f>
        <v>7</v>
      </c>
      <c r="N3929">
        <f>YEAR(Table1[[#This Row],[Date Created Conversion]])</f>
        <v>2014</v>
      </c>
      <c r="O3929" t="b">
        <v>0</v>
      </c>
      <c r="P3929">
        <v>2</v>
      </c>
      <c r="Q3929" t="b">
        <v>0</v>
      </c>
      <c r="R3929" t="s">
        <v>8271</v>
      </c>
      <c r="S3929" s="6">
        <f>Table1[[#This Row],[pledged]]/Table1[[#This Row],[goal]]</f>
        <v>0.01</v>
      </c>
      <c r="T3929" s="8">
        <f>IF(Table1[[#This Row],[pledged]]=0,"no backers",Table1[[#This Row],[pledged]]/Table1[[#This Row],[backers_count]])</f>
        <v>12.5</v>
      </c>
      <c r="U3929" t="str">
        <f>LEFT(Table1[[#This Row],[Category and Sub-Category]],FIND("/",Table1[[#This Row],[Category and Sub-Category]])-1)</f>
        <v>theater</v>
      </c>
      <c r="V3929" t="str">
        <f>RIGHT(Table1[[#This Row],[Category and Sub-Category]],LEN(Table1[[#This Row],[Category and Sub-Category]])-FIND("/",Table1[[#This Row],[Category and Sub-Category]]))</f>
        <v>plays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 s="12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>((Table1[[#This Row],[deadline]]/60)/60/24)+DATE(1970,1,1)</f>
        <v>42293.207638888889</v>
      </c>
      <c r="K3930">
        <v>1442593427</v>
      </c>
      <c r="L3930" s="11">
        <f>((Table1[[#This Row],[launched_at]]/60)/60/24)+DATE(1970,1,1)</f>
        <v>42265.683182870373</v>
      </c>
      <c r="M3930">
        <f>MONTH(Table1[[#This Row],[Date Created Conversion]])</f>
        <v>9</v>
      </c>
      <c r="N3930">
        <f>YEAR(Table1[[#This Row],[Date Created Conversion]])</f>
        <v>2015</v>
      </c>
      <c r="O3930" t="b">
        <v>0</v>
      </c>
      <c r="P3930">
        <v>7</v>
      </c>
      <c r="Q3930" t="b">
        <v>0</v>
      </c>
      <c r="R3930" t="s">
        <v>8271</v>
      </c>
      <c r="S3930" s="6">
        <f>Table1[[#This Row],[pledged]]/Table1[[#This Row],[goal]]</f>
        <v>0.13020000000000001</v>
      </c>
      <c r="T3930" s="8">
        <f>IF(Table1[[#This Row],[pledged]]=0,"no backers",Table1[[#This Row],[pledged]]/Table1[[#This Row],[backers_count]])</f>
        <v>93</v>
      </c>
      <c r="U3930" t="str">
        <f>LEFT(Table1[[#This Row],[Category and Sub-Category]],FIND("/",Table1[[#This Row],[Category and Sub-Category]])-1)</f>
        <v>theater</v>
      </c>
      <c r="V3930" t="str">
        <f>RIGHT(Table1[[#This Row],[Category and Sub-Category]],LEN(Table1[[#This Row],[Category and Sub-Category]])-FIND("/",Table1[[#This Row],[Category and Sub-Category]]))</f>
        <v>plays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 s="12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>((Table1[[#This Row],[deadline]]/60)/60/24)+DATE(1970,1,1)</f>
        <v>42631.827141203699</v>
      </c>
      <c r="K3931">
        <v>1471636265</v>
      </c>
      <c r="L3931" s="11">
        <f>((Table1[[#This Row],[launched_at]]/60)/60/24)+DATE(1970,1,1)</f>
        <v>42601.827141203699</v>
      </c>
      <c r="M3931">
        <f>MONTH(Table1[[#This Row],[Date Created Conversion]])</f>
        <v>8</v>
      </c>
      <c r="N3931">
        <f>YEAR(Table1[[#This Row],[Date Created Conversion]])</f>
        <v>2016</v>
      </c>
      <c r="O3931" t="b">
        <v>0</v>
      </c>
      <c r="P3931">
        <v>14</v>
      </c>
      <c r="Q3931" t="b">
        <v>0</v>
      </c>
      <c r="R3931" t="s">
        <v>8271</v>
      </c>
      <c r="S3931" s="6">
        <f>Table1[[#This Row],[pledged]]/Table1[[#This Row],[goal]]</f>
        <v>2.265E-2</v>
      </c>
      <c r="T3931" s="8">
        <f>IF(Table1[[#This Row],[pledged]]=0,"no backers",Table1[[#This Row],[pledged]]/Table1[[#This Row],[backers_count]])</f>
        <v>32.357142857142854</v>
      </c>
      <c r="U3931" t="str">
        <f>LEFT(Table1[[#This Row],[Category and Sub-Category]],FIND("/",Table1[[#This Row],[Category and Sub-Category]])-1)</f>
        <v>theater</v>
      </c>
      <c r="V3931" t="str">
        <f>RIGHT(Table1[[#This Row],[Category and Sub-Category]],LEN(Table1[[#This Row],[Category and Sub-Category]])-FIND("/",Table1[[#This Row],[Category and Sub-Category]]))</f>
        <v>plays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 s="1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>((Table1[[#This Row],[deadline]]/60)/60/24)+DATE(1970,1,1)</f>
        <v>42461.25</v>
      </c>
      <c r="K3932">
        <v>1457078868</v>
      </c>
      <c r="L3932" s="11">
        <f>((Table1[[#This Row],[launched_at]]/60)/60/24)+DATE(1970,1,1)</f>
        <v>42433.338749999995</v>
      </c>
      <c r="M3932">
        <f>MONTH(Table1[[#This Row],[Date Created Conversion]])</f>
        <v>3</v>
      </c>
      <c r="N3932">
        <f>YEAR(Table1[[#This Row],[Date Created Conversion]])</f>
        <v>2016</v>
      </c>
      <c r="O3932" t="b">
        <v>0</v>
      </c>
      <c r="P3932">
        <v>0</v>
      </c>
      <c r="Q3932" t="b">
        <v>0</v>
      </c>
      <c r="R3932" t="s">
        <v>8271</v>
      </c>
      <c r="S3932" s="6">
        <f>Table1[[#This Row],[pledged]]/Table1[[#This Row],[goal]]</f>
        <v>0</v>
      </c>
      <c r="T3932" s="8" t="str">
        <f>IF(Table1[[#This Row],[pledged]]=0,"no backers",Table1[[#This Row],[pledged]]/Table1[[#This Row],[backers_count]])</f>
        <v>no backers</v>
      </c>
      <c r="U3932" t="str">
        <f>LEFT(Table1[[#This Row],[Category and Sub-Category]],FIND("/",Table1[[#This Row],[Category and Sub-Category]])-1)</f>
        <v>theater</v>
      </c>
      <c r="V3932" t="str">
        <f>RIGHT(Table1[[#This Row],[Category and Sub-Category]],LEN(Table1[[#This Row],[Category and Sub-Category]])-FIND("/",Table1[[#This Row],[Category and Sub-Category]]))</f>
        <v>plays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 s="12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>((Table1[[#This Row],[deadline]]/60)/60/24)+DATE(1970,1,1)</f>
        <v>42253.151701388888</v>
      </c>
      <c r="K3933">
        <v>1439350707</v>
      </c>
      <c r="L3933" s="11">
        <f>((Table1[[#This Row],[launched_at]]/60)/60/24)+DATE(1970,1,1)</f>
        <v>42228.151701388888</v>
      </c>
      <c r="M3933">
        <f>MONTH(Table1[[#This Row],[Date Created Conversion]])</f>
        <v>8</v>
      </c>
      <c r="N3933">
        <f>YEAR(Table1[[#This Row],[Date Created Conversion]])</f>
        <v>2015</v>
      </c>
      <c r="O3933" t="b">
        <v>0</v>
      </c>
      <c r="P3933">
        <v>0</v>
      </c>
      <c r="Q3933" t="b">
        <v>0</v>
      </c>
      <c r="R3933" t="s">
        <v>8271</v>
      </c>
      <c r="S3933" s="6">
        <f>Table1[[#This Row],[pledged]]/Table1[[#This Row],[goal]]</f>
        <v>0</v>
      </c>
      <c r="T3933" s="8" t="str">
        <f>IF(Table1[[#This Row],[pledged]]=0,"no backers",Table1[[#This Row],[pledged]]/Table1[[#This Row],[backers_count]])</f>
        <v>no backers</v>
      </c>
      <c r="U3933" t="str">
        <f>LEFT(Table1[[#This Row],[Category and Sub-Category]],FIND("/",Table1[[#This Row],[Category and Sub-Category]])-1)</f>
        <v>theater</v>
      </c>
      <c r="V3933" t="str">
        <f>RIGHT(Table1[[#This Row],[Category and Sub-Category]],LEN(Table1[[#This Row],[Category and Sub-Category]])-FIND("/",Table1[[#This Row],[Category and Sub-Category]]))</f>
        <v>plays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 s="12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>((Table1[[#This Row],[deadline]]/60)/60/24)+DATE(1970,1,1)</f>
        <v>42445.126898148148</v>
      </c>
      <c r="K3934">
        <v>1455508964</v>
      </c>
      <c r="L3934" s="11">
        <f>((Table1[[#This Row],[launched_at]]/60)/60/24)+DATE(1970,1,1)</f>
        <v>42415.168564814812</v>
      </c>
      <c r="M3934">
        <f>MONTH(Table1[[#This Row],[Date Created Conversion]])</f>
        <v>2</v>
      </c>
      <c r="N3934">
        <f>YEAR(Table1[[#This Row],[Date Created Conversion]])</f>
        <v>2016</v>
      </c>
      <c r="O3934" t="b">
        <v>0</v>
      </c>
      <c r="P3934">
        <v>1</v>
      </c>
      <c r="Q3934" t="b">
        <v>0</v>
      </c>
      <c r="R3934" t="s">
        <v>8271</v>
      </c>
      <c r="S3934" s="6">
        <f>Table1[[#This Row],[pledged]]/Table1[[#This Row],[goal]]</f>
        <v>8.3333333333333331E-5</v>
      </c>
      <c r="T3934" s="8">
        <f>IF(Table1[[#This Row],[pledged]]=0,"no backers",Table1[[#This Row],[pledged]]/Table1[[#This Row],[backers_count]])</f>
        <v>1</v>
      </c>
      <c r="U3934" t="str">
        <f>LEFT(Table1[[#This Row],[Category and Sub-Category]],FIND("/",Table1[[#This Row],[Category and Sub-Category]])-1)</f>
        <v>theater</v>
      </c>
      <c r="V3934" t="str">
        <f>RIGHT(Table1[[#This Row],[Category and Sub-Category]],LEN(Table1[[#This Row],[Category and Sub-Category]])-FIND("/",Table1[[#This Row],[Category and Sub-Category]]))</f>
        <v>plays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 s="12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>((Table1[[#This Row],[deadline]]/60)/60/24)+DATE(1970,1,1)</f>
        <v>42568.029861111107</v>
      </c>
      <c r="K3935">
        <v>1466205262</v>
      </c>
      <c r="L3935" s="11">
        <f>((Table1[[#This Row],[launched_at]]/60)/60/24)+DATE(1970,1,1)</f>
        <v>42538.968310185184</v>
      </c>
      <c r="M3935">
        <f>MONTH(Table1[[#This Row],[Date Created Conversion]])</f>
        <v>6</v>
      </c>
      <c r="N3935">
        <f>YEAR(Table1[[#This Row],[Date Created Conversion]])</f>
        <v>2016</v>
      </c>
      <c r="O3935" t="b">
        <v>0</v>
      </c>
      <c r="P3935">
        <v>12</v>
      </c>
      <c r="Q3935" t="b">
        <v>0</v>
      </c>
      <c r="R3935" t="s">
        <v>8271</v>
      </c>
      <c r="S3935" s="6">
        <f>Table1[[#This Row],[pledged]]/Table1[[#This Row],[goal]]</f>
        <v>0.15742857142857142</v>
      </c>
      <c r="T3935" s="8">
        <f>IF(Table1[[#This Row],[pledged]]=0,"no backers",Table1[[#This Row],[pledged]]/Table1[[#This Row],[backers_count]])</f>
        <v>91.833333333333329</v>
      </c>
      <c r="U3935" t="str">
        <f>LEFT(Table1[[#This Row],[Category and Sub-Category]],FIND("/",Table1[[#This Row],[Category and Sub-Category]])-1)</f>
        <v>theater</v>
      </c>
      <c r="V3935" t="str">
        <f>RIGHT(Table1[[#This Row],[Category and Sub-Category]],LEN(Table1[[#This Row],[Category and Sub-Category]])-FIND("/",Table1[[#This Row],[Category and Sub-Category]]))</f>
        <v>plays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 s="12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>((Table1[[#This Row],[deadline]]/60)/60/24)+DATE(1970,1,1)</f>
        <v>42278.541666666672</v>
      </c>
      <c r="K3936">
        <v>1439827639</v>
      </c>
      <c r="L3936" s="11">
        <f>((Table1[[#This Row],[launched_at]]/60)/60/24)+DATE(1970,1,1)</f>
        <v>42233.671747685185</v>
      </c>
      <c r="M3936">
        <f>MONTH(Table1[[#This Row],[Date Created Conversion]])</f>
        <v>8</v>
      </c>
      <c r="N3936">
        <f>YEAR(Table1[[#This Row],[Date Created Conversion]])</f>
        <v>2015</v>
      </c>
      <c r="O3936" t="b">
        <v>0</v>
      </c>
      <c r="P3936">
        <v>12</v>
      </c>
      <c r="Q3936" t="b">
        <v>0</v>
      </c>
      <c r="R3936" t="s">
        <v>8271</v>
      </c>
      <c r="S3936" s="6">
        <f>Table1[[#This Row],[pledged]]/Table1[[#This Row],[goal]]</f>
        <v>0.11</v>
      </c>
      <c r="T3936" s="8">
        <f>IF(Table1[[#This Row],[pledged]]=0,"no backers",Table1[[#This Row],[pledged]]/Table1[[#This Row],[backers_count]])</f>
        <v>45.833333333333336</v>
      </c>
      <c r="U3936" t="str">
        <f>LEFT(Table1[[#This Row],[Category and Sub-Category]],FIND("/",Table1[[#This Row],[Category and Sub-Category]])-1)</f>
        <v>theater</v>
      </c>
      <c r="V3936" t="str">
        <f>RIGHT(Table1[[#This Row],[Category and Sub-Category]],LEN(Table1[[#This Row],[Category and Sub-Category]])-FIND("/",Table1[[#This Row],[Category and Sub-Category]]))</f>
        <v>plays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 s="12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>((Table1[[#This Row],[deadline]]/60)/60/24)+DATE(1970,1,1)</f>
        <v>42281.656782407401</v>
      </c>
      <c r="K3937">
        <v>1438789546</v>
      </c>
      <c r="L3937" s="11">
        <f>((Table1[[#This Row],[launched_at]]/60)/60/24)+DATE(1970,1,1)</f>
        <v>42221.656782407401</v>
      </c>
      <c r="M3937">
        <f>MONTH(Table1[[#This Row],[Date Created Conversion]])</f>
        <v>8</v>
      </c>
      <c r="N3937">
        <f>YEAR(Table1[[#This Row],[Date Created Conversion]])</f>
        <v>2015</v>
      </c>
      <c r="O3937" t="b">
        <v>0</v>
      </c>
      <c r="P3937">
        <v>23</v>
      </c>
      <c r="Q3937" t="b">
        <v>0</v>
      </c>
      <c r="R3937" t="s">
        <v>8271</v>
      </c>
      <c r="S3937" s="6">
        <f>Table1[[#This Row],[pledged]]/Table1[[#This Row],[goal]]</f>
        <v>0.43833333333333335</v>
      </c>
      <c r="T3937" s="8">
        <f>IF(Table1[[#This Row],[pledged]]=0,"no backers",Table1[[#This Row],[pledged]]/Table1[[#This Row],[backers_count]])</f>
        <v>57.173913043478258</v>
      </c>
      <c r="U3937" t="str">
        <f>LEFT(Table1[[#This Row],[Category and Sub-Category]],FIND("/",Table1[[#This Row],[Category and Sub-Category]])-1)</f>
        <v>theater</v>
      </c>
      <c r="V3937" t="str">
        <f>RIGHT(Table1[[#This Row],[Category and Sub-Category]],LEN(Table1[[#This Row],[Category and Sub-Category]])-FIND("/",Table1[[#This Row],[Category and Sub-Category]]))</f>
        <v>plays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 s="12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>((Table1[[#This Row],[deadline]]/60)/60/24)+DATE(1970,1,1)</f>
        <v>42705.304629629631</v>
      </c>
      <c r="K3938">
        <v>1477981120</v>
      </c>
      <c r="L3938" s="11">
        <f>((Table1[[#This Row],[launched_at]]/60)/60/24)+DATE(1970,1,1)</f>
        <v>42675.262962962966</v>
      </c>
      <c r="M3938">
        <f>MONTH(Table1[[#This Row],[Date Created Conversion]])</f>
        <v>11</v>
      </c>
      <c r="N3938">
        <f>YEAR(Table1[[#This Row],[Date Created Conversion]])</f>
        <v>2016</v>
      </c>
      <c r="O3938" t="b">
        <v>0</v>
      </c>
      <c r="P3938">
        <v>0</v>
      </c>
      <c r="Q3938" t="b">
        <v>0</v>
      </c>
      <c r="R3938" t="s">
        <v>8271</v>
      </c>
      <c r="S3938" s="6">
        <f>Table1[[#This Row],[pledged]]/Table1[[#This Row],[goal]]</f>
        <v>0</v>
      </c>
      <c r="T3938" s="8" t="str">
        <f>IF(Table1[[#This Row],[pledged]]=0,"no backers",Table1[[#This Row],[pledged]]/Table1[[#This Row],[backers_count]])</f>
        <v>no backers</v>
      </c>
      <c r="U3938" t="str">
        <f>LEFT(Table1[[#This Row],[Category and Sub-Category]],FIND("/",Table1[[#This Row],[Category and Sub-Category]])-1)</f>
        <v>theater</v>
      </c>
      <c r="V3938" t="str">
        <f>RIGHT(Table1[[#This Row],[Category and Sub-Category]],LEN(Table1[[#This Row],[Category and Sub-Category]])-FIND("/",Table1[[#This Row],[Category and Sub-Category]]))</f>
        <v>plays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 s="12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>((Table1[[#This Row],[deadline]]/60)/60/24)+DATE(1970,1,1)</f>
        <v>42562.631481481483</v>
      </c>
      <c r="K3939">
        <v>1465830560</v>
      </c>
      <c r="L3939" s="11">
        <f>((Table1[[#This Row],[launched_at]]/60)/60/24)+DATE(1970,1,1)</f>
        <v>42534.631481481483</v>
      </c>
      <c r="M3939">
        <f>MONTH(Table1[[#This Row],[Date Created Conversion]])</f>
        <v>6</v>
      </c>
      <c r="N3939">
        <f>YEAR(Table1[[#This Row],[Date Created Conversion]])</f>
        <v>2016</v>
      </c>
      <c r="O3939" t="b">
        <v>0</v>
      </c>
      <c r="P3939">
        <v>10</v>
      </c>
      <c r="Q3939" t="b">
        <v>0</v>
      </c>
      <c r="R3939" t="s">
        <v>8271</v>
      </c>
      <c r="S3939" s="6">
        <f>Table1[[#This Row],[pledged]]/Table1[[#This Row],[goal]]</f>
        <v>0.86135181975736563</v>
      </c>
      <c r="T3939" s="8">
        <f>IF(Table1[[#This Row],[pledged]]=0,"no backers",Table1[[#This Row],[pledged]]/Table1[[#This Row],[backers_count]])</f>
        <v>248.5</v>
      </c>
      <c r="U3939" t="str">
        <f>LEFT(Table1[[#This Row],[Category and Sub-Category]],FIND("/",Table1[[#This Row],[Category and Sub-Category]])-1)</f>
        <v>theater</v>
      </c>
      <c r="V3939" t="str">
        <f>RIGHT(Table1[[#This Row],[Category and Sub-Category]],LEN(Table1[[#This Row],[Category and Sub-Category]])-FIND("/",Table1[[#This Row],[Category and Sub-Category]]))</f>
        <v>plays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 s="12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>((Table1[[#This Row],[deadline]]/60)/60/24)+DATE(1970,1,1)</f>
        <v>42182.905717592599</v>
      </c>
      <c r="K3940">
        <v>1432763054</v>
      </c>
      <c r="L3940" s="11">
        <f>((Table1[[#This Row],[launched_at]]/60)/60/24)+DATE(1970,1,1)</f>
        <v>42151.905717592599</v>
      </c>
      <c r="M3940">
        <f>MONTH(Table1[[#This Row],[Date Created Conversion]])</f>
        <v>5</v>
      </c>
      <c r="N3940">
        <f>YEAR(Table1[[#This Row],[Date Created Conversion]])</f>
        <v>2015</v>
      </c>
      <c r="O3940" t="b">
        <v>0</v>
      </c>
      <c r="P3940">
        <v>5</v>
      </c>
      <c r="Q3940" t="b">
        <v>0</v>
      </c>
      <c r="R3940" t="s">
        <v>8271</v>
      </c>
      <c r="S3940" s="6">
        <f>Table1[[#This Row],[pledged]]/Table1[[#This Row],[goal]]</f>
        <v>0.12196620583717357</v>
      </c>
      <c r="T3940" s="8">
        <f>IF(Table1[[#This Row],[pledged]]=0,"no backers",Table1[[#This Row],[pledged]]/Table1[[#This Row],[backers_count]])</f>
        <v>79.400000000000006</v>
      </c>
      <c r="U3940" t="str">
        <f>LEFT(Table1[[#This Row],[Category and Sub-Category]],FIND("/",Table1[[#This Row],[Category and Sub-Category]])-1)</f>
        <v>theater</v>
      </c>
      <c r="V3940" t="str">
        <f>RIGHT(Table1[[#This Row],[Category and Sub-Category]],LEN(Table1[[#This Row],[Category and Sub-Category]])-FIND("/",Table1[[#This Row],[Category and Sub-Category]]))</f>
        <v>plays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 s="12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>((Table1[[#This Row],[deadline]]/60)/60/24)+DATE(1970,1,1)</f>
        <v>41919.1875</v>
      </c>
      <c r="K3941">
        <v>1412328979</v>
      </c>
      <c r="L3941" s="11">
        <f>((Table1[[#This Row],[launched_at]]/60)/60/24)+DATE(1970,1,1)</f>
        <v>41915.400219907409</v>
      </c>
      <c r="M3941">
        <f>MONTH(Table1[[#This Row],[Date Created Conversion]])</f>
        <v>10</v>
      </c>
      <c r="N3941">
        <f>YEAR(Table1[[#This Row],[Date Created Conversion]])</f>
        <v>2014</v>
      </c>
      <c r="O3941" t="b">
        <v>0</v>
      </c>
      <c r="P3941">
        <v>1</v>
      </c>
      <c r="Q3941" t="b">
        <v>0</v>
      </c>
      <c r="R3941" t="s">
        <v>8271</v>
      </c>
      <c r="S3941" s="6">
        <f>Table1[[#This Row],[pledged]]/Table1[[#This Row],[goal]]</f>
        <v>1E-3</v>
      </c>
      <c r="T3941" s="8">
        <f>IF(Table1[[#This Row],[pledged]]=0,"no backers",Table1[[#This Row],[pledged]]/Table1[[#This Row],[backers_count]])</f>
        <v>5</v>
      </c>
      <c r="U3941" t="str">
        <f>LEFT(Table1[[#This Row],[Category and Sub-Category]],FIND("/",Table1[[#This Row],[Category and Sub-Category]])-1)</f>
        <v>theater</v>
      </c>
      <c r="V3941" t="str">
        <f>RIGHT(Table1[[#This Row],[Category and Sub-Category]],LEN(Table1[[#This Row],[Category and Sub-Category]])-FIND("/",Table1[[#This Row],[Category and Sub-Category]]))</f>
        <v>plays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 s="1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>((Table1[[#This Row],[deadline]]/60)/60/24)+DATE(1970,1,1)</f>
        <v>42006.492488425924</v>
      </c>
      <c r="K3942">
        <v>1416311351</v>
      </c>
      <c r="L3942" s="11">
        <f>((Table1[[#This Row],[launched_at]]/60)/60/24)+DATE(1970,1,1)</f>
        <v>41961.492488425924</v>
      </c>
      <c r="M3942">
        <f>MONTH(Table1[[#This Row],[Date Created Conversion]])</f>
        <v>11</v>
      </c>
      <c r="N3942">
        <f>YEAR(Table1[[#This Row],[Date Created Conversion]])</f>
        <v>2014</v>
      </c>
      <c r="O3942" t="b">
        <v>0</v>
      </c>
      <c r="P3942">
        <v>2</v>
      </c>
      <c r="Q3942" t="b">
        <v>0</v>
      </c>
      <c r="R3942" t="s">
        <v>8271</v>
      </c>
      <c r="S3942" s="6">
        <f>Table1[[#This Row],[pledged]]/Table1[[#This Row],[goal]]</f>
        <v>2.2000000000000001E-3</v>
      </c>
      <c r="T3942" s="8">
        <f>IF(Table1[[#This Row],[pledged]]=0,"no backers",Table1[[#This Row],[pledged]]/Table1[[#This Row],[backers_count]])</f>
        <v>5.5</v>
      </c>
      <c r="U3942" t="str">
        <f>LEFT(Table1[[#This Row],[Category and Sub-Category]],FIND("/",Table1[[#This Row],[Category and Sub-Category]])-1)</f>
        <v>theater</v>
      </c>
      <c r="V3942" t="str">
        <f>RIGHT(Table1[[#This Row],[Category and Sub-Category]],LEN(Table1[[#This Row],[Category and Sub-Category]])-FIND("/",Table1[[#This Row],[Category and Sub-Category]]))</f>
        <v>plays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 s="12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>((Table1[[#This Row],[deadline]]/60)/60/24)+DATE(1970,1,1)</f>
        <v>41968.041666666672</v>
      </c>
      <c r="K3943">
        <v>1414505137</v>
      </c>
      <c r="L3943" s="11">
        <f>((Table1[[#This Row],[launched_at]]/60)/60/24)+DATE(1970,1,1)</f>
        <v>41940.587233796294</v>
      </c>
      <c r="M3943">
        <f>MONTH(Table1[[#This Row],[Date Created Conversion]])</f>
        <v>10</v>
      </c>
      <c r="N3943">
        <f>YEAR(Table1[[#This Row],[Date Created Conversion]])</f>
        <v>2014</v>
      </c>
      <c r="O3943" t="b">
        <v>0</v>
      </c>
      <c r="P3943">
        <v>2</v>
      </c>
      <c r="Q3943" t="b">
        <v>0</v>
      </c>
      <c r="R3943" t="s">
        <v>8271</v>
      </c>
      <c r="S3943" s="6">
        <f>Table1[[#This Row],[pledged]]/Table1[[#This Row],[goal]]</f>
        <v>9.0909090909090905E-3</v>
      </c>
      <c r="T3943" s="8">
        <f>IF(Table1[[#This Row],[pledged]]=0,"no backers",Table1[[#This Row],[pledged]]/Table1[[#This Row],[backers_count]])</f>
        <v>25</v>
      </c>
      <c r="U3943" t="str">
        <f>LEFT(Table1[[#This Row],[Category and Sub-Category]],FIND("/",Table1[[#This Row],[Category and Sub-Category]])-1)</f>
        <v>theater</v>
      </c>
      <c r="V3943" t="str">
        <f>RIGHT(Table1[[#This Row],[Category and Sub-Category]],LEN(Table1[[#This Row],[Category and Sub-Category]])-FIND("/",Table1[[#This Row],[Category and Sub-Category]]))</f>
        <v>plays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 s="12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>((Table1[[#This Row],[deadline]]/60)/60/24)+DATE(1970,1,1)</f>
        <v>42171.904097222221</v>
      </c>
      <c r="K3944">
        <v>1429306914</v>
      </c>
      <c r="L3944" s="11">
        <f>((Table1[[#This Row],[launched_at]]/60)/60/24)+DATE(1970,1,1)</f>
        <v>42111.904097222221</v>
      </c>
      <c r="M3944">
        <f>MONTH(Table1[[#This Row],[Date Created Conversion]])</f>
        <v>4</v>
      </c>
      <c r="N3944">
        <f>YEAR(Table1[[#This Row],[Date Created Conversion]])</f>
        <v>2015</v>
      </c>
      <c r="O3944" t="b">
        <v>0</v>
      </c>
      <c r="P3944">
        <v>0</v>
      </c>
      <c r="Q3944" t="b">
        <v>0</v>
      </c>
      <c r="R3944" t="s">
        <v>8271</v>
      </c>
      <c r="S3944" s="6">
        <f>Table1[[#This Row],[pledged]]/Table1[[#This Row],[goal]]</f>
        <v>0</v>
      </c>
      <c r="T3944" s="8" t="str">
        <f>IF(Table1[[#This Row],[pledged]]=0,"no backers",Table1[[#This Row],[pledged]]/Table1[[#This Row],[backers_count]])</f>
        <v>no backers</v>
      </c>
      <c r="U3944" t="str">
        <f>LEFT(Table1[[#This Row],[Category and Sub-Category]],FIND("/",Table1[[#This Row],[Category and Sub-Category]])-1)</f>
        <v>theater</v>
      </c>
      <c r="V3944" t="str">
        <f>RIGHT(Table1[[#This Row],[Category and Sub-Category]],LEN(Table1[[#This Row],[Category and Sub-Category]])-FIND("/",Table1[[#This Row],[Category and Sub-Category]]))</f>
        <v>plays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 s="12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>((Table1[[#This Row],[deadline]]/60)/60/24)+DATE(1970,1,1)</f>
        <v>42310.701388888891</v>
      </c>
      <c r="K3945">
        <v>1443811268</v>
      </c>
      <c r="L3945" s="11">
        <f>((Table1[[#This Row],[launched_at]]/60)/60/24)+DATE(1970,1,1)</f>
        <v>42279.778564814813</v>
      </c>
      <c r="M3945">
        <f>MONTH(Table1[[#This Row],[Date Created Conversion]])</f>
        <v>10</v>
      </c>
      <c r="N3945">
        <f>YEAR(Table1[[#This Row],[Date Created Conversion]])</f>
        <v>2015</v>
      </c>
      <c r="O3945" t="b">
        <v>0</v>
      </c>
      <c r="P3945">
        <v>13</v>
      </c>
      <c r="Q3945" t="b">
        <v>0</v>
      </c>
      <c r="R3945" t="s">
        <v>8271</v>
      </c>
      <c r="S3945" s="6">
        <f>Table1[[#This Row],[pledged]]/Table1[[#This Row],[goal]]</f>
        <v>0.35639999999999999</v>
      </c>
      <c r="T3945" s="8">
        <f>IF(Table1[[#This Row],[pledged]]=0,"no backers",Table1[[#This Row],[pledged]]/Table1[[#This Row],[backers_count]])</f>
        <v>137.07692307692307</v>
      </c>
      <c r="U3945" t="str">
        <f>LEFT(Table1[[#This Row],[Category and Sub-Category]],FIND("/",Table1[[#This Row],[Category and Sub-Category]])-1)</f>
        <v>theater</v>
      </c>
      <c r="V3945" t="str">
        <f>RIGHT(Table1[[#This Row],[Category and Sub-Category]],LEN(Table1[[#This Row],[Category and Sub-Category]])-FIND("/",Table1[[#This Row],[Category and Sub-Category]]))</f>
        <v>plays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 s="12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>((Table1[[#This Row],[deadline]]/60)/60/24)+DATE(1970,1,1)</f>
        <v>42243.662905092591</v>
      </c>
      <c r="K3946">
        <v>1438098875</v>
      </c>
      <c r="L3946" s="11">
        <f>((Table1[[#This Row],[launched_at]]/60)/60/24)+DATE(1970,1,1)</f>
        <v>42213.662905092591</v>
      </c>
      <c r="M3946">
        <f>MONTH(Table1[[#This Row],[Date Created Conversion]])</f>
        <v>7</v>
      </c>
      <c r="N3946">
        <f>YEAR(Table1[[#This Row],[Date Created Conversion]])</f>
        <v>2015</v>
      </c>
      <c r="O3946" t="b">
        <v>0</v>
      </c>
      <c r="P3946">
        <v>0</v>
      </c>
      <c r="Q3946" t="b">
        <v>0</v>
      </c>
      <c r="R3946" t="s">
        <v>8271</v>
      </c>
      <c r="S3946" s="6">
        <f>Table1[[#This Row],[pledged]]/Table1[[#This Row],[goal]]</f>
        <v>0</v>
      </c>
      <c r="T3946" s="8" t="str">
        <f>IF(Table1[[#This Row],[pledged]]=0,"no backers",Table1[[#This Row],[pledged]]/Table1[[#This Row],[backers_count]])</f>
        <v>no backers</v>
      </c>
      <c r="U3946" t="str">
        <f>LEFT(Table1[[#This Row],[Category and Sub-Category]],FIND("/",Table1[[#This Row],[Category and Sub-Category]])-1)</f>
        <v>theater</v>
      </c>
      <c r="V3946" t="str">
        <f>RIGHT(Table1[[#This Row],[Category and Sub-Category]],LEN(Table1[[#This Row],[Category and Sub-Category]])-FIND("/",Table1[[#This Row],[Category and Sub-Category]]))</f>
        <v>plays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 s="12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>((Table1[[#This Row],[deadline]]/60)/60/24)+DATE(1970,1,1)</f>
        <v>42139.801712962959</v>
      </c>
      <c r="K3947">
        <v>1429125268</v>
      </c>
      <c r="L3947" s="11">
        <f>((Table1[[#This Row],[launched_at]]/60)/60/24)+DATE(1970,1,1)</f>
        <v>42109.801712962959</v>
      </c>
      <c r="M3947">
        <f>MONTH(Table1[[#This Row],[Date Created Conversion]])</f>
        <v>4</v>
      </c>
      <c r="N3947">
        <f>YEAR(Table1[[#This Row],[Date Created Conversion]])</f>
        <v>2015</v>
      </c>
      <c r="O3947" t="b">
        <v>0</v>
      </c>
      <c r="P3947">
        <v>1</v>
      </c>
      <c r="Q3947" t="b">
        <v>0</v>
      </c>
      <c r="R3947" t="s">
        <v>8271</v>
      </c>
      <c r="S3947" s="6">
        <f>Table1[[#This Row],[pledged]]/Table1[[#This Row],[goal]]</f>
        <v>2.5000000000000001E-3</v>
      </c>
      <c r="T3947" s="8">
        <f>IF(Table1[[#This Row],[pledged]]=0,"no backers",Table1[[#This Row],[pledged]]/Table1[[#This Row],[backers_count]])</f>
        <v>5</v>
      </c>
      <c r="U3947" t="str">
        <f>LEFT(Table1[[#This Row],[Category and Sub-Category]],FIND("/",Table1[[#This Row],[Category and Sub-Category]])-1)</f>
        <v>theater</v>
      </c>
      <c r="V3947" t="str">
        <f>RIGHT(Table1[[#This Row],[Category and Sub-Category]],LEN(Table1[[#This Row],[Category and Sub-Category]])-FIND("/",Table1[[#This Row],[Category and Sub-Category]]))</f>
        <v>plays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 s="12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>((Table1[[#This Row],[deadline]]/60)/60/24)+DATE(1970,1,1)</f>
        <v>42063.333333333328</v>
      </c>
      <c r="K3948">
        <v>1422388822</v>
      </c>
      <c r="L3948" s="11">
        <f>((Table1[[#This Row],[launched_at]]/60)/60/24)+DATE(1970,1,1)</f>
        <v>42031.833587962959</v>
      </c>
      <c r="M3948">
        <f>MONTH(Table1[[#This Row],[Date Created Conversion]])</f>
        <v>1</v>
      </c>
      <c r="N3948">
        <f>YEAR(Table1[[#This Row],[Date Created Conversion]])</f>
        <v>2015</v>
      </c>
      <c r="O3948" t="b">
        <v>0</v>
      </c>
      <c r="P3948">
        <v>5</v>
      </c>
      <c r="Q3948" t="b">
        <v>0</v>
      </c>
      <c r="R3948" t="s">
        <v>8271</v>
      </c>
      <c r="S3948" s="6">
        <f>Table1[[#This Row],[pledged]]/Table1[[#This Row],[goal]]</f>
        <v>3.2500000000000001E-2</v>
      </c>
      <c r="T3948" s="8">
        <f>IF(Table1[[#This Row],[pledged]]=0,"no backers",Table1[[#This Row],[pledged]]/Table1[[#This Row],[backers_count]])</f>
        <v>39</v>
      </c>
      <c r="U3948" t="str">
        <f>LEFT(Table1[[#This Row],[Category and Sub-Category]],FIND("/",Table1[[#This Row],[Category and Sub-Category]])-1)</f>
        <v>theater</v>
      </c>
      <c r="V3948" t="str">
        <f>RIGHT(Table1[[#This Row],[Category and Sub-Category]],LEN(Table1[[#This Row],[Category and Sub-Category]])-FIND("/",Table1[[#This Row],[Category and Sub-Category]]))</f>
        <v>plays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 s="12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>((Table1[[#This Row],[deadline]]/60)/60/24)+DATE(1970,1,1)</f>
        <v>42645.142870370371</v>
      </c>
      <c r="K3949">
        <v>1472786744</v>
      </c>
      <c r="L3949" s="11">
        <f>((Table1[[#This Row],[launched_at]]/60)/60/24)+DATE(1970,1,1)</f>
        <v>42615.142870370371</v>
      </c>
      <c r="M3949">
        <f>MONTH(Table1[[#This Row],[Date Created Conversion]])</f>
        <v>9</v>
      </c>
      <c r="N3949">
        <f>YEAR(Table1[[#This Row],[Date Created Conversion]])</f>
        <v>2016</v>
      </c>
      <c r="O3949" t="b">
        <v>0</v>
      </c>
      <c r="P3949">
        <v>2</v>
      </c>
      <c r="Q3949" t="b">
        <v>0</v>
      </c>
      <c r="R3949" t="s">
        <v>8271</v>
      </c>
      <c r="S3949" s="6">
        <f>Table1[[#This Row],[pledged]]/Table1[[#This Row],[goal]]</f>
        <v>3.3666666666666664E-2</v>
      </c>
      <c r="T3949" s="8">
        <f>IF(Table1[[#This Row],[pledged]]=0,"no backers",Table1[[#This Row],[pledged]]/Table1[[#This Row],[backers_count]])</f>
        <v>50.5</v>
      </c>
      <c r="U3949" t="str">
        <f>LEFT(Table1[[#This Row],[Category and Sub-Category]],FIND("/",Table1[[#This Row],[Category and Sub-Category]])-1)</f>
        <v>theater</v>
      </c>
      <c r="V3949" t="str">
        <f>RIGHT(Table1[[#This Row],[Category and Sub-Category]],LEN(Table1[[#This Row],[Category and Sub-Category]])-FIND("/",Table1[[#This Row],[Category and Sub-Category]]))</f>
        <v>plays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 s="12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>((Table1[[#This Row],[deadline]]/60)/60/24)+DATE(1970,1,1)</f>
        <v>41889.325497685182</v>
      </c>
      <c r="K3950">
        <v>1404892123</v>
      </c>
      <c r="L3950" s="11">
        <f>((Table1[[#This Row],[launched_at]]/60)/60/24)+DATE(1970,1,1)</f>
        <v>41829.325497685182</v>
      </c>
      <c r="M3950">
        <f>MONTH(Table1[[#This Row],[Date Created Conversion]])</f>
        <v>7</v>
      </c>
      <c r="N3950">
        <f>YEAR(Table1[[#This Row],[Date Created Conversion]])</f>
        <v>2014</v>
      </c>
      <c r="O3950" t="b">
        <v>0</v>
      </c>
      <c r="P3950">
        <v>0</v>
      </c>
      <c r="Q3950" t="b">
        <v>0</v>
      </c>
      <c r="R3950" t="s">
        <v>8271</v>
      </c>
      <c r="S3950" s="6">
        <f>Table1[[#This Row],[pledged]]/Table1[[#This Row],[goal]]</f>
        <v>0</v>
      </c>
      <c r="T3950" s="8" t="str">
        <f>IF(Table1[[#This Row],[pledged]]=0,"no backers",Table1[[#This Row],[pledged]]/Table1[[#This Row],[backers_count]])</f>
        <v>no backers</v>
      </c>
      <c r="U3950" t="str">
        <f>LEFT(Table1[[#This Row],[Category and Sub-Category]],FIND("/",Table1[[#This Row],[Category and Sub-Category]])-1)</f>
        <v>theater</v>
      </c>
      <c r="V3950" t="str">
        <f>RIGHT(Table1[[#This Row],[Category and Sub-Category]],LEN(Table1[[#This Row],[Category and Sub-Category]])-FIND("/",Table1[[#This Row],[Category and Sub-Category]]))</f>
        <v>plays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 s="12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>((Table1[[#This Row],[deadline]]/60)/60/24)+DATE(1970,1,1)</f>
        <v>42046.120613425926</v>
      </c>
      <c r="K3951">
        <v>1421031221</v>
      </c>
      <c r="L3951" s="11">
        <f>((Table1[[#This Row],[launched_at]]/60)/60/24)+DATE(1970,1,1)</f>
        <v>42016.120613425926</v>
      </c>
      <c r="M3951">
        <f>MONTH(Table1[[#This Row],[Date Created Conversion]])</f>
        <v>1</v>
      </c>
      <c r="N3951">
        <f>YEAR(Table1[[#This Row],[Date Created Conversion]])</f>
        <v>2015</v>
      </c>
      <c r="O3951" t="b">
        <v>0</v>
      </c>
      <c r="P3951">
        <v>32</v>
      </c>
      <c r="Q3951" t="b">
        <v>0</v>
      </c>
      <c r="R3951" t="s">
        <v>8271</v>
      </c>
      <c r="S3951" s="6">
        <f>Table1[[#This Row],[pledged]]/Table1[[#This Row],[goal]]</f>
        <v>0.15770000000000001</v>
      </c>
      <c r="T3951" s="8">
        <f>IF(Table1[[#This Row],[pledged]]=0,"no backers",Table1[[#This Row],[pledged]]/Table1[[#This Row],[backers_count]])</f>
        <v>49.28125</v>
      </c>
      <c r="U3951" t="str">
        <f>LEFT(Table1[[#This Row],[Category and Sub-Category]],FIND("/",Table1[[#This Row],[Category and Sub-Category]])-1)</f>
        <v>theater</v>
      </c>
      <c r="V3951" t="str">
        <f>RIGHT(Table1[[#This Row],[Category and Sub-Category]],LEN(Table1[[#This Row],[Category and Sub-Category]])-FIND("/",Table1[[#This Row],[Category and Sub-Category]]))</f>
        <v>plays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 s="1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>((Table1[[#This Row],[deadline]]/60)/60/24)+DATE(1970,1,1)</f>
        <v>42468.774305555555</v>
      </c>
      <c r="K3952">
        <v>1457628680</v>
      </c>
      <c r="L3952" s="11">
        <f>((Table1[[#This Row],[launched_at]]/60)/60/24)+DATE(1970,1,1)</f>
        <v>42439.702314814815</v>
      </c>
      <c r="M3952">
        <f>MONTH(Table1[[#This Row],[Date Created Conversion]])</f>
        <v>3</v>
      </c>
      <c r="N3952">
        <f>YEAR(Table1[[#This Row],[Date Created Conversion]])</f>
        <v>2016</v>
      </c>
      <c r="O3952" t="b">
        <v>0</v>
      </c>
      <c r="P3952">
        <v>1</v>
      </c>
      <c r="Q3952" t="b">
        <v>0</v>
      </c>
      <c r="R3952" t="s">
        <v>8271</v>
      </c>
      <c r="S3952" s="6">
        <f>Table1[[#This Row],[pledged]]/Table1[[#This Row],[goal]]</f>
        <v>6.2500000000000003E-3</v>
      </c>
      <c r="T3952" s="8">
        <f>IF(Table1[[#This Row],[pledged]]=0,"no backers",Table1[[#This Row],[pledged]]/Table1[[#This Row],[backers_count]])</f>
        <v>25</v>
      </c>
      <c r="U3952" t="str">
        <f>LEFT(Table1[[#This Row],[Category and Sub-Category]],FIND("/",Table1[[#This Row],[Category and Sub-Category]])-1)</f>
        <v>theater</v>
      </c>
      <c r="V3952" t="str">
        <f>RIGHT(Table1[[#This Row],[Category and Sub-Category]],LEN(Table1[[#This Row],[Category and Sub-Category]])-FIND("/",Table1[[#This Row],[Category and Sub-Category]]))</f>
        <v>plays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 s="12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>((Table1[[#This Row],[deadline]]/60)/60/24)+DATE(1970,1,1)</f>
        <v>42493.784050925926</v>
      </c>
      <c r="K3953">
        <v>1457120942</v>
      </c>
      <c r="L3953" s="11">
        <f>((Table1[[#This Row],[launched_at]]/60)/60/24)+DATE(1970,1,1)</f>
        <v>42433.825717592597</v>
      </c>
      <c r="M3953">
        <f>MONTH(Table1[[#This Row],[Date Created Conversion]])</f>
        <v>3</v>
      </c>
      <c r="N3953">
        <f>YEAR(Table1[[#This Row],[Date Created Conversion]])</f>
        <v>2016</v>
      </c>
      <c r="O3953" t="b">
        <v>0</v>
      </c>
      <c r="P3953">
        <v>1</v>
      </c>
      <c r="Q3953" t="b">
        <v>0</v>
      </c>
      <c r="R3953" t="s">
        <v>8271</v>
      </c>
      <c r="S3953" s="6">
        <f>Table1[[#This Row],[pledged]]/Table1[[#This Row],[goal]]</f>
        <v>5.0000000000000004E-6</v>
      </c>
      <c r="T3953" s="8">
        <f>IF(Table1[[#This Row],[pledged]]=0,"no backers",Table1[[#This Row],[pledged]]/Table1[[#This Row],[backers_count]])</f>
        <v>1</v>
      </c>
      <c r="U3953" t="str">
        <f>LEFT(Table1[[#This Row],[Category and Sub-Category]],FIND("/",Table1[[#This Row],[Category and Sub-Category]])-1)</f>
        <v>theater</v>
      </c>
      <c r="V3953" t="str">
        <f>RIGHT(Table1[[#This Row],[Category and Sub-Category]],LEN(Table1[[#This Row],[Category and Sub-Category]])-FIND("/",Table1[[#This Row],[Category and Sub-Category]]))</f>
        <v>plays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 s="12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>((Table1[[#This Row],[deadline]]/60)/60/24)+DATE(1970,1,1)</f>
        <v>42303.790393518517</v>
      </c>
      <c r="K3954">
        <v>1440701890</v>
      </c>
      <c r="L3954" s="11">
        <f>((Table1[[#This Row],[launched_at]]/60)/60/24)+DATE(1970,1,1)</f>
        <v>42243.790393518517</v>
      </c>
      <c r="M3954">
        <f>MONTH(Table1[[#This Row],[Date Created Conversion]])</f>
        <v>8</v>
      </c>
      <c r="N3954">
        <f>YEAR(Table1[[#This Row],[Date Created Conversion]])</f>
        <v>2015</v>
      </c>
      <c r="O3954" t="b">
        <v>0</v>
      </c>
      <c r="P3954">
        <v>1</v>
      </c>
      <c r="Q3954" t="b">
        <v>0</v>
      </c>
      <c r="R3954" t="s">
        <v>8271</v>
      </c>
      <c r="S3954" s="6">
        <f>Table1[[#This Row],[pledged]]/Table1[[#This Row],[goal]]</f>
        <v>9.6153846153846159E-4</v>
      </c>
      <c r="T3954" s="8">
        <f>IF(Table1[[#This Row],[pledged]]=0,"no backers",Table1[[#This Row],[pledged]]/Table1[[#This Row],[backers_count]])</f>
        <v>25</v>
      </c>
      <c r="U3954" t="str">
        <f>LEFT(Table1[[#This Row],[Category and Sub-Category]],FIND("/",Table1[[#This Row],[Category and Sub-Category]])-1)</f>
        <v>theater</v>
      </c>
      <c r="V3954" t="str">
        <f>RIGHT(Table1[[#This Row],[Category and Sub-Category]],LEN(Table1[[#This Row],[Category and Sub-Category]])-FIND("/",Table1[[#This Row],[Category and Sub-Category]]))</f>
        <v>plays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 s="12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>((Table1[[#This Row],[deadline]]/60)/60/24)+DATE(1970,1,1)</f>
        <v>42580.978472222225</v>
      </c>
      <c r="K3955">
        <v>1467162586</v>
      </c>
      <c r="L3955" s="11">
        <f>((Table1[[#This Row],[launched_at]]/60)/60/24)+DATE(1970,1,1)</f>
        <v>42550.048449074078</v>
      </c>
      <c r="M3955">
        <f>MONTH(Table1[[#This Row],[Date Created Conversion]])</f>
        <v>6</v>
      </c>
      <c r="N3955">
        <f>YEAR(Table1[[#This Row],[Date Created Conversion]])</f>
        <v>2016</v>
      </c>
      <c r="O3955" t="b">
        <v>0</v>
      </c>
      <c r="P3955">
        <v>0</v>
      </c>
      <c r="Q3955" t="b">
        <v>0</v>
      </c>
      <c r="R3955" t="s">
        <v>8271</v>
      </c>
      <c r="S3955" s="6">
        <f>Table1[[#This Row],[pledged]]/Table1[[#This Row],[goal]]</f>
        <v>0</v>
      </c>
      <c r="T3955" s="8" t="str">
        <f>IF(Table1[[#This Row],[pledged]]=0,"no backers",Table1[[#This Row],[pledged]]/Table1[[#This Row],[backers_count]])</f>
        <v>no backers</v>
      </c>
      <c r="U3955" t="str">
        <f>LEFT(Table1[[#This Row],[Category and Sub-Category]],FIND("/",Table1[[#This Row],[Category and Sub-Category]])-1)</f>
        <v>theater</v>
      </c>
      <c r="V3955" t="str">
        <f>RIGHT(Table1[[#This Row],[Category and Sub-Category]],LEN(Table1[[#This Row],[Category and Sub-Category]])-FIND("/",Table1[[#This Row],[Category and Sub-Category]]))</f>
        <v>plays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 s="12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>((Table1[[#This Row],[deadline]]/60)/60/24)+DATE(1970,1,1)</f>
        <v>41834.651203703703</v>
      </c>
      <c r="K3956">
        <v>1400168264</v>
      </c>
      <c r="L3956" s="11">
        <f>((Table1[[#This Row],[launched_at]]/60)/60/24)+DATE(1970,1,1)</f>
        <v>41774.651203703703</v>
      </c>
      <c r="M3956">
        <f>MONTH(Table1[[#This Row],[Date Created Conversion]])</f>
        <v>5</v>
      </c>
      <c r="N3956">
        <f>YEAR(Table1[[#This Row],[Date Created Conversion]])</f>
        <v>2014</v>
      </c>
      <c r="O3956" t="b">
        <v>0</v>
      </c>
      <c r="P3956">
        <v>0</v>
      </c>
      <c r="Q3956" t="b">
        <v>0</v>
      </c>
      <c r="R3956" t="s">
        <v>8271</v>
      </c>
      <c r="S3956" s="6">
        <f>Table1[[#This Row],[pledged]]/Table1[[#This Row],[goal]]</f>
        <v>0</v>
      </c>
      <c r="T3956" s="8" t="str">
        <f>IF(Table1[[#This Row],[pledged]]=0,"no backers",Table1[[#This Row],[pledged]]/Table1[[#This Row],[backers_count]])</f>
        <v>no backers</v>
      </c>
      <c r="U3956" t="str">
        <f>LEFT(Table1[[#This Row],[Category and Sub-Category]],FIND("/",Table1[[#This Row],[Category and Sub-Category]])-1)</f>
        <v>theater</v>
      </c>
      <c r="V3956" t="str">
        <f>RIGHT(Table1[[#This Row],[Category and Sub-Category]],LEN(Table1[[#This Row],[Category and Sub-Category]])-FIND("/",Table1[[#This Row],[Category and Sub-Category]]))</f>
        <v>plays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 s="12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>((Table1[[#This Row],[deadline]]/60)/60/24)+DATE(1970,1,1)</f>
        <v>42336.890520833331</v>
      </c>
      <c r="K3957">
        <v>1446150141</v>
      </c>
      <c r="L3957" s="11">
        <f>((Table1[[#This Row],[launched_at]]/60)/60/24)+DATE(1970,1,1)</f>
        <v>42306.848854166667</v>
      </c>
      <c r="M3957">
        <f>MONTH(Table1[[#This Row],[Date Created Conversion]])</f>
        <v>10</v>
      </c>
      <c r="N3957">
        <f>YEAR(Table1[[#This Row],[Date Created Conversion]])</f>
        <v>2015</v>
      </c>
      <c r="O3957" t="b">
        <v>0</v>
      </c>
      <c r="P3957">
        <v>8</v>
      </c>
      <c r="Q3957" t="b">
        <v>0</v>
      </c>
      <c r="R3957" t="s">
        <v>8271</v>
      </c>
      <c r="S3957" s="6">
        <f>Table1[[#This Row],[pledged]]/Table1[[#This Row],[goal]]</f>
        <v>0.24285714285714285</v>
      </c>
      <c r="T3957" s="8">
        <f>IF(Table1[[#This Row],[pledged]]=0,"no backers",Table1[[#This Row],[pledged]]/Table1[[#This Row],[backers_count]])</f>
        <v>53.125</v>
      </c>
      <c r="U3957" t="str">
        <f>LEFT(Table1[[#This Row],[Category and Sub-Category]],FIND("/",Table1[[#This Row],[Category and Sub-Category]])-1)</f>
        <v>theater</v>
      </c>
      <c r="V3957" t="str">
        <f>RIGHT(Table1[[#This Row],[Category and Sub-Category]],LEN(Table1[[#This Row],[Category and Sub-Category]])-FIND("/",Table1[[#This Row],[Category and Sub-Category]]))</f>
        <v>plays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 s="12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>((Table1[[#This Row],[deadline]]/60)/60/24)+DATE(1970,1,1)</f>
        <v>42485.013888888891</v>
      </c>
      <c r="K3958">
        <v>1459203727</v>
      </c>
      <c r="L3958" s="11">
        <f>((Table1[[#This Row],[launched_at]]/60)/60/24)+DATE(1970,1,1)</f>
        <v>42457.932025462964</v>
      </c>
      <c r="M3958">
        <f>MONTH(Table1[[#This Row],[Date Created Conversion]])</f>
        <v>3</v>
      </c>
      <c r="N3958">
        <f>YEAR(Table1[[#This Row],[Date Created Conversion]])</f>
        <v>2016</v>
      </c>
      <c r="O3958" t="b">
        <v>0</v>
      </c>
      <c r="P3958">
        <v>0</v>
      </c>
      <c r="Q3958" t="b">
        <v>0</v>
      </c>
      <c r="R3958" t="s">
        <v>8271</v>
      </c>
      <c r="S3958" s="6">
        <f>Table1[[#This Row],[pledged]]/Table1[[#This Row],[goal]]</f>
        <v>0</v>
      </c>
      <c r="T3958" s="8" t="str">
        <f>IF(Table1[[#This Row],[pledged]]=0,"no backers",Table1[[#This Row],[pledged]]/Table1[[#This Row],[backers_count]])</f>
        <v>no backers</v>
      </c>
      <c r="U3958" t="str">
        <f>LEFT(Table1[[#This Row],[Category and Sub-Category]],FIND("/",Table1[[#This Row],[Category and Sub-Category]])-1)</f>
        <v>theater</v>
      </c>
      <c r="V3958" t="str">
        <f>RIGHT(Table1[[#This Row],[Category and Sub-Category]],LEN(Table1[[#This Row],[Category and Sub-Category]])-FIND("/",Table1[[#This Row],[Category and Sub-Category]]))</f>
        <v>plays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 s="12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>((Table1[[#This Row],[deadline]]/60)/60/24)+DATE(1970,1,1)</f>
        <v>42559.976319444439</v>
      </c>
      <c r="K3959">
        <v>1464045954</v>
      </c>
      <c r="L3959" s="11">
        <f>((Table1[[#This Row],[launched_at]]/60)/60/24)+DATE(1970,1,1)</f>
        <v>42513.976319444439</v>
      </c>
      <c r="M3959">
        <f>MONTH(Table1[[#This Row],[Date Created Conversion]])</f>
        <v>5</v>
      </c>
      <c r="N3959">
        <f>YEAR(Table1[[#This Row],[Date Created Conversion]])</f>
        <v>2016</v>
      </c>
      <c r="O3959" t="b">
        <v>0</v>
      </c>
      <c r="P3959">
        <v>1</v>
      </c>
      <c r="Q3959" t="b">
        <v>0</v>
      </c>
      <c r="R3959" t="s">
        <v>8271</v>
      </c>
      <c r="S3959" s="6">
        <f>Table1[[#This Row],[pledged]]/Table1[[#This Row],[goal]]</f>
        <v>2.5000000000000001E-4</v>
      </c>
      <c r="T3959" s="8">
        <f>IF(Table1[[#This Row],[pledged]]=0,"no backers",Table1[[#This Row],[pledged]]/Table1[[#This Row],[backers_count]])</f>
        <v>7</v>
      </c>
      <c r="U3959" t="str">
        <f>LEFT(Table1[[#This Row],[Category and Sub-Category]],FIND("/",Table1[[#This Row],[Category and Sub-Category]])-1)</f>
        <v>theater</v>
      </c>
      <c r="V3959" t="str">
        <f>RIGHT(Table1[[#This Row],[Category and Sub-Category]],LEN(Table1[[#This Row],[Category and Sub-Category]])-FIND("/",Table1[[#This Row],[Category and Sub-Category]]))</f>
        <v>plays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 s="12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>((Table1[[#This Row],[deadline]]/60)/60/24)+DATE(1970,1,1)</f>
        <v>41853.583333333336</v>
      </c>
      <c r="K3960">
        <v>1403822912</v>
      </c>
      <c r="L3960" s="11">
        <f>((Table1[[#This Row],[launched_at]]/60)/60/24)+DATE(1970,1,1)</f>
        <v>41816.950370370374</v>
      </c>
      <c r="M3960">
        <f>MONTH(Table1[[#This Row],[Date Created Conversion]])</f>
        <v>6</v>
      </c>
      <c r="N3960">
        <f>YEAR(Table1[[#This Row],[Date Created Conversion]])</f>
        <v>2014</v>
      </c>
      <c r="O3960" t="b">
        <v>0</v>
      </c>
      <c r="P3960">
        <v>16</v>
      </c>
      <c r="Q3960" t="b">
        <v>0</v>
      </c>
      <c r="R3960" t="s">
        <v>8271</v>
      </c>
      <c r="S3960" s="6">
        <f>Table1[[#This Row],[pledged]]/Table1[[#This Row],[goal]]</f>
        <v>0.32050000000000001</v>
      </c>
      <c r="T3960" s="8">
        <f>IF(Table1[[#This Row],[pledged]]=0,"no backers",Table1[[#This Row],[pledged]]/Table1[[#This Row],[backers_count]])</f>
        <v>40.0625</v>
      </c>
      <c r="U3960" t="str">
        <f>LEFT(Table1[[#This Row],[Category and Sub-Category]],FIND("/",Table1[[#This Row],[Category and Sub-Category]])-1)</f>
        <v>theater</v>
      </c>
      <c r="V3960" t="str">
        <f>RIGHT(Table1[[#This Row],[Category and Sub-Category]],LEN(Table1[[#This Row],[Category and Sub-Category]])-FIND("/",Table1[[#This Row],[Category and Sub-Category]]))</f>
        <v>plays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 s="12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>((Table1[[#This Row],[deadline]]/60)/60/24)+DATE(1970,1,1)</f>
        <v>41910.788842592592</v>
      </c>
      <c r="K3961">
        <v>1409338556</v>
      </c>
      <c r="L3961" s="11">
        <f>((Table1[[#This Row],[launched_at]]/60)/60/24)+DATE(1970,1,1)</f>
        <v>41880.788842592592</v>
      </c>
      <c r="M3961">
        <f>MONTH(Table1[[#This Row],[Date Created Conversion]])</f>
        <v>8</v>
      </c>
      <c r="N3961">
        <f>YEAR(Table1[[#This Row],[Date Created Conversion]])</f>
        <v>2014</v>
      </c>
      <c r="O3961" t="b">
        <v>0</v>
      </c>
      <c r="P3961">
        <v>12</v>
      </c>
      <c r="Q3961" t="b">
        <v>0</v>
      </c>
      <c r="R3961" t="s">
        <v>8271</v>
      </c>
      <c r="S3961" s="6">
        <f>Table1[[#This Row],[pledged]]/Table1[[#This Row],[goal]]</f>
        <v>0.24333333333333335</v>
      </c>
      <c r="T3961" s="8">
        <f>IF(Table1[[#This Row],[pledged]]=0,"no backers",Table1[[#This Row],[pledged]]/Table1[[#This Row],[backers_count]])</f>
        <v>24.333333333333332</v>
      </c>
      <c r="U3961" t="str">
        <f>LEFT(Table1[[#This Row],[Category and Sub-Category]],FIND("/",Table1[[#This Row],[Category and Sub-Category]])-1)</f>
        <v>theater</v>
      </c>
      <c r="V3961" t="str">
        <f>RIGHT(Table1[[#This Row],[Category and Sub-Category]],LEN(Table1[[#This Row],[Category and Sub-Category]])-FIND("/",Table1[[#This Row],[Category and Sub-Category]]))</f>
        <v>plays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 s="1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>((Table1[[#This Row],[deadline]]/60)/60/24)+DATE(1970,1,1)</f>
        <v>42372.845555555556</v>
      </c>
      <c r="K3962">
        <v>1449260256</v>
      </c>
      <c r="L3962" s="11">
        <f>((Table1[[#This Row],[launched_at]]/60)/60/24)+DATE(1970,1,1)</f>
        <v>42342.845555555556</v>
      </c>
      <c r="M3962">
        <f>MONTH(Table1[[#This Row],[Date Created Conversion]])</f>
        <v>12</v>
      </c>
      <c r="N3962">
        <f>YEAR(Table1[[#This Row],[Date Created Conversion]])</f>
        <v>2015</v>
      </c>
      <c r="O3962" t="b">
        <v>0</v>
      </c>
      <c r="P3962">
        <v>4</v>
      </c>
      <c r="Q3962" t="b">
        <v>0</v>
      </c>
      <c r="R3962" t="s">
        <v>8271</v>
      </c>
      <c r="S3962" s="6">
        <f>Table1[[#This Row],[pledged]]/Table1[[#This Row],[goal]]</f>
        <v>1.4999999999999999E-2</v>
      </c>
      <c r="T3962" s="8">
        <f>IF(Table1[[#This Row],[pledged]]=0,"no backers",Table1[[#This Row],[pledged]]/Table1[[#This Row],[backers_count]])</f>
        <v>11.25</v>
      </c>
      <c r="U3962" t="str">
        <f>LEFT(Table1[[#This Row],[Category and Sub-Category]],FIND("/",Table1[[#This Row],[Category and Sub-Category]])-1)</f>
        <v>theater</v>
      </c>
      <c r="V3962" t="str">
        <f>RIGHT(Table1[[#This Row],[Category and Sub-Category]],LEN(Table1[[#This Row],[Category and Sub-Category]])-FIND("/",Table1[[#This Row],[Category and Sub-Category]]))</f>
        <v>plays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 s="12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>((Table1[[#This Row],[deadline]]/60)/60/24)+DATE(1970,1,1)</f>
        <v>41767.891319444447</v>
      </c>
      <c r="K3963">
        <v>1397683410</v>
      </c>
      <c r="L3963" s="11">
        <f>((Table1[[#This Row],[launched_at]]/60)/60/24)+DATE(1970,1,1)</f>
        <v>41745.891319444447</v>
      </c>
      <c r="M3963">
        <f>MONTH(Table1[[#This Row],[Date Created Conversion]])</f>
        <v>4</v>
      </c>
      <c r="N3963">
        <f>YEAR(Table1[[#This Row],[Date Created Conversion]])</f>
        <v>2014</v>
      </c>
      <c r="O3963" t="b">
        <v>0</v>
      </c>
      <c r="P3963">
        <v>2</v>
      </c>
      <c r="Q3963" t="b">
        <v>0</v>
      </c>
      <c r="R3963" t="s">
        <v>8271</v>
      </c>
      <c r="S3963" s="6">
        <f>Table1[[#This Row],[pledged]]/Table1[[#This Row],[goal]]</f>
        <v>4.1999999999999997E-3</v>
      </c>
      <c r="T3963" s="8">
        <f>IF(Table1[[#This Row],[pledged]]=0,"no backers",Table1[[#This Row],[pledged]]/Table1[[#This Row],[backers_count]])</f>
        <v>10.5</v>
      </c>
      <c r="U3963" t="str">
        <f>LEFT(Table1[[#This Row],[Category and Sub-Category]],FIND("/",Table1[[#This Row],[Category and Sub-Category]])-1)</f>
        <v>theater</v>
      </c>
      <c r="V3963" t="str">
        <f>RIGHT(Table1[[#This Row],[Category and Sub-Category]],LEN(Table1[[#This Row],[Category and Sub-Category]])-FIND("/",Table1[[#This Row],[Category and Sub-Category]]))</f>
        <v>plays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 s="12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>((Table1[[#This Row],[deadline]]/60)/60/24)+DATE(1970,1,1)</f>
        <v>42336.621458333335</v>
      </c>
      <c r="K3964">
        <v>1446562494</v>
      </c>
      <c r="L3964" s="11">
        <f>((Table1[[#This Row],[launched_at]]/60)/60/24)+DATE(1970,1,1)</f>
        <v>42311.621458333335</v>
      </c>
      <c r="M3964">
        <f>MONTH(Table1[[#This Row],[Date Created Conversion]])</f>
        <v>11</v>
      </c>
      <c r="N3964">
        <f>YEAR(Table1[[#This Row],[Date Created Conversion]])</f>
        <v>2015</v>
      </c>
      <c r="O3964" t="b">
        <v>0</v>
      </c>
      <c r="P3964">
        <v>3</v>
      </c>
      <c r="Q3964" t="b">
        <v>0</v>
      </c>
      <c r="R3964" t="s">
        <v>8271</v>
      </c>
      <c r="S3964" s="6">
        <f>Table1[[#This Row],[pledged]]/Table1[[#This Row],[goal]]</f>
        <v>3.214285714285714E-2</v>
      </c>
      <c r="T3964" s="8">
        <f>IF(Table1[[#This Row],[pledged]]=0,"no backers",Table1[[#This Row],[pledged]]/Table1[[#This Row],[backers_count]])</f>
        <v>15</v>
      </c>
      <c r="U3964" t="str">
        <f>LEFT(Table1[[#This Row],[Category and Sub-Category]],FIND("/",Table1[[#This Row],[Category and Sub-Category]])-1)</f>
        <v>theater</v>
      </c>
      <c r="V3964" t="str">
        <f>RIGHT(Table1[[#This Row],[Category and Sub-Category]],LEN(Table1[[#This Row],[Category and Sub-Category]])-FIND("/",Table1[[#This Row],[Category and Sub-Category]]))</f>
        <v>plays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 s="12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>((Table1[[#This Row],[deadline]]/60)/60/24)+DATE(1970,1,1)</f>
        <v>42326.195798611108</v>
      </c>
      <c r="K3965">
        <v>1445226117</v>
      </c>
      <c r="L3965" s="11">
        <f>((Table1[[#This Row],[launched_at]]/60)/60/24)+DATE(1970,1,1)</f>
        <v>42296.154131944444</v>
      </c>
      <c r="M3965">
        <f>MONTH(Table1[[#This Row],[Date Created Conversion]])</f>
        <v>10</v>
      </c>
      <c r="N3965">
        <f>YEAR(Table1[[#This Row],[Date Created Conversion]])</f>
        <v>2015</v>
      </c>
      <c r="O3965" t="b">
        <v>0</v>
      </c>
      <c r="P3965">
        <v>0</v>
      </c>
      <c r="Q3965" t="b">
        <v>0</v>
      </c>
      <c r="R3965" t="s">
        <v>8271</v>
      </c>
      <c r="S3965" s="6">
        <f>Table1[[#This Row],[pledged]]/Table1[[#This Row],[goal]]</f>
        <v>0</v>
      </c>
      <c r="T3965" s="8" t="str">
        <f>IF(Table1[[#This Row],[pledged]]=0,"no backers",Table1[[#This Row],[pledged]]/Table1[[#This Row],[backers_count]])</f>
        <v>no backers</v>
      </c>
      <c r="U3965" t="str">
        <f>LEFT(Table1[[#This Row],[Category and Sub-Category]],FIND("/",Table1[[#This Row],[Category and Sub-Category]])-1)</f>
        <v>theater</v>
      </c>
      <c r="V3965" t="str">
        <f>RIGHT(Table1[[#This Row],[Category and Sub-Category]],LEN(Table1[[#This Row],[Category and Sub-Category]])-FIND("/",Table1[[#This Row],[Category and Sub-Category]]))</f>
        <v>plays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 s="12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>((Table1[[#This Row],[deadline]]/60)/60/24)+DATE(1970,1,1)</f>
        <v>42113.680393518516</v>
      </c>
      <c r="K3966">
        <v>1424279986</v>
      </c>
      <c r="L3966" s="11">
        <f>((Table1[[#This Row],[launched_at]]/60)/60/24)+DATE(1970,1,1)</f>
        <v>42053.722060185188</v>
      </c>
      <c r="M3966">
        <f>MONTH(Table1[[#This Row],[Date Created Conversion]])</f>
        <v>2</v>
      </c>
      <c r="N3966">
        <f>YEAR(Table1[[#This Row],[Date Created Conversion]])</f>
        <v>2015</v>
      </c>
      <c r="O3966" t="b">
        <v>0</v>
      </c>
      <c r="P3966">
        <v>3</v>
      </c>
      <c r="Q3966" t="b">
        <v>0</v>
      </c>
      <c r="R3966" t="s">
        <v>8271</v>
      </c>
      <c r="S3966" s="6">
        <f>Table1[[#This Row],[pledged]]/Table1[[#This Row],[goal]]</f>
        <v>6.3E-2</v>
      </c>
      <c r="T3966" s="8">
        <f>IF(Table1[[#This Row],[pledged]]=0,"no backers",Table1[[#This Row],[pledged]]/Table1[[#This Row],[backers_count]])</f>
        <v>42</v>
      </c>
      <c r="U3966" t="str">
        <f>LEFT(Table1[[#This Row],[Category and Sub-Category]],FIND("/",Table1[[#This Row],[Category and Sub-Category]])-1)</f>
        <v>theater</v>
      </c>
      <c r="V3966" t="str">
        <f>RIGHT(Table1[[#This Row],[Category and Sub-Category]],LEN(Table1[[#This Row],[Category and Sub-Category]])-FIND("/",Table1[[#This Row],[Category and Sub-Category]]))</f>
        <v>plays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 s="12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>((Table1[[#This Row],[deadline]]/60)/60/24)+DATE(1970,1,1)</f>
        <v>42474.194212962961</v>
      </c>
      <c r="K3967">
        <v>1455428380</v>
      </c>
      <c r="L3967" s="11">
        <f>((Table1[[#This Row],[launched_at]]/60)/60/24)+DATE(1970,1,1)</f>
        <v>42414.235879629632</v>
      </c>
      <c r="M3967">
        <f>MONTH(Table1[[#This Row],[Date Created Conversion]])</f>
        <v>2</v>
      </c>
      <c r="N3967">
        <f>YEAR(Table1[[#This Row],[Date Created Conversion]])</f>
        <v>2016</v>
      </c>
      <c r="O3967" t="b">
        <v>0</v>
      </c>
      <c r="P3967">
        <v>4</v>
      </c>
      <c r="Q3967" t="b">
        <v>0</v>
      </c>
      <c r="R3967" t="s">
        <v>8271</v>
      </c>
      <c r="S3967" s="6">
        <f>Table1[[#This Row],[pledged]]/Table1[[#This Row],[goal]]</f>
        <v>0.14249999999999999</v>
      </c>
      <c r="T3967" s="8">
        <f>IF(Table1[[#This Row],[pledged]]=0,"no backers",Table1[[#This Row],[pledged]]/Table1[[#This Row],[backers_count]])</f>
        <v>71.25</v>
      </c>
      <c r="U3967" t="str">
        <f>LEFT(Table1[[#This Row],[Category and Sub-Category]],FIND("/",Table1[[#This Row],[Category and Sub-Category]])-1)</f>
        <v>theater</v>
      </c>
      <c r="V3967" t="str">
        <f>RIGHT(Table1[[#This Row],[Category and Sub-Category]],LEN(Table1[[#This Row],[Category and Sub-Category]])-FIND("/",Table1[[#This Row],[Category and Sub-Category]]))</f>
        <v>plays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 s="12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>((Table1[[#This Row],[deadline]]/60)/60/24)+DATE(1970,1,1)</f>
        <v>41844.124305555553</v>
      </c>
      <c r="K3968">
        <v>1402506278</v>
      </c>
      <c r="L3968" s="11">
        <f>((Table1[[#This Row],[launched_at]]/60)/60/24)+DATE(1970,1,1)</f>
        <v>41801.711550925924</v>
      </c>
      <c r="M3968">
        <f>MONTH(Table1[[#This Row],[Date Created Conversion]])</f>
        <v>6</v>
      </c>
      <c r="N3968">
        <f>YEAR(Table1[[#This Row],[Date Created Conversion]])</f>
        <v>2014</v>
      </c>
      <c r="O3968" t="b">
        <v>0</v>
      </c>
      <c r="P3968">
        <v>2</v>
      </c>
      <c r="Q3968" t="b">
        <v>0</v>
      </c>
      <c r="R3968" t="s">
        <v>8271</v>
      </c>
      <c r="S3968" s="6">
        <f>Table1[[#This Row],[pledged]]/Table1[[#This Row],[goal]]</f>
        <v>6.0000000000000001E-3</v>
      </c>
      <c r="T3968" s="8">
        <f>IF(Table1[[#This Row],[pledged]]=0,"no backers",Table1[[#This Row],[pledged]]/Table1[[#This Row],[backers_count]])</f>
        <v>22.5</v>
      </c>
      <c r="U3968" t="str">
        <f>LEFT(Table1[[#This Row],[Category and Sub-Category]],FIND("/",Table1[[#This Row],[Category and Sub-Category]])-1)</f>
        <v>theater</v>
      </c>
      <c r="V3968" t="str">
        <f>RIGHT(Table1[[#This Row],[Category and Sub-Category]],LEN(Table1[[#This Row],[Category and Sub-Category]])-FIND("/",Table1[[#This Row],[Category and Sub-Category]]))</f>
        <v>plays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 s="12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>((Table1[[#This Row],[deadline]]/60)/60/24)+DATE(1970,1,1)</f>
        <v>42800.290590277778</v>
      </c>
      <c r="K3969">
        <v>1486191507</v>
      </c>
      <c r="L3969" s="11">
        <f>((Table1[[#This Row],[launched_at]]/60)/60/24)+DATE(1970,1,1)</f>
        <v>42770.290590277778</v>
      </c>
      <c r="M3969">
        <f>MONTH(Table1[[#This Row],[Date Created Conversion]])</f>
        <v>2</v>
      </c>
      <c r="N3969">
        <f>YEAR(Table1[[#This Row],[Date Created Conversion]])</f>
        <v>2017</v>
      </c>
      <c r="O3969" t="b">
        <v>0</v>
      </c>
      <c r="P3969">
        <v>10</v>
      </c>
      <c r="Q3969" t="b">
        <v>0</v>
      </c>
      <c r="R3969" t="s">
        <v>8271</v>
      </c>
      <c r="S3969" s="6">
        <f>Table1[[#This Row],[pledged]]/Table1[[#This Row],[goal]]</f>
        <v>0.2411764705882353</v>
      </c>
      <c r="T3969" s="8">
        <f>IF(Table1[[#This Row],[pledged]]=0,"no backers",Table1[[#This Row],[pledged]]/Table1[[#This Row],[backers_count]])</f>
        <v>41</v>
      </c>
      <c r="U3969" t="str">
        <f>LEFT(Table1[[#This Row],[Category and Sub-Category]],FIND("/",Table1[[#This Row],[Category and Sub-Category]])-1)</f>
        <v>theater</v>
      </c>
      <c r="V3969" t="str">
        <f>RIGHT(Table1[[#This Row],[Category and Sub-Category]],LEN(Table1[[#This Row],[Category and Sub-Category]])-FIND("/",Table1[[#This Row],[Category and Sub-Category]]))</f>
        <v>plays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 s="12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>((Table1[[#This Row],[deadline]]/60)/60/24)+DATE(1970,1,1)</f>
        <v>42512.815659722226</v>
      </c>
      <c r="K3970">
        <v>1458761673</v>
      </c>
      <c r="L3970" s="11">
        <f>((Table1[[#This Row],[launched_at]]/60)/60/24)+DATE(1970,1,1)</f>
        <v>42452.815659722226</v>
      </c>
      <c r="M3970">
        <f>MONTH(Table1[[#This Row],[Date Created Conversion]])</f>
        <v>3</v>
      </c>
      <c r="N3970">
        <f>YEAR(Table1[[#This Row],[Date Created Conversion]])</f>
        <v>2016</v>
      </c>
      <c r="O3970" t="b">
        <v>0</v>
      </c>
      <c r="P3970">
        <v>11</v>
      </c>
      <c r="Q3970" t="b">
        <v>0</v>
      </c>
      <c r="R3970" t="s">
        <v>8271</v>
      </c>
      <c r="S3970" s="6">
        <f>Table1[[#This Row],[pledged]]/Table1[[#This Row],[goal]]</f>
        <v>0.10539999999999999</v>
      </c>
      <c r="T3970" s="8">
        <f>IF(Table1[[#This Row],[pledged]]=0,"no backers",Table1[[#This Row],[pledged]]/Table1[[#This Row],[backers_count]])</f>
        <v>47.909090909090907</v>
      </c>
      <c r="U3970" t="str">
        <f>LEFT(Table1[[#This Row],[Category and Sub-Category]],FIND("/",Table1[[#This Row],[Category and Sub-Category]])-1)</f>
        <v>theater</v>
      </c>
      <c r="V3970" t="str">
        <f>RIGHT(Table1[[#This Row],[Category and Sub-Category]],LEN(Table1[[#This Row],[Category and Sub-Category]])-FIND("/",Table1[[#This Row],[Category and Sub-Category]]))</f>
        <v>plays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 s="12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>((Table1[[#This Row],[deadline]]/60)/60/24)+DATE(1970,1,1)</f>
        <v>42611.163194444445</v>
      </c>
      <c r="K3971">
        <v>1471638646</v>
      </c>
      <c r="L3971" s="11">
        <f>((Table1[[#This Row],[launched_at]]/60)/60/24)+DATE(1970,1,1)</f>
        <v>42601.854699074072</v>
      </c>
      <c r="M3971">
        <f>MONTH(Table1[[#This Row],[Date Created Conversion]])</f>
        <v>8</v>
      </c>
      <c r="N3971">
        <f>YEAR(Table1[[#This Row],[Date Created Conversion]])</f>
        <v>2016</v>
      </c>
      <c r="O3971" t="b">
        <v>0</v>
      </c>
      <c r="P3971">
        <v>6</v>
      </c>
      <c r="Q3971" t="b">
        <v>0</v>
      </c>
      <c r="R3971" t="s">
        <v>8271</v>
      </c>
      <c r="S3971" s="6">
        <f>Table1[[#This Row],[pledged]]/Table1[[#This Row],[goal]]</f>
        <v>7.4690265486725665E-2</v>
      </c>
      <c r="T3971" s="8">
        <f>IF(Table1[[#This Row],[pledged]]=0,"no backers",Table1[[#This Row],[pledged]]/Table1[[#This Row],[backers_count]])</f>
        <v>35.166666666666664</v>
      </c>
      <c r="U3971" t="str">
        <f>LEFT(Table1[[#This Row],[Category and Sub-Category]],FIND("/",Table1[[#This Row],[Category and Sub-Category]])-1)</f>
        <v>theater</v>
      </c>
      <c r="V3971" t="str">
        <f>RIGHT(Table1[[#This Row],[Category and Sub-Category]],LEN(Table1[[#This Row],[Category and Sub-Category]])-FIND("/",Table1[[#This Row],[Category and Sub-Category]]))</f>
        <v>plays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 s="1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>((Table1[[#This Row],[deadline]]/60)/60/24)+DATE(1970,1,1)</f>
        <v>42477.863553240735</v>
      </c>
      <c r="K3972">
        <v>1458333811</v>
      </c>
      <c r="L3972" s="11">
        <f>((Table1[[#This Row],[launched_at]]/60)/60/24)+DATE(1970,1,1)</f>
        <v>42447.863553240735</v>
      </c>
      <c r="M3972">
        <f>MONTH(Table1[[#This Row],[Date Created Conversion]])</f>
        <v>3</v>
      </c>
      <c r="N3972">
        <f>YEAR(Table1[[#This Row],[Date Created Conversion]])</f>
        <v>2016</v>
      </c>
      <c r="O3972" t="b">
        <v>0</v>
      </c>
      <c r="P3972">
        <v>2</v>
      </c>
      <c r="Q3972" t="b">
        <v>0</v>
      </c>
      <c r="R3972" t="s">
        <v>8271</v>
      </c>
      <c r="S3972" s="6">
        <f>Table1[[#This Row],[pledged]]/Table1[[#This Row],[goal]]</f>
        <v>7.3333333333333334E-4</v>
      </c>
      <c r="T3972" s="8">
        <f>IF(Table1[[#This Row],[pledged]]=0,"no backers",Table1[[#This Row],[pledged]]/Table1[[#This Row],[backers_count]])</f>
        <v>5.5</v>
      </c>
      <c r="U3972" t="str">
        <f>LEFT(Table1[[#This Row],[Category and Sub-Category]],FIND("/",Table1[[#This Row],[Category and Sub-Category]])-1)</f>
        <v>theater</v>
      </c>
      <c r="V3972" t="str">
        <f>RIGHT(Table1[[#This Row],[Category and Sub-Category]],LEN(Table1[[#This Row],[Category and Sub-Category]])-FIND("/",Table1[[#This Row],[Category and Sub-Category]]))</f>
        <v>plays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 s="12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>((Table1[[#This Row],[deadline]]/60)/60/24)+DATE(1970,1,1)</f>
        <v>41841.536180555559</v>
      </c>
      <c r="K3973">
        <v>1403355126</v>
      </c>
      <c r="L3973" s="11">
        <f>((Table1[[#This Row],[launched_at]]/60)/60/24)+DATE(1970,1,1)</f>
        <v>41811.536180555559</v>
      </c>
      <c r="M3973">
        <f>MONTH(Table1[[#This Row],[Date Created Conversion]])</f>
        <v>6</v>
      </c>
      <c r="N3973">
        <f>YEAR(Table1[[#This Row],[Date Created Conversion]])</f>
        <v>2014</v>
      </c>
      <c r="O3973" t="b">
        <v>0</v>
      </c>
      <c r="P3973">
        <v>6</v>
      </c>
      <c r="Q3973" t="b">
        <v>0</v>
      </c>
      <c r="R3973" t="s">
        <v>8271</v>
      </c>
      <c r="S3973" s="6">
        <f>Table1[[#This Row],[pledged]]/Table1[[#This Row],[goal]]</f>
        <v>9.7142857142857135E-3</v>
      </c>
      <c r="T3973" s="8">
        <f>IF(Table1[[#This Row],[pledged]]=0,"no backers",Table1[[#This Row],[pledged]]/Table1[[#This Row],[backers_count]])</f>
        <v>22.666666666666668</v>
      </c>
      <c r="U3973" t="str">
        <f>LEFT(Table1[[#This Row],[Category and Sub-Category]],FIND("/",Table1[[#This Row],[Category and Sub-Category]])-1)</f>
        <v>theater</v>
      </c>
      <c r="V3973" t="str">
        <f>RIGHT(Table1[[#This Row],[Category and Sub-Category]],LEN(Table1[[#This Row],[Category and Sub-Category]])-FIND("/",Table1[[#This Row],[Category and Sub-Category]]))</f>
        <v>plays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 s="12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>((Table1[[#This Row],[deadline]]/60)/60/24)+DATE(1970,1,1)</f>
        <v>42041.067523148144</v>
      </c>
      <c r="K3974">
        <v>1418002634</v>
      </c>
      <c r="L3974" s="11">
        <f>((Table1[[#This Row],[launched_at]]/60)/60/24)+DATE(1970,1,1)</f>
        <v>41981.067523148144</v>
      </c>
      <c r="M3974">
        <f>MONTH(Table1[[#This Row],[Date Created Conversion]])</f>
        <v>12</v>
      </c>
      <c r="N3974">
        <f>YEAR(Table1[[#This Row],[Date Created Conversion]])</f>
        <v>2014</v>
      </c>
      <c r="O3974" t="b">
        <v>0</v>
      </c>
      <c r="P3974">
        <v>8</v>
      </c>
      <c r="Q3974" t="b">
        <v>0</v>
      </c>
      <c r="R3974" t="s">
        <v>8271</v>
      </c>
      <c r="S3974" s="6">
        <f>Table1[[#This Row],[pledged]]/Table1[[#This Row],[goal]]</f>
        <v>0.21099999999999999</v>
      </c>
      <c r="T3974" s="8">
        <f>IF(Table1[[#This Row],[pledged]]=0,"no backers",Table1[[#This Row],[pledged]]/Table1[[#This Row],[backers_count]])</f>
        <v>26.375</v>
      </c>
      <c r="U3974" t="str">
        <f>LEFT(Table1[[#This Row],[Category and Sub-Category]],FIND("/",Table1[[#This Row],[Category and Sub-Category]])-1)</f>
        <v>theater</v>
      </c>
      <c r="V3974" t="str">
        <f>RIGHT(Table1[[#This Row],[Category and Sub-Category]],LEN(Table1[[#This Row],[Category and Sub-Category]])-FIND("/",Table1[[#This Row],[Category and Sub-Category]]))</f>
        <v>plays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 s="12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>((Table1[[#This Row],[deadline]]/60)/60/24)+DATE(1970,1,1)</f>
        <v>42499.166666666672</v>
      </c>
      <c r="K3975">
        <v>1460219110</v>
      </c>
      <c r="L3975" s="11">
        <f>((Table1[[#This Row],[launched_at]]/60)/60/24)+DATE(1970,1,1)</f>
        <v>42469.68414351852</v>
      </c>
      <c r="M3975">
        <f>MONTH(Table1[[#This Row],[Date Created Conversion]])</f>
        <v>4</v>
      </c>
      <c r="N3975">
        <f>YEAR(Table1[[#This Row],[Date Created Conversion]])</f>
        <v>2016</v>
      </c>
      <c r="O3975" t="b">
        <v>0</v>
      </c>
      <c r="P3975">
        <v>37</v>
      </c>
      <c r="Q3975" t="b">
        <v>0</v>
      </c>
      <c r="R3975" t="s">
        <v>8271</v>
      </c>
      <c r="S3975" s="6">
        <f>Table1[[#This Row],[pledged]]/Table1[[#This Row],[goal]]</f>
        <v>0.78100000000000003</v>
      </c>
      <c r="T3975" s="8">
        <f>IF(Table1[[#This Row],[pledged]]=0,"no backers",Table1[[#This Row],[pledged]]/Table1[[#This Row],[backers_count]])</f>
        <v>105.54054054054055</v>
      </c>
      <c r="U3975" t="str">
        <f>LEFT(Table1[[#This Row],[Category and Sub-Category]],FIND("/",Table1[[#This Row],[Category and Sub-Category]])-1)</f>
        <v>theater</v>
      </c>
      <c r="V3975" t="str">
        <f>RIGHT(Table1[[#This Row],[Category and Sub-Category]],LEN(Table1[[#This Row],[Category and Sub-Category]])-FIND("/",Table1[[#This Row],[Category and Sub-Category]]))</f>
        <v>plays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 s="12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>((Table1[[#This Row],[deadline]]/60)/60/24)+DATE(1970,1,1)</f>
        <v>42523.546851851846</v>
      </c>
      <c r="K3976">
        <v>1462280848</v>
      </c>
      <c r="L3976" s="11">
        <f>((Table1[[#This Row],[launched_at]]/60)/60/24)+DATE(1970,1,1)</f>
        <v>42493.546851851846</v>
      </c>
      <c r="M3976">
        <f>MONTH(Table1[[#This Row],[Date Created Conversion]])</f>
        <v>5</v>
      </c>
      <c r="N3976">
        <f>YEAR(Table1[[#This Row],[Date Created Conversion]])</f>
        <v>2016</v>
      </c>
      <c r="O3976" t="b">
        <v>0</v>
      </c>
      <c r="P3976">
        <v>11</v>
      </c>
      <c r="Q3976" t="b">
        <v>0</v>
      </c>
      <c r="R3976" t="s">
        <v>8271</v>
      </c>
      <c r="S3976" s="6">
        <f>Table1[[#This Row],[pledged]]/Table1[[#This Row],[goal]]</f>
        <v>0.32</v>
      </c>
      <c r="T3976" s="8">
        <f>IF(Table1[[#This Row],[pledged]]=0,"no backers",Table1[[#This Row],[pledged]]/Table1[[#This Row],[backers_count]])</f>
        <v>29.09090909090909</v>
      </c>
      <c r="U3976" t="str">
        <f>LEFT(Table1[[#This Row],[Category and Sub-Category]],FIND("/",Table1[[#This Row],[Category and Sub-Category]])-1)</f>
        <v>theater</v>
      </c>
      <c r="V3976" t="str">
        <f>RIGHT(Table1[[#This Row],[Category and Sub-Category]],LEN(Table1[[#This Row],[Category and Sub-Category]])-FIND("/",Table1[[#This Row],[Category and Sub-Category]]))</f>
        <v>plays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 s="12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>((Table1[[#This Row],[deadline]]/60)/60/24)+DATE(1970,1,1)</f>
        <v>42564.866875</v>
      </c>
      <c r="K3977">
        <v>1465850898</v>
      </c>
      <c r="L3977" s="11">
        <f>((Table1[[#This Row],[launched_at]]/60)/60/24)+DATE(1970,1,1)</f>
        <v>42534.866875</v>
      </c>
      <c r="M3977">
        <f>MONTH(Table1[[#This Row],[Date Created Conversion]])</f>
        <v>6</v>
      </c>
      <c r="N3977">
        <f>YEAR(Table1[[#This Row],[Date Created Conversion]])</f>
        <v>2016</v>
      </c>
      <c r="O3977" t="b">
        <v>0</v>
      </c>
      <c r="P3977">
        <v>0</v>
      </c>
      <c r="Q3977" t="b">
        <v>0</v>
      </c>
      <c r="R3977" t="s">
        <v>8271</v>
      </c>
      <c r="S3977" s="6">
        <f>Table1[[#This Row],[pledged]]/Table1[[#This Row],[goal]]</f>
        <v>0</v>
      </c>
      <c r="T3977" s="8" t="str">
        <f>IF(Table1[[#This Row],[pledged]]=0,"no backers",Table1[[#This Row],[pledged]]/Table1[[#This Row],[backers_count]])</f>
        <v>no backers</v>
      </c>
      <c r="U3977" t="str">
        <f>LEFT(Table1[[#This Row],[Category and Sub-Category]],FIND("/",Table1[[#This Row],[Category and Sub-Category]])-1)</f>
        <v>theater</v>
      </c>
      <c r="V3977" t="str">
        <f>RIGHT(Table1[[#This Row],[Category and Sub-Category]],LEN(Table1[[#This Row],[Category and Sub-Category]])-FIND("/",Table1[[#This Row],[Category and Sub-Category]]))</f>
        <v>plays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 s="12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>((Table1[[#This Row],[deadline]]/60)/60/24)+DATE(1970,1,1)</f>
        <v>41852.291666666664</v>
      </c>
      <c r="K3978">
        <v>1405024561</v>
      </c>
      <c r="L3978" s="11">
        <f>((Table1[[#This Row],[launched_at]]/60)/60/24)+DATE(1970,1,1)</f>
        <v>41830.858344907407</v>
      </c>
      <c r="M3978">
        <f>MONTH(Table1[[#This Row],[Date Created Conversion]])</f>
        <v>7</v>
      </c>
      <c r="N3978">
        <f>YEAR(Table1[[#This Row],[Date Created Conversion]])</f>
        <v>2014</v>
      </c>
      <c r="O3978" t="b">
        <v>0</v>
      </c>
      <c r="P3978">
        <v>10</v>
      </c>
      <c r="Q3978" t="b">
        <v>0</v>
      </c>
      <c r="R3978" t="s">
        <v>8271</v>
      </c>
      <c r="S3978" s="6">
        <f>Table1[[#This Row],[pledged]]/Table1[[#This Row],[goal]]</f>
        <v>0.47692307692307695</v>
      </c>
      <c r="T3978" s="8">
        <f>IF(Table1[[#This Row],[pledged]]=0,"no backers",Table1[[#This Row],[pledged]]/Table1[[#This Row],[backers_count]])</f>
        <v>62</v>
      </c>
      <c r="U3978" t="str">
        <f>LEFT(Table1[[#This Row],[Category and Sub-Category]],FIND("/",Table1[[#This Row],[Category and Sub-Category]])-1)</f>
        <v>theater</v>
      </c>
      <c r="V3978" t="str">
        <f>RIGHT(Table1[[#This Row],[Category and Sub-Category]],LEN(Table1[[#This Row],[Category and Sub-Category]])-FIND("/",Table1[[#This Row],[Category and Sub-Category]]))</f>
        <v>plays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 s="12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>((Table1[[#This Row],[deadline]]/60)/60/24)+DATE(1970,1,1)</f>
        <v>42573.788564814815</v>
      </c>
      <c r="K3979">
        <v>1466621732</v>
      </c>
      <c r="L3979" s="11">
        <f>((Table1[[#This Row],[launched_at]]/60)/60/24)+DATE(1970,1,1)</f>
        <v>42543.788564814815</v>
      </c>
      <c r="M3979">
        <f>MONTH(Table1[[#This Row],[Date Created Conversion]])</f>
        <v>6</v>
      </c>
      <c r="N3979">
        <f>YEAR(Table1[[#This Row],[Date Created Conversion]])</f>
        <v>2016</v>
      </c>
      <c r="O3979" t="b">
        <v>0</v>
      </c>
      <c r="P3979">
        <v>6</v>
      </c>
      <c r="Q3979" t="b">
        <v>0</v>
      </c>
      <c r="R3979" t="s">
        <v>8271</v>
      </c>
      <c r="S3979" s="6">
        <f>Table1[[#This Row],[pledged]]/Table1[[#This Row],[goal]]</f>
        <v>1.4500000000000001E-2</v>
      </c>
      <c r="T3979" s="8">
        <f>IF(Table1[[#This Row],[pledged]]=0,"no backers",Table1[[#This Row],[pledged]]/Table1[[#This Row],[backers_count]])</f>
        <v>217.5</v>
      </c>
      <c r="U3979" t="str">
        <f>LEFT(Table1[[#This Row],[Category and Sub-Category]],FIND("/",Table1[[#This Row],[Category and Sub-Category]])-1)</f>
        <v>theater</v>
      </c>
      <c r="V3979" t="str">
        <f>RIGHT(Table1[[#This Row],[Category and Sub-Category]],LEN(Table1[[#This Row],[Category and Sub-Category]])-FIND("/",Table1[[#This Row],[Category and Sub-Category]]))</f>
        <v>plays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 s="12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>((Table1[[#This Row],[deadline]]/60)/60/24)+DATE(1970,1,1)</f>
        <v>42035.642974537041</v>
      </c>
      <c r="K3980">
        <v>1417533953</v>
      </c>
      <c r="L3980" s="11">
        <f>((Table1[[#This Row],[launched_at]]/60)/60/24)+DATE(1970,1,1)</f>
        <v>41975.642974537041</v>
      </c>
      <c r="M3980">
        <f>MONTH(Table1[[#This Row],[Date Created Conversion]])</f>
        <v>12</v>
      </c>
      <c r="N3980">
        <f>YEAR(Table1[[#This Row],[Date Created Conversion]])</f>
        <v>2014</v>
      </c>
      <c r="O3980" t="b">
        <v>0</v>
      </c>
      <c r="P3980">
        <v>8</v>
      </c>
      <c r="Q3980" t="b">
        <v>0</v>
      </c>
      <c r="R3980" t="s">
        <v>8271</v>
      </c>
      <c r="S3980" s="6">
        <f>Table1[[#This Row],[pledged]]/Table1[[#This Row],[goal]]</f>
        <v>0.107</v>
      </c>
      <c r="T3980" s="8">
        <f>IF(Table1[[#This Row],[pledged]]=0,"no backers",Table1[[#This Row],[pledged]]/Table1[[#This Row],[backers_count]])</f>
        <v>26.75</v>
      </c>
      <c r="U3980" t="str">
        <f>LEFT(Table1[[#This Row],[Category and Sub-Category]],FIND("/",Table1[[#This Row],[Category and Sub-Category]])-1)</f>
        <v>theater</v>
      </c>
      <c r="V3980" t="str">
        <f>RIGHT(Table1[[#This Row],[Category and Sub-Category]],LEN(Table1[[#This Row],[Category and Sub-Category]])-FIND("/",Table1[[#This Row],[Category and Sub-Category]]))</f>
        <v>plays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 s="12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>((Table1[[#This Row],[deadline]]/60)/60/24)+DATE(1970,1,1)</f>
        <v>42092.833333333328</v>
      </c>
      <c r="K3981">
        <v>1425678057</v>
      </c>
      <c r="L3981" s="11">
        <f>((Table1[[#This Row],[launched_at]]/60)/60/24)+DATE(1970,1,1)</f>
        <v>42069.903437500005</v>
      </c>
      <c r="M3981">
        <f>MONTH(Table1[[#This Row],[Date Created Conversion]])</f>
        <v>3</v>
      </c>
      <c r="N3981">
        <f>YEAR(Table1[[#This Row],[Date Created Conversion]])</f>
        <v>2015</v>
      </c>
      <c r="O3981" t="b">
        <v>0</v>
      </c>
      <c r="P3981">
        <v>6</v>
      </c>
      <c r="Q3981" t="b">
        <v>0</v>
      </c>
      <c r="R3981" t="s">
        <v>8271</v>
      </c>
      <c r="S3981" s="6">
        <f>Table1[[#This Row],[pledged]]/Table1[[#This Row],[goal]]</f>
        <v>1.8333333333333333E-2</v>
      </c>
      <c r="T3981" s="8">
        <f>IF(Table1[[#This Row],[pledged]]=0,"no backers",Table1[[#This Row],[pledged]]/Table1[[#This Row],[backers_count]])</f>
        <v>18.333333333333332</v>
      </c>
      <c r="U3981" t="str">
        <f>LEFT(Table1[[#This Row],[Category and Sub-Category]],FIND("/",Table1[[#This Row],[Category and Sub-Category]])-1)</f>
        <v>theater</v>
      </c>
      <c r="V3981" t="str">
        <f>RIGHT(Table1[[#This Row],[Category and Sub-Category]],LEN(Table1[[#This Row],[Category and Sub-Category]])-FIND("/",Table1[[#This Row],[Category and Sub-Category]]))</f>
        <v>plays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 s="1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>((Table1[[#This Row],[deadline]]/60)/60/24)+DATE(1970,1,1)</f>
        <v>41825.598923611113</v>
      </c>
      <c r="K3982">
        <v>1401978147</v>
      </c>
      <c r="L3982" s="11">
        <f>((Table1[[#This Row],[launched_at]]/60)/60/24)+DATE(1970,1,1)</f>
        <v>41795.598923611113</v>
      </c>
      <c r="M3982">
        <f>MONTH(Table1[[#This Row],[Date Created Conversion]])</f>
        <v>6</v>
      </c>
      <c r="N3982">
        <f>YEAR(Table1[[#This Row],[Date Created Conversion]])</f>
        <v>2014</v>
      </c>
      <c r="O3982" t="b">
        <v>0</v>
      </c>
      <c r="P3982">
        <v>7</v>
      </c>
      <c r="Q3982" t="b">
        <v>0</v>
      </c>
      <c r="R3982" t="s">
        <v>8271</v>
      </c>
      <c r="S3982" s="6">
        <f>Table1[[#This Row],[pledged]]/Table1[[#This Row],[goal]]</f>
        <v>0.18</v>
      </c>
      <c r="T3982" s="8">
        <f>IF(Table1[[#This Row],[pledged]]=0,"no backers",Table1[[#This Row],[pledged]]/Table1[[#This Row],[backers_count]])</f>
        <v>64.285714285714292</v>
      </c>
      <c r="U3982" t="str">
        <f>LEFT(Table1[[#This Row],[Category and Sub-Category]],FIND("/",Table1[[#This Row],[Category and Sub-Category]])-1)</f>
        <v>theater</v>
      </c>
      <c r="V3982" t="str">
        <f>RIGHT(Table1[[#This Row],[Category and Sub-Category]],LEN(Table1[[#This Row],[Category and Sub-Category]])-FIND("/",Table1[[#This Row],[Category and Sub-Category]]))</f>
        <v>plays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 s="12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>((Table1[[#This Row],[deadline]]/60)/60/24)+DATE(1970,1,1)</f>
        <v>42568.179965277777</v>
      </c>
      <c r="K3983">
        <v>1463545149</v>
      </c>
      <c r="L3983" s="11">
        <f>((Table1[[#This Row],[launched_at]]/60)/60/24)+DATE(1970,1,1)</f>
        <v>42508.179965277777</v>
      </c>
      <c r="M3983">
        <f>MONTH(Table1[[#This Row],[Date Created Conversion]])</f>
        <v>5</v>
      </c>
      <c r="N3983">
        <f>YEAR(Table1[[#This Row],[Date Created Conversion]])</f>
        <v>2016</v>
      </c>
      <c r="O3983" t="b">
        <v>0</v>
      </c>
      <c r="P3983">
        <v>7</v>
      </c>
      <c r="Q3983" t="b">
        <v>0</v>
      </c>
      <c r="R3983" t="s">
        <v>8271</v>
      </c>
      <c r="S3983" s="6">
        <f>Table1[[#This Row],[pledged]]/Table1[[#This Row],[goal]]</f>
        <v>4.0833333333333333E-2</v>
      </c>
      <c r="T3983" s="8">
        <f>IF(Table1[[#This Row],[pledged]]=0,"no backers",Table1[[#This Row],[pledged]]/Table1[[#This Row],[backers_count]])</f>
        <v>175</v>
      </c>
      <c r="U3983" t="str">
        <f>LEFT(Table1[[#This Row],[Category and Sub-Category]],FIND("/",Table1[[#This Row],[Category and Sub-Category]])-1)</f>
        <v>theater</v>
      </c>
      <c r="V3983" t="str">
        <f>RIGHT(Table1[[#This Row],[Category and Sub-Category]],LEN(Table1[[#This Row],[Category and Sub-Category]])-FIND("/",Table1[[#This Row],[Category and Sub-Category]]))</f>
        <v>plays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 s="12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>((Table1[[#This Row],[deadline]]/60)/60/24)+DATE(1970,1,1)</f>
        <v>42192.809953703705</v>
      </c>
      <c r="K3984">
        <v>1431113180</v>
      </c>
      <c r="L3984" s="11">
        <f>((Table1[[#This Row],[launched_at]]/60)/60/24)+DATE(1970,1,1)</f>
        <v>42132.809953703705</v>
      </c>
      <c r="M3984">
        <f>MONTH(Table1[[#This Row],[Date Created Conversion]])</f>
        <v>5</v>
      </c>
      <c r="N3984">
        <f>YEAR(Table1[[#This Row],[Date Created Conversion]])</f>
        <v>2015</v>
      </c>
      <c r="O3984" t="b">
        <v>0</v>
      </c>
      <c r="P3984">
        <v>5</v>
      </c>
      <c r="Q3984" t="b">
        <v>0</v>
      </c>
      <c r="R3984" t="s">
        <v>8271</v>
      </c>
      <c r="S3984" s="6">
        <f>Table1[[#This Row],[pledged]]/Table1[[#This Row],[goal]]</f>
        <v>0.2</v>
      </c>
      <c r="T3984" s="8">
        <f>IF(Table1[[#This Row],[pledged]]=0,"no backers",Table1[[#This Row],[pledged]]/Table1[[#This Row],[backers_count]])</f>
        <v>34</v>
      </c>
      <c r="U3984" t="str">
        <f>LEFT(Table1[[#This Row],[Category and Sub-Category]],FIND("/",Table1[[#This Row],[Category and Sub-Category]])-1)</f>
        <v>theater</v>
      </c>
      <c r="V3984" t="str">
        <f>RIGHT(Table1[[#This Row],[Category and Sub-Category]],LEN(Table1[[#This Row],[Category and Sub-Category]])-FIND("/",Table1[[#This Row],[Category and Sub-Category]]))</f>
        <v>plays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 s="12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>((Table1[[#This Row],[deadline]]/60)/60/24)+DATE(1970,1,1)</f>
        <v>41779.290972222225</v>
      </c>
      <c r="K3985">
        <v>1397854356</v>
      </c>
      <c r="L3985" s="11">
        <f>((Table1[[#This Row],[launched_at]]/60)/60/24)+DATE(1970,1,1)</f>
        <v>41747.86986111111</v>
      </c>
      <c r="M3985">
        <f>MONTH(Table1[[#This Row],[Date Created Conversion]])</f>
        <v>4</v>
      </c>
      <c r="N3985">
        <f>YEAR(Table1[[#This Row],[Date Created Conversion]])</f>
        <v>2014</v>
      </c>
      <c r="O3985" t="b">
        <v>0</v>
      </c>
      <c r="P3985">
        <v>46</v>
      </c>
      <c r="Q3985" t="b">
        <v>0</v>
      </c>
      <c r="R3985" t="s">
        <v>8271</v>
      </c>
      <c r="S3985" s="6">
        <f>Table1[[#This Row],[pledged]]/Table1[[#This Row],[goal]]</f>
        <v>0.34802513464991025</v>
      </c>
      <c r="T3985" s="8">
        <f>IF(Table1[[#This Row],[pledged]]=0,"no backers",Table1[[#This Row],[pledged]]/Table1[[#This Row],[backers_count]])</f>
        <v>84.282608695652172</v>
      </c>
      <c r="U3985" t="str">
        <f>LEFT(Table1[[#This Row],[Category and Sub-Category]],FIND("/",Table1[[#This Row],[Category and Sub-Category]])-1)</f>
        <v>theater</v>
      </c>
      <c r="V3985" t="str">
        <f>RIGHT(Table1[[#This Row],[Category and Sub-Category]],LEN(Table1[[#This Row],[Category and Sub-Category]])-FIND("/",Table1[[#This Row],[Category and Sub-Category]]))</f>
        <v>plays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 s="12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>((Table1[[#This Row],[deadline]]/60)/60/24)+DATE(1970,1,1)</f>
        <v>41951</v>
      </c>
      <c r="K3986">
        <v>1412809644</v>
      </c>
      <c r="L3986" s="11">
        <f>((Table1[[#This Row],[launched_at]]/60)/60/24)+DATE(1970,1,1)</f>
        <v>41920.963472222218</v>
      </c>
      <c r="M3986">
        <f>MONTH(Table1[[#This Row],[Date Created Conversion]])</f>
        <v>10</v>
      </c>
      <c r="N3986">
        <f>YEAR(Table1[[#This Row],[Date Created Conversion]])</f>
        <v>2014</v>
      </c>
      <c r="O3986" t="b">
        <v>0</v>
      </c>
      <c r="P3986">
        <v>10</v>
      </c>
      <c r="Q3986" t="b">
        <v>0</v>
      </c>
      <c r="R3986" t="s">
        <v>8271</v>
      </c>
      <c r="S3986" s="6">
        <f>Table1[[#This Row],[pledged]]/Table1[[#This Row],[goal]]</f>
        <v>6.3333333333333339E-2</v>
      </c>
      <c r="T3986" s="8">
        <f>IF(Table1[[#This Row],[pledged]]=0,"no backers",Table1[[#This Row],[pledged]]/Table1[[#This Row],[backers_count]])</f>
        <v>9.5</v>
      </c>
      <c r="U3986" t="str">
        <f>LEFT(Table1[[#This Row],[Category and Sub-Category]],FIND("/",Table1[[#This Row],[Category and Sub-Category]])-1)</f>
        <v>theater</v>
      </c>
      <c r="V3986" t="str">
        <f>RIGHT(Table1[[#This Row],[Category and Sub-Category]],LEN(Table1[[#This Row],[Category and Sub-Category]])-FIND("/",Table1[[#This Row],[Category and Sub-Category]]))</f>
        <v>plays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 s="12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>((Table1[[#This Row],[deadline]]/60)/60/24)+DATE(1970,1,1)</f>
        <v>42420.878472222219</v>
      </c>
      <c r="K3987">
        <v>1454173120</v>
      </c>
      <c r="L3987" s="11">
        <f>((Table1[[#This Row],[launched_at]]/60)/60/24)+DATE(1970,1,1)</f>
        <v>42399.707407407404</v>
      </c>
      <c r="M3987">
        <f>MONTH(Table1[[#This Row],[Date Created Conversion]])</f>
        <v>1</v>
      </c>
      <c r="N3987">
        <f>YEAR(Table1[[#This Row],[Date Created Conversion]])</f>
        <v>2016</v>
      </c>
      <c r="O3987" t="b">
        <v>0</v>
      </c>
      <c r="P3987">
        <v>19</v>
      </c>
      <c r="Q3987" t="b">
        <v>0</v>
      </c>
      <c r="R3987" t="s">
        <v>8271</v>
      </c>
      <c r="S3987" s="6">
        <f>Table1[[#This Row],[pledged]]/Table1[[#This Row],[goal]]</f>
        <v>0.32050000000000001</v>
      </c>
      <c r="T3987" s="8">
        <f>IF(Table1[[#This Row],[pledged]]=0,"no backers",Table1[[#This Row],[pledged]]/Table1[[#This Row],[backers_count]])</f>
        <v>33.736842105263158</v>
      </c>
      <c r="U3987" t="str">
        <f>LEFT(Table1[[#This Row],[Category and Sub-Category]],FIND("/",Table1[[#This Row],[Category and Sub-Category]])-1)</f>
        <v>theater</v>
      </c>
      <c r="V3987" t="str">
        <f>RIGHT(Table1[[#This Row],[Category and Sub-Category]],LEN(Table1[[#This Row],[Category and Sub-Category]])-FIND("/",Table1[[#This Row],[Category and Sub-Category]]))</f>
        <v>plays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 s="12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>((Table1[[#This Row],[deadline]]/60)/60/24)+DATE(1970,1,1)</f>
        <v>42496.544444444444</v>
      </c>
      <c r="K3988">
        <v>1460034594</v>
      </c>
      <c r="L3988" s="11">
        <f>((Table1[[#This Row],[launched_at]]/60)/60/24)+DATE(1970,1,1)</f>
        <v>42467.548541666663</v>
      </c>
      <c r="M3988">
        <f>MONTH(Table1[[#This Row],[Date Created Conversion]])</f>
        <v>4</v>
      </c>
      <c r="N3988">
        <f>YEAR(Table1[[#This Row],[Date Created Conversion]])</f>
        <v>2016</v>
      </c>
      <c r="O3988" t="b">
        <v>0</v>
      </c>
      <c r="P3988">
        <v>13</v>
      </c>
      <c r="Q3988" t="b">
        <v>0</v>
      </c>
      <c r="R3988" t="s">
        <v>8271</v>
      </c>
      <c r="S3988" s="6">
        <f>Table1[[#This Row],[pledged]]/Table1[[#This Row],[goal]]</f>
        <v>9.7600000000000006E-2</v>
      </c>
      <c r="T3988" s="8">
        <f>IF(Table1[[#This Row],[pledged]]=0,"no backers",Table1[[#This Row],[pledged]]/Table1[[#This Row],[backers_count]])</f>
        <v>37.53846153846154</v>
      </c>
      <c r="U3988" t="str">
        <f>LEFT(Table1[[#This Row],[Category and Sub-Category]],FIND("/",Table1[[#This Row],[Category and Sub-Category]])-1)</f>
        <v>theater</v>
      </c>
      <c r="V3988" t="str">
        <f>RIGHT(Table1[[#This Row],[Category and Sub-Category]],LEN(Table1[[#This Row],[Category and Sub-Category]])-FIND("/",Table1[[#This Row],[Category and Sub-Category]]))</f>
        <v>plays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 s="12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>((Table1[[#This Row],[deadline]]/60)/60/24)+DATE(1970,1,1)</f>
        <v>41775.92465277778</v>
      </c>
      <c r="K3989">
        <v>1399414290</v>
      </c>
      <c r="L3989" s="11">
        <f>((Table1[[#This Row],[launched_at]]/60)/60/24)+DATE(1970,1,1)</f>
        <v>41765.92465277778</v>
      </c>
      <c r="M3989">
        <f>MONTH(Table1[[#This Row],[Date Created Conversion]])</f>
        <v>5</v>
      </c>
      <c r="N3989">
        <f>YEAR(Table1[[#This Row],[Date Created Conversion]])</f>
        <v>2014</v>
      </c>
      <c r="O3989" t="b">
        <v>0</v>
      </c>
      <c r="P3989">
        <v>13</v>
      </c>
      <c r="Q3989" t="b">
        <v>0</v>
      </c>
      <c r="R3989" t="s">
        <v>8271</v>
      </c>
      <c r="S3989" s="6">
        <f>Table1[[#This Row],[pledged]]/Table1[[#This Row],[goal]]</f>
        <v>0.3775</v>
      </c>
      <c r="T3989" s="8">
        <f>IF(Table1[[#This Row],[pledged]]=0,"no backers",Table1[[#This Row],[pledged]]/Table1[[#This Row],[backers_count]])</f>
        <v>11.615384615384615</v>
      </c>
      <c r="U3989" t="str">
        <f>LEFT(Table1[[#This Row],[Category and Sub-Category]],FIND("/",Table1[[#This Row],[Category and Sub-Category]])-1)</f>
        <v>theater</v>
      </c>
      <c r="V3989" t="str">
        <f>RIGHT(Table1[[#This Row],[Category and Sub-Category]],LEN(Table1[[#This Row],[Category and Sub-Category]])-FIND("/",Table1[[#This Row],[Category and Sub-Category]]))</f>
        <v>plays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 s="12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>((Table1[[#This Row],[deadline]]/60)/60/24)+DATE(1970,1,1)</f>
        <v>42245.08116898148</v>
      </c>
      <c r="K3990">
        <v>1439517413</v>
      </c>
      <c r="L3990" s="11">
        <f>((Table1[[#This Row],[launched_at]]/60)/60/24)+DATE(1970,1,1)</f>
        <v>42230.08116898148</v>
      </c>
      <c r="M3990">
        <f>MONTH(Table1[[#This Row],[Date Created Conversion]])</f>
        <v>8</v>
      </c>
      <c r="N3990">
        <f>YEAR(Table1[[#This Row],[Date Created Conversion]])</f>
        <v>2015</v>
      </c>
      <c r="O3990" t="b">
        <v>0</v>
      </c>
      <c r="P3990">
        <v>4</v>
      </c>
      <c r="Q3990" t="b">
        <v>0</v>
      </c>
      <c r="R3990" t="s">
        <v>8271</v>
      </c>
      <c r="S3990" s="6">
        <f>Table1[[#This Row],[pledged]]/Table1[[#This Row],[goal]]</f>
        <v>2.1333333333333333E-2</v>
      </c>
      <c r="T3990" s="8">
        <f>IF(Table1[[#This Row],[pledged]]=0,"no backers",Table1[[#This Row],[pledged]]/Table1[[#This Row],[backers_count]])</f>
        <v>8</v>
      </c>
      <c r="U3990" t="str">
        <f>LEFT(Table1[[#This Row],[Category and Sub-Category]],FIND("/",Table1[[#This Row],[Category and Sub-Category]])-1)</f>
        <v>theater</v>
      </c>
      <c r="V3990" t="str">
        <f>RIGHT(Table1[[#This Row],[Category and Sub-Category]],LEN(Table1[[#This Row],[Category and Sub-Category]])-FIND("/",Table1[[#This Row],[Category and Sub-Category]]))</f>
        <v>plays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 s="12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>((Table1[[#This Row],[deadline]]/60)/60/24)+DATE(1970,1,1)</f>
        <v>42316.791446759264</v>
      </c>
      <c r="K3991">
        <v>1444413581</v>
      </c>
      <c r="L3991" s="11">
        <f>((Table1[[#This Row],[launched_at]]/60)/60/24)+DATE(1970,1,1)</f>
        <v>42286.749780092592</v>
      </c>
      <c r="M3991">
        <f>MONTH(Table1[[#This Row],[Date Created Conversion]])</f>
        <v>10</v>
      </c>
      <c r="N3991">
        <f>YEAR(Table1[[#This Row],[Date Created Conversion]])</f>
        <v>2015</v>
      </c>
      <c r="O3991" t="b">
        <v>0</v>
      </c>
      <c r="P3991">
        <v>0</v>
      </c>
      <c r="Q3991" t="b">
        <v>0</v>
      </c>
      <c r="R3991" t="s">
        <v>8271</v>
      </c>
      <c r="S3991" s="6">
        <f>Table1[[#This Row],[pledged]]/Table1[[#This Row],[goal]]</f>
        <v>0</v>
      </c>
      <c r="T3991" s="8" t="str">
        <f>IF(Table1[[#This Row],[pledged]]=0,"no backers",Table1[[#This Row],[pledged]]/Table1[[#This Row],[backers_count]])</f>
        <v>no backers</v>
      </c>
      <c r="U3991" t="str">
        <f>LEFT(Table1[[#This Row],[Category and Sub-Category]],FIND("/",Table1[[#This Row],[Category and Sub-Category]])-1)</f>
        <v>theater</v>
      </c>
      <c r="V3991" t="str">
        <f>RIGHT(Table1[[#This Row],[Category and Sub-Category]],LEN(Table1[[#This Row],[Category and Sub-Category]])-FIND("/",Table1[[#This Row],[Category and Sub-Category]]))</f>
        <v>plays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 s="1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>((Table1[[#This Row],[deadline]]/60)/60/24)+DATE(1970,1,1)</f>
        <v>42431.672372685185</v>
      </c>
      <c r="K3992">
        <v>1454342893</v>
      </c>
      <c r="L3992" s="11">
        <f>((Table1[[#This Row],[launched_at]]/60)/60/24)+DATE(1970,1,1)</f>
        <v>42401.672372685185</v>
      </c>
      <c r="M3992">
        <f>MONTH(Table1[[#This Row],[Date Created Conversion]])</f>
        <v>2</v>
      </c>
      <c r="N3992">
        <f>YEAR(Table1[[#This Row],[Date Created Conversion]])</f>
        <v>2016</v>
      </c>
      <c r="O3992" t="b">
        <v>0</v>
      </c>
      <c r="P3992">
        <v>3</v>
      </c>
      <c r="Q3992" t="b">
        <v>0</v>
      </c>
      <c r="R3992" t="s">
        <v>8271</v>
      </c>
      <c r="S3992" s="6">
        <f>Table1[[#This Row],[pledged]]/Table1[[#This Row],[goal]]</f>
        <v>4.1818181818181817E-2</v>
      </c>
      <c r="T3992" s="8">
        <f>IF(Table1[[#This Row],[pledged]]=0,"no backers",Table1[[#This Row],[pledged]]/Table1[[#This Row],[backers_count]])</f>
        <v>23</v>
      </c>
      <c r="U3992" t="str">
        <f>LEFT(Table1[[#This Row],[Category and Sub-Category]],FIND("/",Table1[[#This Row],[Category and Sub-Category]])-1)</f>
        <v>theater</v>
      </c>
      <c r="V3992" t="str">
        <f>RIGHT(Table1[[#This Row],[Category and Sub-Category]],LEN(Table1[[#This Row],[Category and Sub-Category]])-FIND("/",Table1[[#This Row],[Category and Sub-Category]]))</f>
        <v>plays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 s="12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>((Table1[[#This Row],[deadline]]/60)/60/24)+DATE(1970,1,1)</f>
        <v>42155.644467592589</v>
      </c>
      <c r="K3993">
        <v>1430494082</v>
      </c>
      <c r="L3993" s="11">
        <f>((Table1[[#This Row],[launched_at]]/60)/60/24)+DATE(1970,1,1)</f>
        <v>42125.644467592589</v>
      </c>
      <c r="M3993">
        <f>MONTH(Table1[[#This Row],[Date Created Conversion]])</f>
        <v>5</v>
      </c>
      <c r="N3993">
        <f>YEAR(Table1[[#This Row],[Date Created Conversion]])</f>
        <v>2015</v>
      </c>
      <c r="O3993" t="b">
        <v>0</v>
      </c>
      <c r="P3993">
        <v>1</v>
      </c>
      <c r="Q3993" t="b">
        <v>0</v>
      </c>
      <c r="R3993" t="s">
        <v>8271</v>
      </c>
      <c r="S3993" s="6">
        <f>Table1[[#This Row],[pledged]]/Table1[[#This Row],[goal]]</f>
        <v>0.2</v>
      </c>
      <c r="T3993" s="8">
        <f>IF(Table1[[#This Row],[pledged]]=0,"no backers",Table1[[#This Row],[pledged]]/Table1[[#This Row],[backers_count]])</f>
        <v>100</v>
      </c>
      <c r="U3993" t="str">
        <f>LEFT(Table1[[#This Row],[Category and Sub-Category]],FIND("/",Table1[[#This Row],[Category and Sub-Category]])-1)</f>
        <v>theater</v>
      </c>
      <c r="V3993" t="str">
        <f>RIGHT(Table1[[#This Row],[Category and Sub-Category]],LEN(Table1[[#This Row],[Category and Sub-Category]])-FIND("/",Table1[[#This Row],[Category and Sub-Category]]))</f>
        <v>plays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 s="12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>((Table1[[#This Row],[deadline]]/60)/60/24)+DATE(1970,1,1)</f>
        <v>42349.982164351852</v>
      </c>
      <c r="K3994">
        <v>1444689259</v>
      </c>
      <c r="L3994" s="11">
        <f>((Table1[[#This Row],[launched_at]]/60)/60/24)+DATE(1970,1,1)</f>
        <v>42289.94049768518</v>
      </c>
      <c r="M3994">
        <f>MONTH(Table1[[#This Row],[Date Created Conversion]])</f>
        <v>10</v>
      </c>
      <c r="N3994">
        <f>YEAR(Table1[[#This Row],[Date Created Conversion]])</f>
        <v>2015</v>
      </c>
      <c r="O3994" t="b">
        <v>0</v>
      </c>
      <c r="P3994">
        <v>9</v>
      </c>
      <c r="Q3994" t="b">
        <v>0</v>
      </c>
      <c r="R3994" t="s">
        <v>8271</v>
      </c>
      <c r="S3994" s="6">
        <f>Table1[[#This Row],[pledged]]/Table1[[#This Row],[goal]]</f>
        <v>5.4100000000000002E-2</v>
      </c>
      <c r="T3994" s="8">
        <f>IF(Table1[[#This Row],[pledged]]=0,"no backers",Table1[[#This Row],[pledged]]/Table1[[#This Row],[backers_count]])</f>
        <v>60.111111111111114</v>
      </c>
      <c r="U3994" t="str">
        <f>LEFT(Table1[[#This Row],[Category and Sub-Category]],FIND("/",Table1[[#This Row],[Category and Sub-Category]])-1)</f>
        <v>theater</v>
      </c>
      <c r="V3994" t="str">
        <f>RIGHT(Table1[[#This Row],[Category and Sub-Category]],LEN(Table1[[#This Row],[Category and Sub-Category]])-FIND("/",Table1[[#This Row],[Category and Sub-Category]]))</f>
        <v>plays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 s="12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>((Table1[[#This Row],[deadline]]/60)/60/24)+DATE(1970,1,1)</f>
        <v>42137.864722222221</v>
      </c>
      <c r="K3995">
        <v>1428957912</v>
      </c>
      <c r="L3995" s="11">
        <f>((Table1[[#This Row],[launched_at]]/60)/60/24)+DATE(1970,1,1)</f>
        <v>42107.864722222221</v>
      </c>
      <c r="M3995">
        <f>MONTH(Table1[[#This Row],[Date Created Conversion]])</f>
        <v>4</v>
      </c>
      <c r="N3995">
        <f>YEAR(Table1[[#This Row],[Date Created Conversion]])</f>
        <v>2015</v>
      </c>
      <c r="O3995" t="b">
        <v>0</v>
      </c>
      <c r="P3995">
        <v>1</v>
      </c>
      <c r="Q3995" t="b">
        <v>0</v>
      </c>
      <c r="R3995" t="s">
        <v>8271</v>
      </c>
      <c r="S3995" s="6">
        <f>Table1[[#This Row],[pledged]]/Table1[[#This Row],[goal]]</f>
        <v>6.0000000000000002E-5</v>
      </c>
      <c r="T3995" s="8">
        <f>IF(Table1[[#This Row],[pledged]]=0,"no backers",Table1[[#This Row],[pledged]]/Table1[[#This Row],[backers_count]])</f>
        <v>3</v>
      </c>
      <c r="U3995" t="str">
        <f>LEFT(Table1[[#This Row],[Category and Sub-Category]],FIND("/",Table1[[#This Row],[Category and Sub-Category]])-1)</f>
        <v>theater</v>
      </c>
      <c r="V3995" t="str">
        <f>RIGHT(Table1[[#This Row],[Category and Sub-Category]],LEN(Table1[[#This Row],[Category and Sub-Category]])-FIND("/",Table1[[#This Row],[Category and Sub-Category]]))</f>
        <v>plays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 s="12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>((Table1[[#This Row],[deadline]]/60)/60/24)+DATE(1970,1,1)</f>
        <v>41839.389930555553</v>
      </c>
      <c r="K3996">
        <v>1403169690</v>
      </c>
      <c r="L3996" s="11">
        <f>((Table1[[#This Row],[launched_at]]/60)/60/24)+DATE(1970,1,1)</f>
        <v>41809.389930555553</v>
      </c>
      <c r="M3996">
        <f>MONTH(Table1[[#This Row],[Date Created Conversion]])</f>
        <v>6</v>
      </c>
      <c r="N3996">
        <f>YEAR(Table1[[#This Row],[Date Created Conversion]])</f>
        <v>2014</v>
      </c>
      <c r="O3996" t="b">
        <v>0</v>
      </c>
      <c r="P3996">
        <v>1</v>
      </c>
      <c r="Q3996" t="b">
        <v>0</v>
      </c>
      <c r="R3996" t="s">
        <v>8271</v>
      </c>
      <c r="S3996" s="6">
        <f>Table1[[#This Row],[pledged]]/Table1[[#This Row],[goal]]</f>
        <v>2.5000000000000001E-3</v>
      </c>
      <c r="T3996" s="8">
        <f>IF(Table1[[#This Row],[pledged]]=0,"no backers",Table1[[#This Row],[pledged]]/Table1[[#This Row],[backers_count]])</f>
        <v>5</v>
      </c>
      <c r="U3996" t="str">
        <f>LEFT(Table1[[#This Row],[Category and Sub-Category]],FIND("/",Table1[[#This Row],[Category and Sub-Category]])-1)</f>
        <v>theater</v>
      </c>
      <c r="V3996" t="str">
        <f>RIGHT(Table1[[#This Row],[Category and Sub-Category]],LEN(Table1[[#This Row],[Category and Sub-Category]])-FIND("/",Table1[[#This Row],[Category and Sub-Category]]))</f>
        <v>plays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 s="12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>((Table1[[#This Row],[deadline]]/60)/60/24)+DATE(1970,1,1)</f>
        <v>42049.477083333331</v>
      </c>
      <c r="K3997">
        <v>1421339077</v>
      </c>
      <c r="L3997" s="11">
        <f>((Table1[[#This Row],[launched_at]]/60)/60/24)+DATE(1970,1,1)</f>
        <v>42019.683761574073</v>
      </c>
      <c r="M3997">
        <f>MONTH(Table1[[#This Row],[Date Created Conversion]])</f>
        <v>1</v>
      </c>
      <c r="N3997">
        <f>YEAR(Table1[[#This Row],[Date Created Conversion]])</f>
        <v>2015</v>
      </c>
      <c r="O3997" t="b">
        <v>0</v>
      </c>
      <c r="P3997">
        <v>4</v>
      </c>
      <c r="Q3997" t="b">
        <v>0</v>
      </c>
      <c r="R3997" t="s">
        <v>8271</v>
      </c>
      <c r="S3997" s="6">
        <f>Table1[[#This Row],[pledged]]/Table1[[#This Row],[goal]]</f>
        <v>0.35</v>
      </c>
      <c r="T3997" s="8">
        <f>IF(Table1[[#This Row],[pledged]]=0,"no backers",Table1[[#This Row],[pledged]]/Table1[[#This Row],[backers_count]])</f>
        <v>17.5</v>
      </c>
      <c r="U3997" t="str">
        <f>LEFT(Table1[[#This Row],[Category and Sub-Category]],FIND("/",Table1[[#This Row],[Category and Sub-Category]])-1)</f>
        <v>theater</v>
      </c>
      <c r="V3997" t="str">
        <f>RIGHT(Table1[[#This Row],[Category and Sub-Category]],LEN(Table1[[#This Row],[Category and Sub-Category]])-FIND("/",Table1[[#This Row],[Category and Sub-Category]]))</f>
        <v>plays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 s="12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>((Table1[[#This Row],[deadline]]/60)/60/24)+DATE(1970,1,1)</f>
        <v>41963.669444444444</v>
      </c>
      <c r="K3998">
        <v>1415341464</v>
      </c>
      <c r="L3998" s="11">
        <f>((Table1[[#This Row],[launched_at]]/60)/60/24)+DATE(1970,1,1)</f>
        <v>41950.26694444444</v>
      </c>
      <c r="M3998">
        <f>MONTH(Table1[[#This Row],[Date Created Conversion]])</f>
        <v>11</v>
      </c>
      <c r="N3998">
        <f>YEAR(Table1[[#This Row],[Date Created Conversion]])</f>
        <v>2014</v>
      </c>
      <c r="O3998" t="b">
        <v>0</v>
      </c>
      <c r="P3998">
        <v>17</v>
      </c>
      <c r="Q3998" t="b">
        <v>0</v>
      </c>
      <c r="R3998" t="s">
        <v>8271</v>
      </c>
      <c r="S3998" s="6">
        <f>Table1[[#This Row],[pledged]]/Table1[[#This Row],[goal]]</f>
        <v>0.16566666666666666</v>
      </c>
      <c r="T3998" s="8">
        <f>IF(Table1[[#This Row],[pledged]]=0,"no backers",Table1[[#This Row],[pledged]]/Table1[[#This Row],[backers_count]])</f>
        <v>29.235294117647058</v>
      </c>
      <c r="U3998" t="str">
        <f>LEFT(Table1[[#This Row],[Category and Sub-Category]],FIND("/",Table1[[#This Row],[Category and Sub-Category]])-1)</f>
        <v>theater</v>
      </c>
      <c r="V3998" t="str">
        <f>RIGHT(Table1[[#This Row],[Category and Sub-Category]],LEN(Table1[[#This Row],[Category and Sub-Category]])-FIND("/",Table1[[#This Row],[Category and Sub-Category]]))</f>
        <v>plays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 s="12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>((Table1[[#This Row],[deadline]]/60)/60/24)+DATE(1970,1,1)</f>
        <v>42099.349780092598</v>
      </c>
      <c r="K3999">
        <v>1425633821</v>
      </c>
      <c r="L3999" s="11">
        <f>((Table1[[#This Row],[launched_at]]/60)/60/24)+DATE(1970,1,1)</f>
        <v>42069.391446759255</v>
      </c>
      <c r="M3999">
        <f>MONTH(Table1[[#This Row],[Date Created Conversion]])</f>
        <v>3</v>
      </c>
      <c r="N3999">
        <f>YEAR(Table1[[#This Row],[Date Created Conversion]])</f>
        <v>2015</v>
      </c>
      <c r="O3999" t="b">
        <v>0</v>
      </c>
      <c r="P3999">
        <v>0</v>
      </c>
      <c r="Q3999" t="b">
        <v>0</v>
      </c>
      <c r="R3999" t="s">
        <v>8271</v>
      </c>
      <c r="S3999" s="6">
        <f>Table1[[#This Row],[pledged]]/Table1[[#This Row],[goal]]</f>
        <v>0</v>
      </c>
      <c r="T3999" s="8" t="str">
        <f>IF(Table1[[#This Row],[pledged]]=0,"no backers",Table1[[#This Row],[pledged]]/Table1[[#This Row],[backers_count]])</f>
        <v>no backers</v>
      </c>
      <c r="U3999" t="str">
        <f>LEFT(Table1[[#This Row],[Category and Sub-Category]],FIND("/",Table1[[#This Row],[Category and Sub-Category]])-1)</f>
        <v>theater</v>
      </c>
      <c r="V3999" t="str">
        <f>RIGHT(Table1[[#This Row],[Category and Sub-Category]],LEN(Table1[[#This Row],[Category and Sub-Category]])-FIND("/",Table1[[#This Row],[Category and Sub-Category]]))</f>
        <v>plays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 s="12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>((Table1[[#This Row],[deadline]]/60)/60/24)+DATE(1970,1,1)</f>
        <v>42091.921597222223</v>
      </c>
      <c r="K4000">
        <v>1424992026</v>
      </c>
      <c r="L4000" s="11">
        <f>((Table1[[#This Row],[launched_at]]/60)/60/24)+DATE(1970,1,1)</f>
        <v>42061.963263888887</v>
      </c>
      <c r="M4000">
        <f>MONTH(Table1[[#This Row],[Date Created Conversion]])</f>
        <v>2</v>
      </c>
      <c r="N4000">
        <f>YEAR(Table1[[#This Row],[Date Created Conversion]])</f>
        <v>2015</v>
      </c>
      <c r="O4000" t="b">
        <v>0</v>
      </c>
      <c r="P4000">
        <v>12</v>
      </c>
      <c r="Q4000" t="b">
        <v>0</v>
      </c>
      <c r="R4000" t="s">
        <v>8271</v>
      </c>
      <c r="S4000" s="6">
        <f>Table1[[#This Row],[pledged]]/Table1[[#This Row],[goal]]</f>
        <v>0.57199999999999995</v>
      </c>
      <c r="T4000" s="8">
        <f>IF(Table1[[#This Row],[pledged]]=0,"no backers",Table1[[#This Row],[pledged]]/Table1[[#This Row],[backers_count]])</f>
        <v>59.583333333333336</v>
      </c>
      <c r="U4000" t="str">
        <f>LEFT(Table1[[#This Row],[Category and Sub-Category]],FIND("/",Table1[[#This Row],[Category and Sub-Category]])-1)</f>
        <v>theater</v>
      </c>
      <c r="V4000" t="str">
        <f>RIGHT(Table1[[#This Row],[Category and Sub-Category]],LEN(Table1[[#This Row],[Category and Sub-Category]])-FIND("/",Table1[[#This Row],[Category and Sub-Category]]))</f>
        <v>plays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 s="12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>((Table1[[#This Row],[deadline]]/60)/60/24)+DATE(1970,1,1)</f>
        <v>41882.827650462961</v>
      </c>
      <c r="K4001">
        <v>1406058798</v>
      </c>
      <c r="L4001" s="11">
        <f>((Table1[[#This Row],[launched_at]]/60)/60/24)+DATE(1970,1,1)</f>
        <v>41842.828680555554</v>
      </c>
      <c r="M4001">
        <f>MONTH(Table1[[#This Row],[Date Created Conversion]])</f>
        <v>7</v>
      </c>
      <c r="N4001">
        <f>YEAR(Table1[[#This Row],[Date Created Conversion]])</f>
        <v>2014</v>
      </c>
      <c r="O4001" t="b">
        <v>0</v>
      </c>
      <c r="P4001">
        <v>14</v>
      </c>
      <c r="Q4001" t="b">
        <v>0</v>
      </c>
      <c r="R4001" t="s">
        <v>8271</v>
      </c>
      <c r="S4001" s="6">
        <f>Table1[[#This Row],[pledged]]/Table1[[#This Row],[goal]]</f>
        <v>0.16514285714285715</v>
      </c>
      <c r="T4001" s="8">
        <f>IF(Table1[[#This Row],[pledged]]=0,"no backers",Table1[[#This Row],[pledged]]/Table1[[#This Row],[backers_count]])</f>
        <v>82.571428571428569</v>
      </c>
      <c r="U4001" t="str">
        <f>LEFT(Table1[[#This Row],[Category and Sub-Category]],FIND("/",Table1[[#This Row],[Category and Sub-Category]])-1)</f>
        <v>theater</v>
      </c>
      <c r="V4001" t="str">
        <f>RIGHT(Table1[[#This Row],[Category and Sub-Category]],LEN(Table1[[#This Row],[Category and Sub-Category]])-FIND("/",Table1[[#This Row],[Category and Sub-Category]]))</f>
        <v>plays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 s="1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>((Table1[[#This Row],[deadline]]/60)/60/24)+DATE(1970,1,1)</f>
        <v>42497.603680555556</v>
      </c>
      <c r="K4002">
        <v>1457450958</v>
      </c>
      <c r="L4002" s="11">
        <f>((Table1[[#This Row],[launched_at]]/60)/60/24)+DATE(1970,1,1)</f>
        <v>42437.64534722222</v>
      </c>
      <c r="M4002">
        <f>MONTH(Table1[[#This Row],[Date Created Conversion]])</f>
        <v>3</v>
      </c>
      <c r="N4002">
        <f>YEAR(Table1[[#This Row],[Date Created Conversion]])</f>
        <v>2016</v>
      </c>
      <c r="O4002" t="b">
        <v>0</v>
      </c>
      <c r="P4002">
        <v>1</v>
      </c>
      <c r="Q4002" t="b">
        <v>0</v>
      </c>
      <c r="R4002" t="s">
        <v>8271</v>
      </c>
      <c r="S4002" s="6">
        <f>Table1[[#This Row],[pledged]]/Table1[[#This Row],[goal]]</f>
        <v>1.25E-3</v>
      </c>
      <c r="T4002" s="8">
        <f>IF(Table1[[#This Row],[pledged]]=0,"no backers",Table1[[#This Row],[pledged]]/Table1[[#This Row],[backers_count]])</f>
        <v>10</v>
      </c>
      <c r="U4002" t="str">
        <f>LEFT(Table1[[#This Row],[Category and Sub-Category]],FIND("/",Table1[[#This Row],[Category and Sub-Category]])-1)</f>
        <v>theater</v>
      </c>
      <c r="V4002" t="str">
        <f>RIGHT(Table1[[#This Row],[Category and Sub-Category]],LEN(Table1[[#This Row],[Category and Sub-Category]])-FIND("/",Table1[[#This Row],[Category and Sub-Category]]))</f>
        <v>plays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 s="12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>((Table1[[#This Row],[deadline]]/60)/60/24)+DATE(1970,1,1)</f>
        <v>42795.791666666672</v>
      </c>
      <c r="K4003">
        <v>1486681708</v>
      </c>
      <c r="L4003" s="11">
        <f>((Table1[[#This Row],[launched_at]]/60)/60/24)+DATE(1970,1,1)</f>
        <v>42775.964212962965</v>
      </c>
      <c r="M4003">
        <f>MONTH(Table1[[#This Row],[Date Created Conversion]])</f>
        <v>2</v>
      </c>
      <c r="N4003">
        <f>YEAR(Table1[[#This Row],[Date Created Conversion]])</f>
        <v>2017</v>
      </c>
      <c r="O4003" t="b">
        <v>0</v>
      </c>
      <c r="P4003">
        <v>14</v>
      </c>
      <c r="Q4003" t="b">
        <v>0</v>
      </c>
      <c r="R4003" t="s">
        <v>8271</v>
      </c>
      <c r="S4003" s="6">
        <f>Table1[[#This Row],[pledged]]/Table1[[#This Row],[goal]]</f>
        <v>0.3775</v>
      </c>
      <c r="T4003" s="8">
        <f>IF(Table1[[#This Row],[pledged]]=0,"no backers",Table1[[#This Row],[pledged]]/Table1[[#This Row],[backers_count]])</f>
        <v>32.357142857142854</v>
      </c>
      <c r="U4003" t="str">
        <f>LEFT(Table1[[#This Row],[Category and Sub-Category]],FIND("/",Table1[[#This Row],[Category and Sub-Category]])-1)</f>
        <v>theater</v>
      </c>
      <c r="V4003" t="str">
        <f>RIGHT(Table1[[#This Row],[Category and Sub-Category]],LEN(Table1[[#This Row],[Category and Sub-Category]])-FIND("/",Table1[[#This Row],[Category and Sub-Category]]))</f>
        <v>plays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 s="12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>((Table1[[#This Row],[deadline]]/60)/60/24)+DATE(1970,1,1)</f>
        <v>41909.043530092589</v>
      </c>
      <c r="K4004">
        <v>1409187761</v>
      </c>
      <c r="L4004" s="11">
        <f>((Table1[[#This Row],[launched_at]]/60)/60/24)+DATE(1970,1,1)</f>
        <v>41879.043530092589</v>
      </c>
      <c r="M4004">
        <f>MONTH(Table1[[#This Row],[Date Created Conversion]])</f>
        <v>8</v>
      </c>
      <c r="N4004">
        <f>YEAR(Table1[[#This Row],[Date Created Conversion]])</f>
        <v>2014</v>
      </c>
      <c r="O4004" t="b">
        <v>0</v>
      </c>
      <c r="P4004">
        <v>4</v>
      </c>
      <c r="Q4004" t="b">
        <v>0</v>
      </c>
      <c r="R4004" t="s">
        <v>8271</v>
      </c>
      <c r="S4004" s="6">
        <f>Table1[[#This Row],[pledged]]/Table1[[#This Row],[goal]]</f>
        <v>1.84E-2</v>
      </c>
      <c r="T4004" s="8">
        <f>IF(Table1[[#This Row],[pledged]]=0,"no backers",Table1[[#This Row],[pledged]]/Table1[[#This Row],[backers_count]])</f>
        <v>5.75</v>
      </c>
      <c r="U4004" t="str">
        <f>LEFT(Table1[[#This Row],[Category and Sub-Category]],FIND("/",Table1[[#This Row],[Category and Sub-Category]])-1)</f>
        <v>theater</v>
      </c>
      <c r="V4004" t="str">
        <f>RIGHT(Table1[[#This Row],[Category and Sub-Category]],LEN(Table1[[#This Row],[Category and Sub-Category]])-FIND("/",Table1[[#This Row],[Category and Sub-Category]]))</f>
        <v>plays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 s="12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>((Table1[[#This Row],[deadline]]/60)/60/24)+DATE(1970,1,1)</f>
        <v>42050.587349537032</v>
      </c>
      <c r="K4005">
        <v>1421417147</v>
      </c>
      <c r="L4005" s="11">
        <f>((Table1[[#This Row],[launched_at]]/60)/60/24)+DATE(1970,1,1)</f>
        <v>42020.587349537032</v>
      </c>
      <c r="M4005">
        <f>MONTH(Table1[[#This Row],[Date Created Conversion]])</f>
        <v>1</v>
      </c>
      <c r="N4005">
        <f>YEAR(Table1[[#This Row],[Date Created Conversion]])</f>
        <v>2015</v>
      </c>
      <c r="O4005" t="b">
        <v>0</v>
      </c>
      <c r="P4005">
        <v>2</v>
      </c>
      <c r="Q4005" t="b">
        <v>0</v>
      </c>
      <c r="R4005" t="s">
        <v>8271</v>
      </c>
      <c r="S4005" s="6">
        <f>Table1[[#This Row],[pledged]]/Table1[[#This Row],[goal]]</f>
        <v>0.10050000000000001</v>
      </c>
      <c r="T4005" s="8">
        <f>IF(Table1[[#This Row],[pledged]]=0,"no backers",Table1[[#This Row],[pledged]]/Table1[[#This Row],[backers_count]])</f>
        <v>100.5</v>
      </c>
      <c r="U4005" t="str">
        <f>LEFT(Table1[[#This Row],[Category and Sub-Category]],FIND("/",Table1[[#This Row],[Category and Sub-Category]])-1)</f>
        <v>theater</v>
      </c>
      <c r="V4005" t="str">
        <f>RIGHT(Table1[[#This Row],[Category and Sub-Category]],LEN(Table1[[#This Row],[Category and Sub-Category]])-FIND("/",Table1[[#This Row],[Category and Sub-Category]]))</f>
        <v>plays</v>
      </c>
    </row>
    <row r="4006" spans="1:22" x14ac:dyDescent="0.3">
      <c r="A4006">
        <v>4004</v>
      </c>
      <c r="B4006" s="3" t="s">
        <v>4000</v>
      </c>
      <c r="C4006" s="3" t="s">
        <v>8109</v>
      </c>
      <c r="D4006" s="12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>((Table1[[#This Row],[deadline]]/60)/60/24)+DATE(1970,1,1)</f>
        <v>41920.16269675926</v>
      </c>
      <c r="K4006">
        <v>1410148457</v>
      </c>
      <c r="L4006" s="11">
        <f>((Table1[[#This Row],[launched_at]]/60)/60/24)+DATE(1970,1,1)</f>
        <v>41890.16269675926</v>
      </c>
      <c r="M4006">
        <f>MONTH(Table1[[#This Row],[Date Created Conversion]])</f>
        <v>9</v>
      </c>
      <c r="N4006">
        <f>YEAR(Table1[[#This Row],[Date Created Conversion]])</f>
        <v>2014</v>
      </c>
      <c r="O4006" t="b">
        <v>0</v>
      </c>
      <c r="P4006">
        <v>1</v>
      </c>
      <c r="Q4006" t="b">
        <v>0</v>
      </c>
      <c r="R4006" t="s">
        <v>8271</v>
      </c>
      <c r="S4006" s="6">
        <f>Table1[[#This Row],[pledged]]/Table1[[#This Row],[goal]]</f>
        <v>2E-3</v>
      </c>
      <c r="T4006" s="8">
        <f>IF(Table1[[#This Row],[pledged]]=0,"no backers",Table1[[#This Row],[pledged]]/Table1[[#This Row],[backers_count]])</f>
        <v>1</v>
      </c>
      <c r="U4006" t="str">
        <f>LEFT(Table1[[#This Row],[Category and Sub-Category]],FIND("/",Table1[[#This Row],[Category and Sub-Category]])-1)</f>
        <v>theater</v>
      </c>
      <c r="V4006" t="str">
        <f>RIGHT(Table1[[#This Row],[Category and Sub-Category]],LEN(Table1[[#This Row],[Category and Sub-Category]])-FIND("/",Table1[[#This Row],[Category and Sub-Category]]))</f>
        <v>plays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 s="12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>((Table1[[#This Row],[deadline]]/60)/60/24)+DATE(1970,1,1)</f>
        <v>41932.807696759257</v>
      </c>
      <c r="K4007">
        <v>1408648985</v>
      </c>
      <c r="L4007" s="11">
        <f>((Table1[[#This Row],[launched_at]]/60)/60/24)+DATE(1970,1,1)</f>
        <v>41872.807696759257</v>
      </c>
      <c r="M4007">
        <f>MONTH(Table1[[#This Row],[Date Created Conversion]])</f>
        <v>8</v>
      </c>
      <c r="N4007">
        <f>YEAR(Table1[[#This Row],[Date Created Conversion]])</f>
        <v>2014</v>
      </c>
      <c r="O4007" t="b">
        <v>0</v>
      </c>
      <c r="P4007">
        <v>2</v>
      </c>
      <c r="Q4007" t="b">
        <v>0</v>
      </c>
      <c r="R4007" t="s">
        <v>8271</v>
      </c>
      <c r="S4007" s="6">
        <f>Table1[[#This Row],[pledged]]/Table1[[#This Row],[goal]]</f>
        <v>1.3333333333333334E-2</v>
      </c>
      <c r="T4007" s="8">
        <f>IF(Table1[[#This Row],[pledged]]=0,"no backers",Table1[[#This Row],[pledged]]/Table1[[#This Row],[backers_count]])</f>
        <v>20</v>
      </c>
      <c r="U4007" t="str">
        <f>LEFT(Table1[[#This Row],[Category and Sub-Category]],FIND("/",Table1[[#This Row],[Category and Sub-Category]])-1)</f>
        <v>theater</v>
      </c>
      <c r="V4007" t="str">
        <f>RIGHT(Table1[[#This Row],[Category and Sub-Category]],LEN(Table1[[#This Row],[Category and Sub-Category]])-FIND("/",Table1[[#This Row],[Category and Sub-Category]]))</f>
        <v>plays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 s="12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>((Table1[[#This Row],[deadline]]/60)/60/24)+DATE(1970,1,1)</f>
        <v>42416.772997685184</v>
      </c>
      <c r="K4008">
        <v>1453487587</v>
      </c>
      <c r="L4008" s="11">
        <f>((Table1[[#This Row],[launched_at]]/60)/60/24)+DATE(1970,1,1)</f>
        <v>42391.772997685184</v>
      </c>
      <c r="M4008">
        <f>MONTH(Table1[[#This Row],[Date Created Conversion]])</f>
        <v>1</v>
      </c>
      <c r="N4008">
        <f>YEAR(Table1[[#This Row],[Date Created Conversion]])</f>
        <v>2016</v>
      </c>
      <c r="O4008" t="b">
        <v>0</v>
      </c>
      <c r="P4008">
        <v>1</v>
      </c>
      <c r="Q4008" t="b">
        <v>0</v>
      </c>
      <c r="R4008" t="s">
        <v>8271</v>
      </c>
      <c r="S4008" s="6">
        <f>Table1[[#This Row],[pledged]]/Table1[[#This Row],[goal]]</f>
        <v>6.666666666666667E-5</v>
      </c>
      <c r="T4008" s="8">
        <f>IF(Table1[[#This Row],[pledged]]=0,"no backers",Table1[[#This Row],[pledged]]/Table1[[#This Row],[backers_count]])</f>
        <v>2</v>
      </c>
      <c r="U4008" t="str">
        <f>LEFT(Table1[[#This Row],[Category and Sub-Category]],FIND("/",Table1[[#This Row],[Category and Sub-Category]])-1)</f>
        <v>theater</v>
      </c>
      <c r="V4008" t="str">
        <f>RIGHT(Table1[[#This Row],[Category and Sub-Category]],LEN(Table1[[#This Row],[Category and Sub-Category]])-FIND("/",Table1[[#This Row],[Category and Sub-Category]]))</f>
        <v>plays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 s="12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>((Table1[[#This Row],[deadline]]/60)/60/24)+DATE(1970,1,1)</f>
        <v>41877.686111111114</v>
      </c>
      <c r="K4009">
        <v>1406572381</v>
      </c>
      <c r="L4009" s="11">
        <f>((Table1[[#This Row],[launched_at]]/60)/60/24)+DATE(1970,1,1)</f>
        <v>41848.772928240738</v>
      </c>
      <c r="M4009">
        <f>MONTH(Table1[[#This Row],[Date Created Conversion]])</f>
        <v>7</v>
      </c>
      <c r="N4009">
        <f>YEAR(Table1[[#This Row],[Date Created Conversion]])</f>
        <v>2014</v>
      </c>
      <c r="O4009" t="b">
        <v>0</v>
      </c>
      <c r="P4009">
        <v>1</v>
      </c>
      <c r="Q4009" t="b">
        <v>0</v>
      </c>
      <c r="R4009" t="s">
        <v>8271</v>
      </c>
      <c r="S4009" s="6">
        <f>Table1[[#This Row],[pledged]]/Table1[[#This Row],[goal]]</f>
        <v>2.5000000000000001E-3</v>
      </c>
      <c r="T4009" s="8">
        <f>IF(Table1[[#This Row],[pledged]]=0,"no backers",Table1[[#This Row],[pledged]]/Table1[[#This Row],[backers_count]])</f>
        <v>5</v>
      </c>
      <c r="U4009" t="str">
        <f>LEFT(Table1[[#This Row],[Category and Sub-Category]],FIND("/",Table1[[#This Row],[Category and Sub-Category]])-1)</f>
        <v>theater</v>
      </c>
      <c r="V4009" t="str">
        <f>RIGHT(Table1[[#This Row],[Category and Sub-Category]],LEN(Table1[[#This Row],[Category and Sub-Category]])-FIND("/",Table1[[#This Row],[Category and Sub-Category]]))</f>
        <v>plays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 s="12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>((Table1[[#This Row],[deadline]]/60)/60/24)+DATE(1970,1,1)</f>
        <v>42207.964201388888</v>
      </c>
      <c r="K4010">
        <v>1435014507</v>
      </c>
      <c r="L4010" s="11">
        <f>((Table1[[#This Row],[launched_at]]/60)/60/24)+DATE(1970,1,1)</f>
        <v>42177.964201388888</v>
      </c>
      <c r="M4010">
        <f>MONTH(Table1[[#This Row],[Date Created Conversion]])</f>
        <v>6</v>
      </c>
      <c r="N4010">
        <f>YEAR(Table1[[#This Row],[Date Created Conversion]])</f>
        <v>2015</v>
      </c>
      <c r="O4010" t="b">
        <v>0</v>
      </c>
      <c r="P4010">
        <v>4</v>
      </c>
      <c r="Q4010" t="b">
        <v>0</v>
      </c>
      <c r="R4010" t="s">
        <v>8271</v>
      </c>
      <c r="S4010" s="6">
        <f>Table1[[#This Row],[pledged]]/Table1[[#This Row],[goal]]</f>
        <v>0.06</v>
      </c>
      <c r="T4010" s="8">
        <f>IF(Table1[[#This Row],[pledged]]=0,"no backers",Table1[[#This Row],[pledged]]/Table1[[#This Row],[backers_count]])</f>
        <v>15</v>
      </c>
      <c r="U4010" t="str">
        <f>LEFT(Table1[[#This Row],[Category and Sub-Category]],FIND("/",Table1[[#This Row],[Category and Sub-Category]])-1)</f>
        <v>theater</v>
      </c>
      <c r="V4010" t="str">
        <f>RIGHT(Table1[[#This Row],[Category and Sub-Category]],LEN(Table1[[#This Row],[Category and Sub-Category]])-FIND("/",Table1[[#This Row],[Category and Sub-Category]]))</f>
        <v>plays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 s="12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>((Table1[[#This Row],[deadline]]/60)/60/24)+DATE(1970,1,1)</f>
        <v>41891.700925925928</v>
      </c>
      <c r="K4011">
        <v>1406825360</v>
      </c>
      <c r="L4011" s="11">
        <f>((Table1[[#This Row],[launched_at]]/60)/60/24)+DATE(1970,1,1)</f>
        <v>41851.700925925928</v>
      </c>
      <c r="M4011">
        <f>MONTH(Table1[[#This Row],[Date Created Conversion]])</f>
        <v>7</v>
      </c>
      <c r="N4011">
        <f>YEAR(Table1[[#This Row],[Date Created Conversion]])</f>
        <v>2014</v>
      </c>
      <c r="O4011" t="b">
        <v>0</v>
      </c>
      <c r="P4011">
        <v>3</v>
      </c>
      <c r="Q4011" t="b">
        <v>0</v>
      </c>
      <c r="R4011" t="s">
        <v>8271</v>
      </c>
      <c r="S4011" s="6">
        <f>Table1[[#This Row],[pledged]]/Table1[[#This Row],[goal]]</f>
        <v>3.8860103626943004E-2</v>
      </c>
      <c r="T4011" s="8">
        <f>IF(Table1[[#This Row],[pledged]]=0,"no backers",Table1[[#This Row],[pledged]]/Table1[[#This Row],[backers_count]])</f>
        <v>25</v>
      </c>
      <c r="U4011" t="str">
        <f>LEFT(Table1[[#This Row],[Category and Sub-Category]],FIND("/",Table1[[#This Row],[Category and Sub-Category]])-1)</f>
        <v>theater</v>
      </c>
      <c r="V4011" t="str">
        <f>RIGHT(Table1[[#This Row],[Category and Sub-Category]],LEN(Table1[[#This Row],[Category and Sub-Category]])-FIND("/",Table1[[#This Row],[Category and Sub-Category]]))</f>
        <v>plays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 s="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>((Table1[[#This Row],[deadline]]/60)/60/24)+DATE(1970,1,1)</f>
        <v>41938.770439814813</v>
      </c>
      <c r="K4012">
        <v>1412879366</v>
      </c>
      <c r="L4012" s="11">
        <f>((Table1[[#This Row],[launched_at]]/60)/60/24)+DATE(1970,1,1)</f>
        <v>41921.770439814813</v>
      </c>
      <c r="M4012">
        <f>MONTH(Table1[[#This Row],[Date Created Conversion]])</f>
        <v>10</v>
      </c>
      <c r="N4012">
        <f>YEAR(Table1[[#This Row],[Date Created Conversion]])</f>
        <v>2014</v>
      </c>
      <c r="O4012" t="b">
        <v>0</v>
      </c>
      <c r="P4012">
        <v>38</v>
      </c>
      <c r="Q4012" t="b">
        <v>0</v>
      </c>
      <c r="R4012" t="s">
        <v>8271</v>
      </c>
      <c r="S4012" s="6">
        <f>Table1[[#This Row],[pledged]]/Table1[[#This Row],[goal]]</f>
        <v>0.24194444444444443</v>
      </c>
      <c r="T4012" s="8">
        <f>IF(Table1[[#This Row],[pledged]]=0,"no backers",Table1[[#This Row],[pledged]]/Table1[[#This Row],[backers_count]])</f>
        <v>45.842105263157897</v>
      </c>
      <c r="U4012" t="str">
        <f>LEFT(Table1[[#This Row],[Category and Sub-Category]],FIND("/",Table1[[#This Row],[Category and Sub-Category]])-1)</f>
        <v>theater</v>
      </c>
      <c r="V4012" t="str">
        <f>RIGHT(Table1[[#This Row],[Category and Sub-Category]],LEN(Table1[[#This Row],[Category and Sub-Category]])-FIND("/",Table1[[#This Row],[Category and Sub-Category]]))</f>
        <v>plays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 s="12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>((Table1[[#This Row],[deadline]]/60)/60/24)+DATE(1970,1,1)</f>
        <v>42032.54488425926</v>
      </c>
      <c r="K4013">
        <v>1419858278</v>
      </c>
      <c r="L4013" s="11">
        <f>((Table1[[#This Row],[launched_at]]/60)/60/24)+DATE(1970,1,1)</f>
        <v>42002.54488425926</v>
      </c>
      <c r="M4013">
        <f>MONTH(Table1[[#This Row],[Date Created Conversion]])</f>
        <v>12</v>
      </c>
      <c r="N4013">
        <f>YEAR(Table1[[#This Row],[Date Created Conversion]])</f>
        <v>2014</v>
      </c>
      <c r="O4013" t="b">
        <v>0</v>
      </c>
      <c r="P4013">
        <v>4</v>
      </c>
      <c r="Q4013" t="b">
        <v>0</v>
      </c>
      <c r="R4013" t="s">
        <v>8271</v>
      </c>
      <c r="S4013" s="6">
        <f>Table1[[#This Row],[pledged]]/Table1[[#This Row],[goal]]</f>
        <v>7.5999999999999998E-2</v>
      </c>
      <c r="T4013" s="8">
        <f>IF(Table1[[#This Row],[pledged]]=0,"no backers",Table1[[#This Row],[pledged]]/Table1[[#This Row],[backers_count]])</f>
        <v>4.75</v>
      </c>
      <c r="U4013" t="str">
        <f>LEFT(Table1[[#This Row],[Category and Sub-Category]],FIND("/",Table1[[#This Row],[Category and Sub-Category]])-1)</f>
        <v>theater</v>
      </c>
      <c r="V4013" t="str">
        <f>RIGHT(Table1[[#This Row],[Category and Sub-Category]],LEN(Table1[[#This Row],[Category and Sub-Category]])-FIND("/",Table1[[#This Row],[Category and Sub-Category]]))</f>
        <v>plays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 s="12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>((Table1[[#This Row],[deadline]]/60)/60/24)+DATE(1970,1,1)</f>
        <v>42126.544548611113</v>
      </c>
      <c r="K4014">
        <v>1427979849</v>
      </c>
      <c r="L4014" s="11">
        <f>((Table1[[#This Row],[launched_at]]/60)/60/24)+DATE(1970,1,1)</f>
        <v>42096.544548611113</v>
      </c>
      <c r="M4014">
        <f>MONTH(Table1[[#This Row],[Date Created Conversion]])</f>
        <v>4</v>
      </c>
      <c r="N4014">
        <f>YEAR(Table1[[#This Row],[Date Created Conversion]])</f>
        <v>2015</v>
      </c>
      <c r="O4014" t="b">
        <v>0</v>
      </c>
      <c r="P4014">
        <v>0</v>
      </c>
      <c r="Q4014" t="b">
        <v>0</v>
      </c>
      <c r="R4014" t="s">
        <v>8271</v>
      </c>
      <c r="S4014" s="6">
        <f>Table1[[#This Row],[pledged]]/Table1[[#This Row],[goal]]</f>
        <v>0</v>
      </c>
      <c r="T4014" s="8" t="str">
        <f>IF(Table1[[#This Row],[pledged]]=0,"no backers",Table1[[#This Row],[pledged]]/Table1[[#This Row],[backers_count]])</f>
        <v>no backers</v>
      </c>
      <c r="U4014" t="str">
        <f>LEFT(Table1[[#This Row],[Category and Sub-Category]],FIND("/",Table1[[#This Row],[Category and Sub-Category]])-1)</f>
        <v>theater</v>
      </c>
      <c r="V4014" t="str">
        <f>RIGHT(Table1[[#This Row],[Category and Sub-Category]],LEN(Table1[[#This Row],[Category and Sub-Category]])-FIND("/",Table1[[#This Row],[Category and Sub-Category]]))</f>
        <v>plays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 s="12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>((Table1[[#This Row],[deadline]]/60)/60/24)+DATE(1970,1,1)</f>
        <v>42051.301192129627</v>
      </c>
      <c r="K4015">
        <v>1421478823</v>
      </c>
      <c r="L4015" s="11">
        <f>((Table1[[#This Row],[launched_at]]/60)/60/24)+DATE(1970,1,1)</f>
        <v>42021.301192129627</v>
      </c>
      <c r="M4015">
        <f>MONTH(Table1[[#This Row],[Date Created Conversion]])</f>
        <v>1</v>
      </c>
      <c r="N4015">
        <f>YEAR(Table1[[#This Row],[Date Created Conversion]])</f>
        <v>2015</v>
      </c>
      <c r="O4015" t="b">
        <v>0</v>
      </c>
      <c r="P4015">
        <v>2</v>
      </c>
      <c r="Q4015" t="b">
        <v>0</v>
      </c>
      <c r="R4015" t="s">
        <v>8271</v>
      </c>
      <c r="S4015" s="6">
        <f>Table1[[#This Row],[pledged]]/Table1[[#This Row],[goal]]</f>
        <v>1.2999999999999999E-2</v>
      </c>
      <c r="T4015" s="8">
        <f>IF(Table1[[#This Row],[pledged]]=0,"no backers",Table1[[#This Row],[pledged]]/Table1[[#This Row],[backers_count]])</f>
        <v>13</v>
      </c>
      <c r="U4015" t="str">
        <f>LEFT(Table1[[#This Row],[Category and Sub-Category]],FIND("/",Table1[[#This Row],[Category and Sub-Category]])-1)</f>
        <v>theater</v>
      </c>
      <c r="V4015" t="str">
        <f>RIGHT(Table1[[#This Row],[Category and Sub-Category]],LEN(Table1[[#This Row],[Category and Sub-Category]])-FIND("/",Table1[[#This Row],[Category and Sub-Category]]))</f>
        <v>plays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 s="12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>((Table1[[#This Row],[deadline]]/60)/60/24)+DATE(1970,1,1)</f>
        <v>42434.246168981481</v>
      </c>
      <c r="K4016">
        <v>1455861269</v>
      </c>
      <c r="L4016" s="11">
        <f>((Table1[[#This Row],[launched_at]]/60)/60/24)+DATE(1970,1,1)</f>
        <v>42419.246168981481</v>
      </c>
      <c r="M4016">
        <f>MONTH(Table1[[#This Row],[Date Created Conversion]])</f>
        <v>2</v>
      </c>
      <c r="N4016">
        <f>YEAR(Table1[[#This Row],[Date Created Conversion]])</f>
        <v>2016</v>
      </c>
      <c r="O4016" t="b">
        <v>0</v>
      </c>
      <c r="P4016">
        <v>0</v>
      </c>
      <c r="Q4016" t="b">
        <v>0</v>
      </c>
      <c r="R4016" t="s">
        <v>8271</v>
      </c>
      <c r="S4016" s="6">
        <f>Table1[[#This Row],[pledged]]/Table1[[#This Row],[goal]]</f>
        <v>0</v>
      </c>
      <c r="T4016" s="8" t="str">
        <f>IF(Table1[[#This Row],[pledged]]=0,"no backers",Table1[[#This Row],[pledged]]/Table1[[#This Row],[backers_count]])</f>
        <v>no backers</v>
      </c>
      <c r="U4016" t="str">
        <f>LEFT(Table1[[#This Row],[Category and Sub-Category]],FIND("/",Table1[[#This Row],[Category and Sub-Category]])-1)</f>
        <v>theater</v>
      </c>
      <c r="V4016" t="str">
        <f>RIGHT(Table1[[#This Row],[Category and Sub-Category]],LEN(Table1[[#This Row],[Category and Sub-Category]])-FIND("/",Table1[[#This Row],[Category and Sub-Category]]))</f>
        <v>plays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 s="12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>((Table1[[#This Row],[deadline]]/60)/60/24)+DATE(1970,1,1)</f>
        <v>42204.780821759254</v>
      </c>
      <c r="K4017">
        <v>1434739463</v>
      </c>
      <c r="L4017" s="11">
        <f>((Table1[[#This Row],[launched_at]]/60)/60/24)+DATE(1970,1,1)</f>
        <v>42174.780821759254</v>
      </c>
      <c r="M4017">
        <f>MONTH(Table1[[#This Row],[Date Created Conversion]])</f>
        <v>6</v>
      </c>
      <c r="N4017">
        <f>YEAR(Table1[[#This Row],[Date Created Conversion]])</f>
        <v>2015</v>
      </c>
      <c r="O4017" t="b">
        <v>0</v>
      </c>
      <c r="P4017">
        <v>1</v>
      </c>
      <c r="Q4017" t="b">
        <v>0</v>
      </c>
      <c r="R4017" t="s">
        <v>8271</v>
      </c>
      <c r="S4017" s="6">
        <f>Table1[[#This Row],[pledged]]/Table1[[#This Row],[goal]]</f>
        <v>1.4285714285714287E-4</v>
      </c>
      <c r="T4017" s="8">
        <f>IF(Table1[[#This Row],[pledged]]=0,"no backers",Table1[[#This Row],[pledged]]/Table1[[#This Row],[backers_count]])</f>
        <v>1</v>
      </c>
      <c r="U4017" t="str">
        <f>LEFT(Table1[[#This Row],[Category and Sub-Category]],FIND("/",Table1[[#This Row],[Category and Sub-Category]])-1)</f>
        <v>theater</v>
      </c>
      <c r="V4017" t="str">
        <f>RIGHT(Table1[[#This Row],[Category and Sub-Category]],LEN(Table1[[#This Row],[Category and Sub-Category]])-FIND("/",Table1[[#This Row],[Category and Sub-Category]]))</f>
        <v>plays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 s="12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>((Table1[[#This Row],[deadline]]/60)/60/24)+DATE(1970,1,1)</f>
        <v>41899.872685185182</v>
      </c>
      <c r="K4018">
        <v>1408395400</v>
      </c>
      <c r="L4018" s="11">
        <f>((Table1[[#This Row],[launched_at]]/60)/60/24)+DATE(1970,1,1)</f>
        <v>41869.872685185182</v>
      </c>
      <c r="M4018">
        <f>MONTH(Table1[[#This Row],[Date Created Conversion]])</f>
        <v>8</v>
      </c>
      <c r="N4018">
        <f>YEAR(Table1[[#This Row],[Date Created Conversion]])</f>
        <v>2014</v>
      </c>
      <c r="O4018" t="b">
        <v>0</v>
      </c>
      <c r="P4018">
        <v>7</v>
      </c>
      <c r="Q4018" t="b">
        <v>0</v>
      </c>
      <c r="R4018" t="s">
        <v>8271</v>
      </c>
      <c r="S4018" s="6">
        <f>Table1[[#This Row],[pledged]]/Table1[[#This Row],[goal]]</f>
        <v>0.14000000000000001</v>
      </c>
      <c r="T4018" s="8">
        <f>IF(Table1[[#This Row],[pledged]]=0,"no backers",Table1[[#This Row],[pledged]]/Table1[[#This Row],[backers_count]])</f>
        <v>10</v>
      </c>
      <c r="U4018" t="str">
        <f>LEFT(Table1[[#This Row],[Category and Sub-Category]],FIND("/",Table1[[#This Row],[Category and Sub-Category]])-1)</f>
        <v>theater</v>
      </c>
      <c r="V4018" t="str">
        <f>RIGHT(Table1[[#This Row],[Category and Sub-Category]],LEN(Table1[[#This Row],[Category and Sub-Category]])-FIND("/",Table1[[#This Row],[Category and Sub-Category]]))</f>
        <v>plays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 s="12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>((Table1[[#This Row],[deadline]]/60)/60/24)+DATE(1970,1,1)</f>
        <v>41886.672152777777</v>
      </c>
      <c r="K4019">
        <v>1407254874</v>
      </c>
      <c r="L4019" s="11">
        <f>((Table1[[#This Row],[launched_at]]/60)/60/24)+DATE(1970,1,1)</f>
        <v>41856.672152777777</v>
      </c>
      <c r="M4019">
        <f>MONTH(Table1[[#This Row],[Date Created Conversion]])</f>
        <v>8</v>
      </c>
      <c r="N4019">
        <f>YEAR(Table1[[#This Row],[Date Created Conversion]])</f>
        <v>2014</v>
      </c>
      <c r="O4019" t="b">
        <v>0</v>
      </c>
      <c r="P4019">
        <v>2</v>
      </c>
      <c r="Q4019" t="b">
        <v>0</v>
      </c>
      <c r="R4019" t="s">
        <v>8271</v>
      </c>
      <c r="S4019" s="6">
        <f>Table1[[#This Row],[pledged]]/Table1[[#This Row],[goal]]</f>
        <v>1.0500000000000001E-2</v>
      </c>
      <c r="T4019" s="8">
        <f>IF(Table1[[#This Row],[pledged]]=0,"no backers",Table1[[#This Row],[pledged]]/Table1[[#This Row],[backers_count]])</f>
        <v>52.5</v>
      </c>
      <c r="U4019" t="str">
        <f>LEFT(Table1[[#This Row],[Category and Sub-Category]],FIND("/",Table1[[#This Row],[Category and Sub-Category]])-1)</f>
        <v>theater</v>
      </c>
      <c r="V4019" t="str">
        <f>RIGHT(Table1[[#This Row],[Category and Sub-Category]],LEN(Table1[[#This Row],[Category and Sub-Category]])-FIND("/",Table1[[#This Row],[Category and Sub-Category]]))</f>
        <v>plays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 s="12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>((Table1[[#This Row],[deadline]]/60)/60/24)+DATE(1970,1,1)</f>
        <v>42650.91097222222</v>
      </c>
      <c r="K4020">
        <v>1473285108</v>
      </c>
      <c r="L4020" s="11">
        <f>((Table1[[#This Row],[launched_at]]/60)/60/24)+DATE(1970,1,1)</f>
        <v>42620.91097222222</v>
      </c>
      <c r="M4020">
        <f>MONTH(Table1[[#This Row],[Date Created Conversion]])</f>
        <v>9</v>
      </c>
      <c r="N4020">
        <f>YEAR(Table1[[#This Row],[Date Created Conversion]])</f>
        <v>2016</v>
      </c>
      <c r="O4020" t="b">
        <v>0</v>
      </c>
      <c r="P4020">
        <v>4</v>
      </c>
      <c r="Q4020" t="b">
        <v>0</v>
      </c>
      <c r="R4020" t="s">
        <v>8271</v>
      </c>
      <c r="S4020" s="6">
        <f>Table1[[#This Row],[pledged]]/Table1[[#This Row],[goal]]</f>
        <v>8.666666666666667E-2</v>
      </c>
      <c r="T4020" s="8">
        <f>IF(Table1[[#This Row],[pledged]]=0,"no backers",Table1[[#This Row],[pledged]]/Table1[[#This Row],[backers_count]])</f>
        <v>32.5</v>
      </c>
      <c r="U4020" t="str">
        <f>LEFT(Table1[[#This Row],[Category and Sub-Category]],FIND("/",Table1[[#This Row],[Category and Sub-Category]])-1)</f>
        <v>theater</v>
      </c>
      <c r="V4020" t="str">
        <f>RIGHT(Table1[[#This Row],[Category and Sub-Category]],LEN(Table1[[#This Row],[Category and Sub-Category]])-FIND("/",Table1[[#This Row],[Category and Sub-Category]]))</f>
        <v>plays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 s="12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>((Table1[[#This Row],[deadline]]/60)/60/24)+DATE(1970,1,1)</f>
        <v>42475.686111111107</v>
      </c>
      <c r="K4021">
        <v>1455725596</v>
      </c>
      <c r="L4021" s="11">
        <f>((Table1[[#This Row],[launched_at]]/60)/60/24)+DATE(1970,1,1)</f>
        <v>42417.675879629634</v>
      </c>
      <c r="M4021">
        <f>MONTH(Table1[[#This Row],[Date Created Conversion]])</f>
        <v>2</v>
      </c>
      <c r="N4021">
        <f>YEAR(Table1[[#This Row],[Date Created Conversion]])</f>
        <v>2016</v>
      </c>
      <c r="O4021" t="b">
        <v>0</v>
      </c>
      <c r="P4021">
        <v>4</v>
      </c>
      <c r="Q4021" t="b">
        <v>0</v>
      </c>
      <c r="R4021" t="s">
        <v>8271</v>
      </c>
      <c r="S4021" s="6">
        <f>Table1[[#This Row],[pledged]]/Table1[[#This Row],[goal]]</f>
        <v>8.2857142857142851E-3</v>
      </c>
      <c r="T4021" s="8">
        <f>IF(Table1[[#This Row],[pledged]]=0,"no backers",Table1[[#This Row],[pledged]]/Table1[[#This Row],[backers_count]])</f>
        <v>7.25</v>
      </c>
      <c r="U4021" t="str">
        <f>LEFT(Table1[[#This Row],[Category and Sub-Category]],FIND("/",Table1[[#This Row],[Category and Sub-Category]])-1)</f>
        <v>theater</v>
      </c>
      <c r="V4021" t="str">
        <f>RIGHT(Table1[[#This Row],[Category and Sub-Category]],LEN(Table1[[#This Row],[Category and Sub-Category]])-FIND("/",Table1[[#This Row],[Category and Sub-Category]]))</f>
        <v>plays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 s="1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>((Table1[[#This Row],[deadline]]/60)/60/24)+DATE(1970,1,1)</f>
        <v>42087.149293981478</v>
      </c>
      <c r="K4022">
        <v>1424579699</v>
      </c>
      <c r="L4022" s="11">
        <f>((Table1[[#This Row],[launched_at]]/60)/60/24)+DATE(1970,1,1)</f>
        <v>42057.190960648149</v>
      </c>
      <c r="M4022">
        <f>MONTH(Table1[[#This Row],[Date Created Conversion]])</f>
        <v>2</v>
      </c>
      <c r="N4022">
        <f>YEAR(Table1[[#This Row],[Date Created Conversion]])</f>
        <v>2015</v>
      </c>
      <c r="O4022" t="b">
        <v>0</v>
      </c>
      <c r="P4022">
        <v>3</v>
      </c>
      <c r="Q4022" t="b">
        <v>0</v>
      </c>
      <c r="R4022" t="s">
        <v>8271</v>
      </c>
      <c r="S4022" s="6">
        <f>Table1[[#This Row],[pledged]]/Table1[[#This Row],[goal]]</f>
        <v>0.16666666666666666</v>
      </c>
      <c r="T4022" s="8">
        <f>IF(Table1[[#This Row],[pledged]]=0,"no backers",Table1[[#This Row],[pledged]]/Table1[[#This Row],[backers_count]])</f>
        <v>33.333333333333336</v>
      </c>
      <c r="U4022" t="str">
        <f>LEFT(Table1[[#This Row],[Category and Sub-Category]],FIND("/",Table1[[#This Row],[Category and Sub-Category]])-1)</f>
        <v>theater</v>
      </c>
      <c r="V4022" t="str">
        <f>RIGHT(Table1[[#This Row],[Category and Sub-Category]],LEN(Table1[[#This Row],[Category and Sub-Category]])-FIND("/",Table1[[#This Row],[Category and Sub-Category]]))</f>
        <v>plays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 s="12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>((Table1[[#This Row],[deadline]]/60)/60/24)+DATE(1970,1,1)</f>
        <v>41938.911550925928</v>
      </c>
      <c r="K4023">
        <v>1409176358</v>
      </c>
      <c r="L4023" s="11">
        <f>((Table1[[#This Row],[launched_at]]/60)/60/24)+DATE(1970,1,1)</f>
        <v>41878.911550925928</v>
      </c>
      <c r="M4023">
        <f>MONTH(Table1[[#This Row],[Date Created Conversion]])</f>
        <v>8</v>
      </c>
      <c r="N4023">
        <f>YEAR(Table1[[#This Row],[Date Created Conversion]])</f>
        <v>2014</v>
      </c>
      <c r="O4023" t="b">
        <v>0</v>
      </c>
      <c r="P4023">
        <v>2</v>
      </c>
      <c r="Q4023" t="b">
        <v>0</v>
      </c>
      <c r="R4023" t="s">
        <v>8271</v>
      </c>
      <c r="S4023" s="6">
        <f>Table1[[#This Row],[pledged]]/Table1[[#This Row],[goal]]</f>
        <v>8.3333333333333332E-3</v>
      </c>
      <c r="T4023" s="8">
        <f>IF(Table1[[#This Row],[pledged]]=0,"no backers",Table1[[#This Row],[pledged]]/Table1[[#This Row],[backers_count]])</f>
        <v>62.5</v>
      </c>
      <c r="U4023" t="str">
        <f>LEFT(Table1[[#This Row],[Category and Sub-Category]],FIND("/",Table1[[#This Row],[Category and Sub-Category]])-1)</f>
        <v>theater</v>
      </c>
      <c r="V4023" t="str">
        <f>RIGHT(Table1[[#This Row],[Category and Sub-Category]],LEN(Table1[[#This Row],[Category and Sub-Category]])-FIND("/",Table1[[#This Row],[Category and Sub-Category]]))</f>
        <v>plays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 s="12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>((Table1[[#This Row],[deadline]]/60)/60/24)+DATE(1970,1,1)</f>
        <v>42036.120833333334</v>
      </c>
      <c r="K4024">
        <v>1418824867</v>
      </c>
      <c r="L4024" s="11">
        <f>((Table1[[#This Row],[launched_at]]/60)/60/24)+DATE(1970,1,1)</f>
        <v>41990.584108796291</v>
      </c>
      <c r="M4024">
        <f>MONTH(Table1[[#This Row],[Date Created Conversion]])</f>
        <v>12</v>
      </c>
      <c r="N4024">
        <f>YEAR(Table1[[#This Row],[Date Created Conversion]])</f>
        <v>2014</v>
      </c>
      <c r="O4024" t="b">
        <v>0</v>
      </c>
      <c r="P4024">
        <v>197</v>
      </c>
      <c r="Q4024" t="b">
        <v>0</v>
      </c>
      <c r="R4024" t="s">
        <v>8271</v>
      </c>
      <c r="S4024" s="6">
        <f>Table1[[#This Row],[pledged]]/Table1[[#This Row],[goal]]</f>
        <v>0.69561111111111107</v>
      </c>
      <c r="T4024" s="8">
        <f>IF(Table1[[#This Row],[pledged]]=0,"no backers",Table1[[#This Row],[pledged]]/Table1[[#This Row],[backers_count]])</f>
        <v>63.558375634517766</v>
      </c>
      <c r="U4024" t="str">
        <f>LEFT(Table1[[#This Row],[Category and Sub-Category]],FIND("/",Table1[[#This Row],[Category and Sub-Category]])-1)</f>
        <v>theater</v>
      </c>
      <c r="V4024" t="str">
        <f>RIGHT(Table1[[#This Row],[Category and Sub-Category]],LEN(Table1[[#This Row],[Category and Sub-Category]])-FIND("/",Table1[[#This Row],[Category and Sub-Category]]))</f>
        <v>plays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 s="12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>((Table1[[#This Row],[deadline]]/60)/60/24)+DATE(1970,1,1)</f>
        <v>42453.957905092597</v>
      </c>
      <c r="K4025">
        <v>1454975963</v>
      </c>
      <c r="L4025" s="11">
        <f>((Table1[[#This Row],[launched_at]]/60)/60/24)+DATE(1970,1,1)</f>
        <v>42408.999571759254</v>
      </c>
      <c r="M4025">
        <f>MONTH(Table1[[#This Row],[Date Created Conversion]])</f>
        <v>2</v>
      </c>
      <c r="N4025">
        <f>YEAR(Table1[[#This Row],[Date Created Conversion]])</f>
        <v>2016</v>
      </c>
      <c r="O4025" t="b">
        <v>0</v>
      </c>
      <c r="P4025">
        <v>0</v>
      </c>
      <c r="Q4025" t="b">
        <v>0</v>
      </c>
      <c r="R4025" t="s">
        <v>8271</v>
      </c>
      <c r="S4025" s="6">
        <f>Table1[[#This Row],[pledged]]/Table1[[#This Row],[goal]]</f>
        <v>0</v>
      </c>
      <c r="T4025" s="8" t="str">
        <f>IF(Table1[[#This Row],[pledged]]=0,"no backers",Table1[[#This Row],[pledged]]/Table1[[#This Row],[backers_count]])</f>
        <v>no backers</v>
      </c>
      <c r="U4025" t="str">
        <f>LEFT(Table1[[#This Row],[Category and Sub-Category]],FIND("/",Table1[[#This Row],[Category and Sub-Category]])-1)</f>
        <v>theater</v>
      </c>
      <c r="V4025" t="str">
        <f>RIGHT(Table1[[#This Row],[Category and Sub-Category]],LEN(Table1[[#This Row],[Category and Sub-Category]])-FIND("/",Table1[[#This Row],[Category and Sub-Category]]))</f>
        <v>plays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 s="12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>((Table1[[#This Row],[deadline]]/60)/60/24)+DATE(1970,1,1)</f>
        <v>42247.670104166667</v>
      </c>
      <c r="K4026">
        <v>1438445097</v>
      </c>
      <c r="L4026" s="11">
        <f>((Table1[[#This Row],[launched_at]]/60)/60/24)+DATE(1970,1,1)</f>
        <v>42217.670104166667</v>
      </c>
      <c r="M4026">
        <f>MONTH(Table1[[#This Row],[Date Created Conversion]])</f>
        <v>8</v>
      </c>
      <c r="N4026">
        <f>YEAR(Table1[[#This Row],[Date Created Conversion]])</f>
        <v>2015</v>
      </c>
      <c r="O4026" t="b">
        <v>0</v>
      </c>
      <c r="P4026">
        <v>1</v>
      </c>
      <c r="Q4026" t="b">
        <v>0</v>
      </c>
      <c r="R4026" t="s">
        <v>8271</v>
      </c>
      <c r="S4026" s="6">
        <f>Table1[[#This Row],[pledged]]/Table1[[#This Row],[goal]]</f>
        <v>1.2500000000000001E-2</v>
      </c>
      <c r="T4026" s="8">
        <f>IF(Table1[[#This Row],[pledged]]=0,"no backers",Table1[[#This Row],[pledged]]/Table1[[#This Row],[backers_count]])</f>
        <v>10</v>
      </c>
      <c r="U4026" t="str">
        <f>LEFT(Table1[[#This Row],[Category and Sub-Category]],FIND("/",Table1[[#This Row],[Category and Sub-Category]])-1)</f>
        <v>theater</v>
      </c>
      <c r="V4026" t="str">
        <f>RIGHT(Table1[[#This Row],[Category and Sub-Category]],LEN(Table1[[#This Row],[Category and Sub-Category]])-FIND("/",Table1[[#This Row],[Category and Sub-Category]]))</f>
        <v>plays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 s="12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>((Table1[[#This Row],[deadline]]/60)/60/24)+DATE(1970,1,1)</f>
        <v>42211.237685185188</v>
      </c>
      <c r="K4027">
        <v>1432705336</v>
      </c>
      <c r="L4027" s="11">
        <f>((Table1[[#This Row],[launched_at]]/60)/60/24)+DATE(1970,1,1)</f>
        <v>42151.237685185188</v>
      </c>
      <c r="M4027">
        <f>MONTH(Table1[[#This Row],[Date Created Conversion]])</f>
        <v>5</v>
      </c>
      <c r="N4027">
        <f>YEAR(Table1[[#This Row],[Date Created Conversion]])</f>
        <v>2015</v>
      </c>
      <c r="O4027" t="b">
        <v>0</v>
      </c>
      <c r="P4027">
        <v>4</v>
      </c>
      <c r="Q4027" t="b">
        <v>0</v>
      </c>
      <c r="R4027" t="s">
        <v>8271</v>
      </c>
      <c r="S4027" s="6">
        <f>Table1[[#This Row],[pledged]]/Table1[[#This Row],[goal]]</f>
        <v>0.05</v>
      </c>
      <c r="T4027" s="8">
        <f>IF(Table1[[#This Row],[pledged]]=0,"no backers",Table1[[#This Row],[pledged]]/Table1[[#This Row],[backers_count]])</f>
        <v>62.5</v>
      </c>
      <c r="U4027" t="str">
        <f>LEFT(Table1[[#This Row],[Category and Sub-Category]],FIND("/",Table1[[#This Row],[Category and Sub-Category]])-1)</f>
        <v>theater</v>
      </c>
      <c r="V4027" t="str">
        <f>RIGHT(Table1[[#This Row],[Category and Sub-Category]],LEN(Table1[[#This Row],[Category and Sub-Category]])-FIND("/",Table1[[#This Row],[Category and Sub-Category]]))</f>
        <v>plays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 s="12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>((Table1[[#This Row],[deadline]]/60)/60/24)+DATE(1970,1,1)</f>
        <v>42342.697210648148</v>
      </c>
      <c r="K4028">
        <v>1444059839</v>
      </c>
      <c r="L4028" s="11">
        <f>((Table1[[#This Row],[launched_at]]/60)/60/24)+DATE(1970,1,1)</f>
        <v>42282.655543981484</v>
      </c>
      <c r="M4028">
        <f>MONTH(Table1[[#This Row],[Date Created Conversion]])</f>
        <v>10</v>
      </c>
      <c r="N4028">
        <f>YEAR(Table1[[#This Row],[Date Created Conversion]])</f>
        <v>2015</v>
      </c>
      <c r="O4028" t="b">
        <v>0</v>
      </c>
      <c r="P4028">
        <v>0</v>
      </c>
      <c r="Q4028" t="b">
        <v>0</v>
      </c>
      <c r="R4028" t="s">
        <v>8271</v>
      </c>
      <c r="S4028" s="6">
        <f>Table1[[#This Row],[pledged]]/Table1[[#This Row],[goal]]</f>
        <v>0</v>
      </c>
      <c r="T4028" s="8" t="str">
        <f>IF(Table1[[#This Row],[pledged]]=0,"no backers",Table1[[#This Row],[pledged]]/Table1[[#This Row],[backers_count]])</f>
        <v>no backers</v>
      </c>
      <c r="U4028" t="str">
        <f>LEFT(Table1[[#This Row],[Category and Sub-Category]],FIND("/",Table1[[#This Row],[Category and Sub-Category]])-1)</f>
        <v>theater</v>
      </c>
      <c r="V4028" t="str">
        <f>RIGHT(Table1[[#This Row],[Category and Sub-Category]],LEN(Table1[[#This Row],[Category and Sub-Category]])-FIND("/",Table1[[#This Row],[Category and Sub-Category]]))</f>
        <v>plays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 s="12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>((Table1[[#This Row],[deadline]]/60)/60/24)+DATE(1970,1,1)</f>
        <v>42789.041666666672</v>
      </c>
      <c r="K4029">
        <v>1486077481</v>
      </c>
      <c r="L4029" s="11">
        <f>((Table1[[#This Row],[launched_at]]/60)/60/24)+DATE(1970,1,1)</f>
        <v>42768.97084490741</v>
      </c>
      <c r="M4029">
        <f>MONTH(Table1[[#This Row],[Date Created Conversion]])</f>
        <v>2</v>
      </c>
      <c r="N4029">
        <f>YEAR(Table1[[#This Row],[Date Created Conversion]])</f>
        <v>2017</v>
      </c>
      <c r="O4029" t="b">
        <v>0</v>
      </c>
      <c r="P4029">
        <v>7</v>
      </c>
      <c r="Q4029" t="b">
        <v>0</v>
      </c>
      <c r="R4029" t="s">
        <v>8271</v>
      </c>
      <c r="S4029" s="6">
        <f>Table1[[#This Row],[pledged]]/Table1[[#This Row],[goal]]</f>
        <v>7.166666666666667E-2</v>
      </c>
      <c r="T4029" s="8">
        <f>IF(Table1[[#This Row],[pledged]]=0,"no backers",Table1[[#This Row],[pledged]]/Table1[[#This Row],[backers_count]])</f>
        <v>30.714285714285715</v>
      </c>
      <c r="U4029" t="str">
        <f>LEFT(Table1[[#This Row],[Category and Sub-Category]],FIND("/",Table1[[#This Row],[Category and Sub-Category]])-1)</f>
        <v>theater</v>
      </c>
      <c r="V4029" t="str">
        <f>RIGHT(Table1[[#This Row],[Category and Sub-Category]],LEN(Table1[[#This Row],[Category and Sub-Category]])-FIND("/",Table1[[#This Row],[Category and Sub-Category]]))</f>
        <v>plays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 s="12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>((Table1[[#This Row],[deadline]]/60)/60/24)+DATE(1970,1,1)</f>
        <v>41795.938657407409</v>
      </c>
      <c r="K4030">
        <v>1399415500</v>
      </c>
      <c r="L4030" s="11">
        <f>((Table1[[#This Row],[launched_at]]/60)/60/24)+DATE(1970,1,1)</f>
        <v>41765.938657407409</v>
      </c>
      <c r="M4030">
        <f>MONTH(Table1[[#This Row],[Date Created Conversion]])</f>
        <v>5</v>
      </c>
      <c r="N4030">
        <f>YEAR(Table1[[#This Row],[Date Created Conversion]])</f>
        <v>2014</v>
      </c>
      <c r="O4030" t="b">
        <v>0</v>
      </c>
      <c r="P4030">
        <v>11</v>
      </c>
      <c r="Q4030" t="b">
        <v>0</v>
      </c>
      <c r="R4030" t="s">
        <v>8271</v>
      </c>
      <c r="S4030" s="6">
        <f>Table1[[#This Row],[pledged]]/Table1[[#This Row],[goal]]</f>
        <v>0.28050000000000003</v>
      </c>
      <c r="T4030" s="8">
        <f>IF(Table1[[#This Row],[pledged]]=0,"no backers",Table1[[#This Row],[pledged]]/Table1[[#This Row],[backers_count]])</f>
        <v>51</v>
      </c>
      <c r="U4030" t="str">
        <f>LEFT(Table1[[#This Row],[Category and Sub-Category]],FIND("/",Table1[[#This Row],[Category and Sub-Category]])-1)</f>
        <v>theater</v>
      </c>
      <c r="V4030" t="str">
        <f>RIGHT(Table1[[#This Row],[Category and Sub-Category]],LEN(Table1[[#This Row],[Category and Sub-Category]])-FIND("/",Table1[[#This Row],[Category and Sub-Category]]))</f>
        <v>plays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 s="12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>((Table1[[#This Row],[deadline]]/60)/60/24)+DATE(1970,1,1)</f>
        <v>42352.025115740747</v>
      </c>
      <c r="K4031">
        <v>1447461370</v>
      </c>
      <c r="L4031" s="11">
        <f>((Table1[[#This Row],[launched_at]]/60)/60/24)+DATE(1970,1,1)</f>
        <v>42322.025115740747</v>
      </c>
      <c r="M4031">
        <f>MONTH(Table1[[#This Row],[Date Created Conversion]])</f>
        <v>11</v>
      </c>
      <c r="N4031">
        <f>YEAR(Table1[[#This Row],[Date Created Conversion]])</f>
        <v>2015</v>
      </c>
      <c r="O4031" t="b">
        <v>0</v>
      </c>
      <c r="P4031">
        <v>0</v>
      </c>
      <c r="Q4031" t="b">
        <v>0</v>
      </c>
      <c r="R4031" t="s">
        <v>8271</v>
      </c>
      <c r="S4031" s="6">
        <f>Table1[[#This Row],[pledged]]/Table1[[#This Row],[goal]]</f>
        <v>0</v>
      </c>
      <c r="T4031" s="8" t="str">
        <f>IF(Table1[[#This Row],[pledged]]=0,"no backers",Table1[[#This Row],[pledged]]/Table1[[#This Row],[backers_count]])</f>
        <v>no backers</v>
      </c>
      <c r="U4031" t="str">
        <f>LEFT(Table1[[#This Row],[Category and Sub-Category]],FIND("/",Table1[[#This Row],[Category and Sub-Category]])-1)</f>
        <v>theater</v>
      </c>
      <c r="V4031" t="str">
        <f>RIGHT(Table1[[#This Row],[Category and Sub-Category]],LEN(Table1[[#This Row],[Category and Sub-Category]])-FIND("/",Table1[[#This Row],[Category and Sub-Category]]))</f>
        <v>plays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 s="1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>((Table1[[#This Row],[deadline]]/60)/60/24)+DATE(1970,1,1)</f>
        <v>42403.784027777772</v>
      </c>
      <c r="K4032">
        <v>1452008599</v>
      </c>
      <c r="L4032" s="11">
        <f>((Table1[[#This Row],[launched_at]]/60)/60/24)+DATE(1970,1,1)</f>
        <v>42374.655081018514</v>
      </c>
      <c r="M4032">
        <f>MONTH(Table1[[#This Row],[Date Created Conversion]])</f>
        <v>1</v>
      </c>
      <c r="N4032">
        <f>YEAR(Table1[[#This Row],[Date Created Conversion]])</f>
        <v>2016</v>
      </c>
      <c r="O4032" t="b">
        <v>0</v>
      </c>
      <c r="P4032">
        <v>6</v>
      </c>
      <c r="Q4032" t="b">
        <v>0</v>
      </c>
      <c r="R4032" t="s">
        <v>8271</v>
      </c>
      <c r="S4032" s="6">
        <f>Table1[[#This Row],[pledged]]/Table1[[#This Row],[goal]]</f>
        <v>0.16</v>
      </c>
      <c r="T4032" s="8">
        <f>IF(Table1[[#This Row],[pledged]]=0,"no backers",Table1[[#This Row],[pledged]]/Table1[[#This Row],[backers_count]])</f>
        <v>66.666666666666671</v>
      </c>
      <c r="U4032" t="str">
        <f>LEFT(Table1[[#This Row],[Category and Sub-Category]],FIND("/",Table1[[#This Row],[Category and Sub-Category]])-1)</f>
        <v>theater</v>
      </c>
      <c r="V4032" t="str">
        <f>RIGHT(Table1[[#This Row],[Category and Sub-Category]],LEN(Table1[[#This Row],[Category and Sub-Category]])-FIND("/",Table1[[#This Row],[Category and Sub-Category]]))</f>
        <v>plays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 s="12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>((Table1[[#This Row],[deadline]]/60)/60/24)+DATE(1970,1,1)</f>
        <v>41991.626898148148</v>
      </c>
      <c r="K4033">
        <v>1414591364</v>
      </c>
      <c r="L4033" s="11">
        <f>((Table1[[#This Row],[launched_at]]/60)/60/24)+DATE(1970,1,1)</f>
        <v>41941.585231481484</v>
      </c>
      <c r="M4033">
        <f>MONTH(Table1[[#This Row],[Date Created Conversion]])</f>
        <v>10</v>
      </c>
      <c r="N4033">
        <f>YEAR(Table1[[#This Row],[Date Created Conversion]])</f>
        <v>2014</v>
      </c>
      <c r="O4033" t="b">
        <v>0</v>
      </c>
      <c r="P4033">
        <v>0</v>
      </c>
      <c r="Q4033" t="b">
        <v>0</v>
      </c>
      <c r="R4033" t="s">
        <v>8271</v>
      </c>
      <c r="S4033" s="6">
        <f>Table1[[#This Row],[pledged]]/Table1[[#This Row],[goal]]</f>
        <v>0</v>
      </c>
      <c r="T4033" s="8" t="str">
        <f>IF(Table1[[#This Row],[pledged]]=0,"no backers",Table1[[#This Row],[pledged]]/Table1[[#This Row],[backers_count]])</f>
        <v>no backers</v>
      </c>
      <c r="U4033" t="str">
        <f>LEFT(Table1[[#This Row],[Category and Sub-Category]],FIND("/",Table1[[#This Row],[Category and Sub-Category]])-1)</f>
        <v>theater</v>
      </c>
      <c r="V4033" t="str">
        <f>RIGHT(Table1[[#This Row],[Category and Sub-Category]],LEN(Table1[[#This Row],[Category and Sub-Category]])-FIND("/",Table1[[#This Row],[Category and Sub-Category]]))</f>
        <v>plays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 s="12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>((Table1[[#This Row],[deadline]]/60)/60/24)+DATE(1970,1,1)</f>
        <v>42353.85087962963</v>
      </c>
      <c r="K4034">
        <v>1445023516</v>
      </c>
      <c r="L4034" s="11">
        <f>((Table1[[#This Row],[launched_at]]/60)/60/24)+DATE(1970,1,1)</f>
        <v>42293.809212962966</v>
      </c>
      <c r="M4034">
        <f>MONTH(Table1[[#This Row],[Date Created Conversion]])</f>
        <v>10</v>
      </c>
      <c r="N4034">
        <f>YEAR(Table1[[#This Row],[Date Created Conversion]])</f>
        <v>2015</v>
      </c>
      <c r="O4034" t="b">
        <v>0</v>
      </c>
      <c r="P4034">
        <v>7</v>
      </c>
      <c r="Q4034" t="b">
        <v>0</v>
      </c>
      <c r="R4034" t="s">
        <v>8271</v>
      </c>
      <c r="S4034" s="6">
        <f>Table1[[#This Row],[pledged]]/Table1[[#This Row],[goal]]</f>
        <v>6.8287037037037035E-2</v>
      </c>
      <c r="T4034" s="8">
        <f>IF(Table1[[#This Row],[pledged]]=0,"no backers",Table1[[#This Row],[pledged]]/Table1[[#This Row],[backers_count]])</f>
        <v>59</v>
      </c>
      <c r="U4034" t="str">
        <f>LEFT(Table1[[#This Row],[Category and Sub-Category]],FIND("/",Table1[[#This Row],[Category and Sub-Category]])-1)</f>
        <v>theater</v>
      </c>
      <c r="V4034" t="str">
        <f>RIGHT(Table1[[#This Row],[Category and Sub-Category]],LEN(Table1[[#This Row],[Category and Sub-Category]])-FIND("/",Table1[[#This Row],[Category and Sub-Category]]))</f>
        <v>plays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 s="12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>((Table1[[#This Row],[deadline]]/60)/60/24)+DATE(1970,1,1)</f>
        <v>42645.375</v>
      </c>
      <c r="K4035">
        <v>1472711224</v>
      </c>
      <c r="L4035" s="11">
        <f>((Table1[[#This Row],[launched_at]]/60)/60/24)+DATE(1970,1,1)</f>
        <v>42614.268796296295</v>
      </c>
      <c r="M4035">
        <f>MONTH(Table1[[#This Row],[Date Created Conversion]])</f>
        <v>9</v>
      </c>
      <c r="N4035">
        <f>YEAR(Table1[[#This Row],[Date Created Conversion]])</f>
        <v>2016</v>
      </c>
      <c r="O4035" t="b">
        <v>0</v>
      </c>
      <c r="P4035">
        <v>94</v>
      </c>
      <c r="Q4035" t="b">
        <v>0</v>
      </c>
      <c r="R4035" t="s">
        <v>8271</v>
      </c>
      <c r="S4035" s="6">
        <f>Table1[[#This Row],[pledged]]/Table1[[#This Row],[goal]]</f>
        <v>0.25698702928870293</v>
      </c>
      <c r="T4035" s="8">
        <f>IF(Table1[[#This Row],[pledged]]=0,"no backers",Table1[[#This Row],[pledged]]/Table1[[#This Row],[backers_count]])</f>
        <v>65.340319148936175</v>
      </c>
      <c r="U4035" t="str">
        <f>LEFT(Table1[[#This Row],[Category and Sub-Category]],FIND("/",Table1[[#This Row],[Category and Sub-Category]])-1)</f>
        <v>theater</v>
      </c>
      <c r="V4035" t="str">
        <f>RIGHT(Table1[[#This Row],[Category and Sub-Category]],LEN(Table1[[#This Row],[Category and Sub-Category]])-FIND("/",Table1[[#This Row],[Category and Sub-Category]]))</f>
        <v>plays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 s="12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>((Table1[[#This Row],[deadline]]/60)/60/24)+DATE(1970,1,1)</f>
        <v>42097.905671296292</v>
      </c>
      <c r="K4036">
        <v>1425509050</v>
      </c>
      <c r="L4036" s="11">
        <f>((Table1[[#This Row],[launched_at]]/60)/60/24)+DATE(1970,1,1)</f>
        <v>42067.947337962964</v>
      </c>
      <c r="M4036">
        <f>MONTH(Table1[[#This Row],[Date Created Conversion]])</f>
        <v>3</v>
      </c>
      <c r="N4036">
        <f>YEAR(Table1[[#This Row],[Date Created Conversion]])</f>
        <v>2015</v>
      </c>
      <c r="O4036" t="b">
        <v>0</v>
      </c>
      <c r="P4036">
        <v>2</v>
      </c>
      <c r="Q4036" t="b">
        <v>0</v>
      </c>
      <c r="R4036" t="s">
        <v>8271</v>
      </c>
      <c r="S4036" s="6">
        <f>Table1[[#This Row],[pledged]]/Table1[[#This Row],[goal]]</f>
        <v>1.4814814814814815E-2</v>
      </c>
      <c r="T4036" s="8">
        <f>IF(Table1[[#This Row],[pledged]]=0,"no backers",Table1[[#This Row],[pledged]]/Table1[[#This Row],[backers_count]])</f>
        <v>100</v>
      </c>
      <c r="U4036" t="str">
        <f>LEFT(Table1[[#This Row],[Category and Sub-Category]],FIND("/",Table1[[#This Row],[Category and Sub-Category]])-1)</f>
        <v>theater</v>
      </c>
      <c r="V4036" t="str">
        <f>RIGHT(Table1[[#This Row],[Category and Sub-Category]],LEN(Table1[[#This Row],[Category and Sub-Category]])-FIND("/",Table1[[#This Row],[Category and Sub-Category]]))</f>
        <v>plays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 s="12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>((Table1[[#This Row],[deadline]]/60)/60/24)+DATE(1970,1,1)</f>
        <v>41933.882951388885</v>
      </c>
      <c r="K4037">
        <v>1411333887</v>
      </c>
      <c r="L4037" s="11">
        <f>((Table1[[#This Row],[launched_at]]/60)/60/24)+DATE(1970,1,1)</f>
        <v>41903.882951388885</v>
      </c>
      <c r="M4037">
        <f>MONTH(Table1[[#This Row],[Date Created Conversion]])</f>
        <v>9</v>
      </c>
      <c r="N4037">
        <f>YEAR(Table1[[#This Row],[Date Created Conversion]])</f>
        <v>2014</v>
      </c>
      <c r="O4037" t="b">
        <v>0</v>
      </c>
      <c r="P4037">
        <v>25</v>
      </c>
      <c r="Q4037" t="b">
        <v>0</v>
      </c>
      <c r="R4037" t="s">
        <v>8271</v>
      </c>
      <c r="S4037" s="6">
        <f>Table1[[#This Row],[pledged]]/Table1[[#This Row],[goal]]</f>
        <v>0.36849999999999999</v>
      </c>
      <c r="T4037" s="8">
        <f>IF(Table1[[#This Row],[pledged]]=0,"no backers",Table1[[#This Row],[pledged]]/Table1[[#This Row],[backers_count]])</f>
        <v>147.4</v>
      </c>
      <c r="U4037" t="str">
        <f>LEFT(Table1[[#This Row],[Category and Sub-Category]],FIND("/",Table1[[#This Row],[Category and Sub-Category]])-1)</f>
        <v>theater</v>
      </c>
      <c r="V4037" t="str">
        <f>RIGHT(Table1[[#This Row],[Category and Sub-Category]],LEN(Table1[[#This Row],[Category and Sub-Category]])-FIND("/",Table1[[#This Row],[Category and Sub-Category]]))</f>
        <v>plays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 s="12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>((Table1[[#This Row],[deadline]]/60)/60/24)+DATE(1970,1,1)</f>
        <v>41821.9375</v>
      </c>
      <c r="K4038">
        <v>1402784964</v>
      </c>
      <c r="L4038" s="11">
        <f>((Table1[[#This Row],[launched_at]]/60)/60/24)+DATE(1970,1,1)</f>
        <v>41804.937083333331</v>
      </c>
      <c r="M4038">
        <f>MONTH(Table1[[#This Row],[Date Created Conversion]])</f>
        <v>6</v>
      </c>
      <c r="N4038">
        <f>YEAR(Table1[[#This Row],[Date Created Conversion]])</f>
        <v>2014</v>
      </c>
      <c r="O4038" t="b">
        <v>0</v>
      </c>
      <c r="P4038">
        <v>17</v>
      </c>
      <c r="Q4038" t="b">
        <v>0</v>
      </c>
      <c r="R4038" t="s">
        <v>8271</v>
      </c>
      <c r="S4038" s="6">
        <f>Table1[[#This Row],[pledged]]/Table1[[#This Row],[goal]]</f>
        <v>0.47049999999999997</v>
      </c>
      <c r="T4038" s="8">
        <f>IF(Table1[[#This Row],[pledged]]=0,"no backers",Table1[[#This Row],[pledged]]/Table1[[#This Row],[backers_count]])</f>
        <v>166.05882352941177</v>
      </c>
      <c r="U4038" t="str">
        <f>LEFT(Table1[[#This Row],[Category and Sub-Category]],FIND("/",Table1[[#This Row],[Category and Sub-Category]])-1)</f>
        <v>theater</v>
      </c>
      <c r="V4038" t="str">
        <f>RIGHT(Table1[[#This Row],[Category and Sub-Category]],LEN(Table1[[#This Row],[Category and Sub-Category]])-FIND("/",Table1[[#This Row],[Category and Sub-Category]]))</f>
        <v>plays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 s="12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>((Table1[[#This Row],[deadline]]/60)/60/24)+DATE(1970,1,1)</f>
        <v>42514.600694444445</v>
      </c>
      <c r="K4039">
        <v>1462585315</v>
      </c>
      <c r="L4039" s="11">
        <f>((Table1[[#This Row],[launched_at]]/60)/60/24)+DATE(1970,1,1)</f>
        <v>42497.070775462969</v>
      </c>
      <c r="M4039">
        <f>MONTH(Table1[[#This Row],[Date Created Conversion]])</f>
        <v>5</v>
      </c>
      <c r="N4039">
        <f>YEAR(Table1[[#This Row],[Date Created Conversion]])</f>
        <v>2016</v>
      </c>
      <c r="O4039" t="b">
        <v>0</v>
      </c>
      <c r="P4039">
        <v>2</v>
      </c>
      <c r="Q4039" t="b">
        <v>0</v>
      </c>
      <c r="R4039" t="s">
        <v>8271</v>
      </c>
      <c r="S4039" s="6">
        <f>Table1[[#This Row],[pledged]]/Table1[[#This Row],[goal]]</f>
        <v>0.11428571428571428</v>
      </c>
      <c r="T4039" s="8">
        <f>IF(Table1[[#This Row],[pledged]]=0,"no backers",Table1[[#This Row],[pledged]]/Table1[[#This Row],[backers_count]])</f>
        <v>40</v>
      </c>
      <c r="U4039" t="str">
        <f>LEFT(Table1[[#This Row],[Category and Sub-Category]],FIND("/",Table1[[#This Row],[Category and Sub-Category]])-1)</f>
        <v>theater</v>
      </c>
      <c r="V4039" t="str">
        <f>RIGHT(Table1[[#This Row],[Category and Sub-Category]],LEN(Table1[[#This Row],[Category and Sub-Category]])-FIND("/",Table1[[#This Row],[Category and Sub-Category]]))</f>
        <v>plays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 s="12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>((Table1[[#This Row],[deadline]]/60)/60/24)+DATE(1970,1,1)</f>
        <v>41929.798726851855</v>
      </c>
      <c r="K4040">
        <v>1408389010</v>
      </c>
      <c r="L4040" s="11">
        <f>((Table1[[#This Row],[launched_at]]/60)/60/24)+DATE(1970,1,1)</f>
        <v>41869.798726851855</v>
      </c>
      <c r="M4040">
        <f>MONTH(Table1[[#This Row],[Date Created Conversion]])</f>
        <v>8</v>
      </c>
      <c r="N4040">
        <f>YEAR(Table1[[#This Row],[Date Created Conversion]])</f>
        <v>2014</v>
      </c>
      <c r="O4040" t="b">
        <v>0</v>
      </c>
      <c r="P4040">
        <v>4</v>
      </c>
      <c r="Q4040" t="b">
        <v>0</v>
      </c>
      <c r="R4040" t="s">
        <v>8271</v>
      </c>
      <c r="S4040" s="6">
        <f>Table1[[#This Row],[pledged]]/Table1[[#This Row],[goal]]</f>
        <v>0.12039999999999999</v>
      </c>
      <c r="T4040" s="8">
        <f>IF(Table1[[#This Row],[pledged]]=0,"no backers",Table1[[#This Row],[pledged]]/Table1[[#This Row],[backers_count]])</f>
        <v>75.25</v>
      </c>
      <c r="U4040" t="str">
        <f>LEFT(Table1[[#This Row],[Category and Sub-Category]],FIND("/",Table1[[#This Row],[Category and Sub-Category]])-1)</f>
        <v>theater</v>
      </c>
      <c r="V4040" t="str">
        <f>RIGHT(Table1[[#This Row],[Category and Sub-Category]],LEN(Table1[[#This Row],[Category and Sub-Category]])-FIND("/",Table1[[#This Row],[Category and Sub-Category]]))</f>
        <v>plays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 s="12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>((Table1[[#This Row],[deadline]]/60)/60/24)+DATE(1970,1,1)</f>
        <v>42339.249305555553</v>
      </c>
      <c r="K4041">
        <v>1446048367</v>
      </c>
      <c r="L4041" s="11">
        <f>((Table1[[#This Row],[launched_at]]/60)/60/24)+DATE(1970,1,1)</f>
        <v>42305.670914351853</v>
      </c>
      <c r="M4041">
        <f>MONTH(Table1[[#This Row],[Date Created Conversion]])</f>
        <v>10</v>
      </c>
      <c r="N4041">
        <f>YEAR(Table1[[#This Row],[Date Created Conversion]])</f>
        <v>2015</v>
      </c>
      <c r="O4041" t="b">
        <v>0</v>
      </c>
      <c r="P4041">
        <v>5</v>
      </c>
      <c r="Q4041" t="b">
        <v>0</v>
      </c>
      <c r="R4041" t="s">
        <v>8271</v>
      </c>
      <c r="S4041" s="6">
        <f>Table1[[#This Row],[pledged]]/Table1[[#This Row],[goal]]</f>
        <v>0.6</v>
      </c>
      <c r="T4041" s="8">
        <f>IF(Table1[[#This Row],[pledged]]=0,"no backers",Table1[[#This Row],[pledged]]/Table1[[#This Row],[backers_count]])</f>
        <v>60</v>
      </c>
      <c r="U4041" t="str">
        <f>LEFT(Table1[[#This Row],[Category and Sub-Category]],FIND("/",Table1[[#This Row],[Category and Sub-Category]])-1)</f>
        <v>theater</v>
      </c>
      <c r="V4041" t="str">
        <f>RIGHT(Table1[[#This Row],[Category and Sub-Category]],LEN(Table1[[#This Row],[Category and Sub-Category]])-FIND("/",Table1[[#This Row],[Category and Sub-Category]]))</f>
        <v>plays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 s="1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>((Table1[[#This Row],[deadline]]/60)/60/24)+DATE(1970,1,1)</f>
        <v>42203.125</v>
      </c>
      <c r="K4042">
        <v>1432100004</v>
      </c>
      <c r="L4042" s="11">
        <f>((Table1[[#This Row],[launched_at]]/60)/60/24)+DATE(1970,1,1)</f>
        <v>42144.231527777782</v>
      </c>
      <c r="M4042">
        <f>MONTH(Table1[[#This Row],[Date Created Conversion]])</f>
        <v>5</v>
      </c>
      <c r="N4042">
        <f>YEAR(Table1[[#This Row],[Date Created Conversion]])</f>
        <v>2015</v>
      </c>
      <c r="O4042" t="b">
        <v>0</v>
      </c>
      <c r="P4042">
        <v>2</v>
      </c>
      <c r="Q4042" t="b">
        <v>0</v>
      </c>
      <c r="R4042" t="s">
        <v>8271</v>
      </c>
      <c r="S4042" s="6">
        <f>Table1[[#This Row],[pledged]]/Table1[[#This Row],[goal]]</f>
        <v>0.3125</v>
      </c>
      <c r="T4042" s="8">
        <f>IF(Table1[[#This Row],[pledged]]=0,"no backers",Table1[[#This Row],[pledged]]/Table1[[#This Row],[backers_count]])</f>
        <v>1250</v>
      </c>
      <c r="U4042" t="str">
        <f>LEFT(Table1[[#This Row],[Category and Sub-Category]],FIND("/",Table1[[#This Row],[Category and Sub-Category]])-1)</f>
        <v>theater</v>
      </c>
      <c r="V4042" t="str">
        <f>RIGHT(Table1[[#This Row],[Category and Sub-Category]],LEN(Table1[[#This Row],[Category and Sub-Category]])-FIND("/",Table1[[#This Row],[Category and Sub-Category]]))</f>
        <v>plays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 s="12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>((Table1[[#This Row],[deadline]]/60)/60/24)+DATE(1970,1,1)</f>
        <v>42619.474004629628</v>
      </c>
      <c r="K4043">
        <v>1467976954</v>
      </c>
      <c r="L4043" s="11">
        <f>((Table1[[#This Row],[launched_at]]/60)/60/24)+DATE(1970,1,1)</f>
        <v>42559.474004629628</v>
      </c>
      <c r="M4043">
        <f>MONTH(Table1[[#This Row],[Date Created Conversion]])</f>
        <v>7</v>
      </c>
      <c r="N4043">
        <f>YEAR(Table1[[#This Row],[Date Created Conversion]])</f>
        <v>2016</v>
      </c>
      <c r="O4043" t="b">
        <v>0</v>
      </c>
      <c r="P4043">
        <v>2</v>
      </c>
      <c r="Q4043" t="b">
        <v>0</v>
      </c>
      <c r="R4043" t="s">
        <v>8271</v>
      </c>
      <c r="S4043" s="6">
        <f>Table1[[#This Row],[pledged]]/Table1[[#This Row],[goal]]</f>
        <v>4.1999999999999997E-3</v>
      </c>
      <c r="T4043" s="8">
        <f>IF(Table1[[#This Row],[pledged]]=0,"no backers",Table1[[#This Row],[pledged]]/Table1[[#This Row],[backers_count]])</f>
        <v>10.5</v>
      </c>
      <c r="U4043" t="str">
        <f>LEFT(Table1[[#This Row],[Category and Sub-Category]],FIND("/",Table1[[#This Row],[Category and Sub-Category]])-1)</f>
        <v>theater</v>
      </c>
      <c r="V4043" t="str">
        <f>RIGHT(Table1[[#This Row],[Category and Sub-Category]],LEN(Table1[[#This Row],[Category and Sub-Category]])-FIND("/",Table1[[#This Row],[Category and Sub-Category]]))</f>
        <v>plays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 s="12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>((Table1[[#This Row],[deadline]]/60)/60/24)+DATE(1970,1,1)</f>
        <v>42024.802777777775</v>
      </c>
      <c r="K4044">
        <v>1419213664</v>
      </c>
      <c r="L4044" s="11">
        <f>((Table1[[#This Row],[launched_at]]/60)/60/24)+DATE(1970,1,1)</f>
        <v>41995.084074074075</v>
      </c>
      <c r="M4044">
        <f>MONTH(Table1[[#This Row],[Date Created Conversion]])</f>
        <v>12</v>
      </c>
      <c r="N4044">
        <f>YEAR(Table1[[#This Row],[Date Created Conversion]])</f>
        <v>2014</v>
      </c>
      <c r="O4044" t="b">
        <v>0</v>
      </c>
      <c r="P4044">
        <v>3</v>
      </c>
      <c r="Q4044" t="b">
        <v>0</v>
      </c>
      <c r="R4044" t="s">
        <v>8271</v>
      </c>
      <c r="S4044" s="6">
        <f>Table1[[#This Row],[pledged]]/Table1[[#This Row],[goal]]</f>
        <v>2.0999999999999999E-3</v>
      </c>
      <c r="T4044" s="8">
        <f>IF(Table1[[#This Row],[pledged]]=0,"no backers",Table1[[#This Row],[pledged]]/Table1[[#This Row],[backers_count]])</f>
        <v>7</v>
      </c>
      <c r="U4044" t="str">
        <f>LEFT(Table1[[#This Row],[Category and Sub-Category]],FIND("/",Table1[[#This Row],[Category and Sub-Category]])-1)</f>
        <v>theater</v>
      </c>
      <c r="V4044" t="str">
        <f>RIGHT(Table1[[#This Row],[Category and Sub-Category]],LEN(Table1[[#This Row],[Category and Sub-Category]])-FIND("/",Table1[[#This Row],[Category and Sub-Category]]))</f>
        <v>plays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 s="12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>((Table1[[#This Row],[deadline]]/60)/60/24)+DATE(1970,1,1)</f>
        <v>41963.957465277781</v>
      </c>
      <c r="K4045">
        <v>1415228325</v>
      </c>
      <c r="L4045" s="11">
        <f>((Table1[[#This Row],[launched_at]]/60)/60/24)+DATE(1970,1,1)</f>
        <v>41948.957465277781</v>
      </c>
      <c r="M4045">
        <f>MONTH(Table1[[#This Row],[Date Created Conversion]])</f>
        <v>11</v>
      </c>
      <c r="N4045">
        <f>YEAR(Table1[[#This Row],[Date Created Conversion]])</f>
        <v>2014</v>
      </c>
      <c r="O4045" t="b">
        <v>0</v>
      </c>
      <c r="P4045">
        <v>0</v>
      </c>
      <c r="Q4045" t="b">
        <v>0</v>
      </c>
      <c r="R4045" t="s">
        <v>8271</v>
      </c>
      <c r="S4045" s="6">
        <f>Table1[[#This Row],[pledged]]/Table1[[#This Row],[goal]]</f>
        <v>0</v>
      </c>
      <c r="T4045" s="8" t="str">
        <f>IF(Table1[[#This Row],[pledged]]=0,"no backers",Table1[[#This Row],[pledged]]/Table1[[#This Row],[backers_count]])</f>
        <v>no backers</v>
      </c>
      <c r="U4045" t="str">
        <f>LEFT(Table1[[#This Row],[Category and Sub-Category]],FIND("/",Table1[[#This Row],[Category and Sub-Category]])-1)</f>
        <v>theater</v>
      </c>
      <c r="V4045" t="str">
        <f>RIGHT(Table1[[#This Row],[Category and Sub-Category]],LEN(Table1[[#This Row],[Category and Sub-Category]])-FIND("/",Table1[[#This Row],[Category and Sub-Category]]))</f>
        <v>plays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 s="12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>((Table1[[#This Row],[deadline]]/60)/60/24)+DATE(1970,1,1)</f>
        <v>42104.208333333328</v>
      </c>
      <c r="K4046">
        <v>1426050982</v>
      </c>
      <c r="L4046" s="11">
        <f>((Table1[[#This Row],[launched_at]]/60)/60/24)+DATE(1970,1,1)</f>
        <v>42074.219699074078</v>
      </c>
      <c r="M4046">
        <f>MONTH(Table1[[#This Row],[Date Created Conversion]])</f>
        <v>3</v>
      </c>
      <c r="N4046">
        <f>YEAR(Table1[[#This Row],[Date Created Conversion]])</f>
        <v>2015</v>
      </c>
      <c r="O4046" t="b">
        <v>0</v>
      </c>
      <c r="P4046">
        <v>4</v>
      </c>
      <c r="Q4046" t="b">
        <v>0</v>
      </c>
      <c r="R4046" t="s">
        <v>8271</v>
      </c>
      <c r="S4046" s="6">
        <f>Table1[[#This Row],[pledged]]/Table1[[#This Row],[goal]]</f>
        <v>0.375</v>
      </c>
      <c r="T4046" s="8">
        <f>IF(Table1[[#This Row],[pledged]]=0,"no backers",Table1[[#This Row],[pledged]]/Table1[[#This Row],[backers_count]])</f>
        <v>56.25</v>
      </c>
      <c r="U4046" t="str">
        <f>LEFT(Table1[[#This Row],[Category and Sub-Category]],FIND("/",Table1[[#This Row],[Category and Sub-Category]])-1)</f>
        <v>theater</v>
      </c>
      <c r="V4046" t="str">
        <f>RIGHT(Table1[[#This Row],[Category and Sub-Category]],LEN(Table1[[#This Row],[Category and Sub-Category]])-FIND("/",Table1[[#This Row],[Category and Sub-Category]]))</f>
        <v>plays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 s="12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>((Table1[[#This Row],[deadline]]/60)/60/24)+DATE(1970,1,1)</f>
        <v>41872.201261574075</v>
      </c>
      <c r="K4047">
        <v>1406004589</v>
      </c>
      <c r="L4047" s="11">
        <f>((Table1[[#This Row],[launched_at]]/60)/60/24)+DATE(1970,1,1)</f>
        <v>41842.201261574075</v>
      </c>
      <c r="M4047">
        <f>MONTH(Table1[[#This Row],[Date Created Conversion]])</f>
        <v>7</v>
      </c>
      <c r="N4047">
        <f>YEAR(Table1[[#This Row],[Date Created Conversion]])</f>
        <v>2014</v>
      </c>
      <c r="O4047" t="b">
        <v>0</v>
      </c>
      <c r="P4047">
        <v>1</v>
      </c>
      <c r="Q4047" t="b">
        <v>0</v>
      </c>
      <c r="R4047" t="s">
        <v>8271</v>
      </c>
      <c r="S4047" s="6">
        <f>Table1[[#This Row],[pledged]]/Table1[[#This Row],[goal]]</f>
        <v>2.0000000000000001E-4</v>
      </c>
      <c r="T4047" s="8">
        <f>IF(Table1[[#This Row],[pledged]]=0,"no backers",Table1[[#This Row],[pledged]]/Table1[[#This Row],[backers_count]])</f>
        <v>1</v>
      </c>
      <c r="U4047" t="str">
        <f>LEFT(Table1[[#This Row],[Category and Sub-Category]],FIND("/",Table1[[#This Row],[Category and Sub-Category]])-1)</f>
        <v>theater</v>
      </c>
      <c r="V4047" t="str">
        <f>RIGHT(Table1[[#This Row],[Category and Sub-Category]],LEN(Table1[[#This Row],[Category and Sub-Category]])-FIND("/",Table1[[#This Row],[Category and Sub-Category]]))</f>
        <v>plays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 s="12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>((Table1[[#This Row],[deadline]]/60)/60/24)+DATE(1970,1,1)</f>
        <v>41934.650578703702</v>
      </c>
      <c r="K4048">
        <v>1411400210</v>
      </c>
      <c r="L4048" s="11">
        <f>((Table1[[#This Row],[launched_at]]/60)/60/24)+DATE(1970,1,1)</f>
        <v>41904.650578703702</v>
      </c>
      <c r="M4048">
        <f>MONTH(Table1[[#This Row],[Date Created Conversion]])</f>
        <v>9</v>
      </c>
      <c r="N4048">
        <f>YEAR(Table1[[#This Row],[Date Created Conversion]])</f>
        <v>2014</v>
      </c>
      <c r="O4048" t="b">
        <v>0</v>
      </c>
      <c r="P4048">
        <v>12</v>
      </c>
      <c r="Q4048" t="b">
        <v>0</v>
      </c>
      <c r="R4048" t="s">
        <v>8271</v>
      </c>
      <c r="S4048" s="6">
        <f>Table1[[#This Row],[pledged]]/Table1[[#This Row],[goal]]</f>
        <v>8.2142857142857142E-2</v>
      </c>
      <c r="T4048" s="8">
        <f>IF(Table1[[#This Row],[pledged]]=0,"no backers",Table1[[#This Row],[pledged]]/Table1[[#This Row],[backers_count]])</f>
        <v>38.333333333333336</v>
      </c>
      <c r="U4048" t="str">
        <f>LEFT(Table1[[#This Row],[Category and Sub-Category]],FIND("/",Table1[[#This Row],[Category and Sub-Category]])-1)</f>
        <v>theater</v>
      </c>
      <c r="V4048" t="str">
        <f>RIGHT(Table1[[#This Row],[Category and Sub-Category]],LEN(Table1[[#This Row],[Category and Sub-Category]])-FIND("/",Table1[[#This Row],[Category and Sub-Category]]))</f>
        <v>plays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 s="12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>((Table1[[#This Row],[deadline]]/60)/60/24)+DATE(1970,1,1)</f>
        <v>42015.041666666672</v>
      </c>
      <c r="K4049">
        <v>1418862743</v>
      </c>
      <c r="L4049" s="11">
        <f>((Table1[[#This Row],[launched_at]]/60)/60/24)+DATE(1970,1,1)</f>
        <v>41991.022488425922</v>
      </c>
      <c r="M4049">
        <f>MONTH(Table1[[#This Row],[Date Created Conversion]])</f>
        <v>12</v>
      </c>
      <c r="N4049">
        <f>YEAR(Table1[[#This Row],[Date Created Conversion]])</f>
        <v>2014</v>
      </c>
      <c r="O4049" t="b">
        <v>0</v>
      </c>
      <c r="P4049">
        <v>4</v>
      </c>
      <c r="Q4049" t="b">
        <v>0</v>
      </c>
      <c r="R4049" t="s">
        <v>8271</v>
      </c>
      <c r="S4049" s="6">
        <f>Table1[[#This Row],[pledged]]/Table1[[#This Row],[goal]]</f>
        <v>2.1999999999999999E-2</v>
      </c>
      <c r="T4049" s="8">
        <f>IF(Table1[[#This Row],[pledged]]=0,"no backers",Table1[[#This Row],[pledged]]/Table1[[#This Row],[backers_count]])</f>
        <v>27.5</v>
      </c>
      <c r="U4049" t="str">
        <f>LEFT(Table1[[#This Row],[Category and Sub-Category]],FIND("/",Table1[[#This Row],[Category and Sub-Category]])-1)</f>
        <v>theater</v>
      </c>
      <c r="V4049" t="str">
        <f>RIGHT(Table1[[#This Row],[Category and Sub-Category]],LEN(Table1[[#This Row],[Category and Sub-Category]])-FIND("/",Table1[[#This Row],[Category and Sub-Category]]))</f>
        <v>plays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 s="12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>((Table1[[#This Row],[deadline]]/60)/60/24)+DATE(1970,1,1)</f>
        <v>42471.467442129629</v>
      </c>
      <c r="K4050">
        <v>1457352787</v>
      </c>
      <c r="L4050" s="11">
        <f>((Table1[[#This Row],[launched_at]]/60)/60/24)+DATE(1970,1,1)</f>
        <v>42436.509108796294</v>
      </c>
      <c r="M4050">
        <f>MONTH(Table1[[#This Row],[Date Created Conversion]])</f>
        <v>3</v>
      </c>
      <c r="N4050">
        <f>YEAR(Table1[[#This Row],[Date Created Conversion]])</f>
        <v>2016</v>
      </c>
      <c r="O4050" t="b">
        <v>0</v>
      </c>
      <c r="P4050">
        <v>91</v>
      </c>
      <c r="Q4050" t="b">
        <v>0</v>
      </c>
      <c r="R4050" t="s">
        <v>8271</v>
      </c>
      <c r="S4050" s="6">
        <f>Table1[[#This Row],[pledged]]/Table1[[#This Row],[goal]]</f>
        <v>0.17652941176470588</v>
      </c>
      <c r="T4050" s="8">
        <f>IF(Table1[[#This Row],[pledged]]=0,"no backers",Table1[[#This Row],[pledged]]/Table1[[#This Row],[backers_count]])</f>
        <v>32.978021978021978</v>
      </c>
      <c r="U4050" t="str">
        <f>LEFT(Table1[[#This Row],[Category and Sub-Category]],FIND("/",Table1[[#This Row],[Category and Sub-Category]])-1)</f>
        <v>theater</v>
      </c>
      <c r="V4050" t="str">
        <f>RIGHT(Table1[[#This Row],[Category and Sub-Category]],LEN(Table1[[#This Row],[Category and Sub-Category]])-FIND("/",Table1[[#This Row],[Category and Sub-Category]]))</f>
        <v>plays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 s="12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>((Table1[[#This Row],[deadline]]/60)/60/24)+DATE(1970,1,1)</f>
        <v>42199.958506944444</v>
      </c>
      <c r="K4051">
        <v>1434322815</v>
      </c>
      <c r="L4051" s="11">
        <f>((Table1[[#This Row],[launched_at]]/60)/60/24)+DATE(1970,1,1)</f>
        <v>42169.958506944444</v>
      </c>
      <c r="M4051">
        <f>MONTH(Table1[[#This Row],[Date Created Conversion]])</f>
        <v>6</v>
      </c>
      <c r="N4051">
        <f>YEAR(Table1[[#This Row],[Date Created Conversion]])</f>
        <v>2015</v>
      </c>
      <c r="O4051" t="b">
        <v>0</v>
      </c>
      <c r="P4051">
        <v>1</v>
      </c>
      <c r="Q4051" t="b">
        <v>0</v>
      </c>
      <c r="R4051" t="s">
        <v>8271</v>
      </c>
      <c r="S4051" s="6">
        <f>Table1[[#This Row],[pledged]]/Table1[[#This Row],[goal]]</f>
        <v>8.0000000000000004E-4</v>
      </c>
      <c r="T4051" s="8">
        <f>IF(Table1[[#This Row],[pledged]]=0,"no backers",Table1[[#This Row],[pledged]]/Table1[[#This Row],[backers_count]])</f>
        <v>16</v>
      </c>
      <c r="U4051" t="str">
        <f>LEFT(Table1[[#This Row],[Category and Sub-Category]],FIND("/",Table1[[#This Row],[Category and Sub-Category]])-1)</f>
        <v>theater</v>
      </c>
      <c r="V4051" t="str">
        <f>RIGHT(Table1[[#This Row],[Category and Sub-Category]],LEN(Table1[[#This Row],[Category and Sub-Category]])-FIND("/",Table1[[#This Row],[Category and Sub-Category]]))</f>
        <v>plays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 s="1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>((Table1[[#This Row],[deadline]]/60)/60/24)+DATE(1970,1,1)</f>
        <v>41935.636469907404</v>
      </c>
      <c r="K4052">
        <v>1411485391</v>
      </c>
      <c r="L4052" s="11">
        <f>((Table1[[#This Row],[launched_at]]/60)/60/24)+DATE(1970,1,1)</f>
        <v>41905.636469907404</v>
      </c>
      <c r="M4052">
        <f>MONTH(Table1[[#This Row],[Date Created Conversion]])</f>
        <v>9</v>
      </c>
      <c r="N4052">
        <f>YEAR(Table1[[#This Row],[Date Created Conversion]])</f>
        <v>2014</v>
      </c>
      <c r="O4052" t="b">
        <v>0</v>
      </c>
      <c r="P4052">
        <v>1</v>
      </c>
      <c r="Q4052" t="b">
        <v>0</v>
      </c>
      <c r="R4052" t="s">
        <v>8271</v>
      </c>
      <c r="S4052" s="6">
        <f>Table1[[#This Row],[pledged]]/Table1[[#This Row],[goal]]</f>
        <v>6.6666666666666664E-4</v>
      </c>
      <c r="T4052" s="8">
        <f>IF(Table1[[#This Row],[pledged]]=0,"no backers",Table1[[#This Row],[pledged]]/Table1[[#This Row],[backers_count]])</f>
        <v>1</v>
      </c>
      <c r="U4052" t="str">
        <f>LEFT(Table1[[#This Row],[Category and Sub-Category]],FIND("/",Table1[[#This Row],[Category and Sub-Category]])-1)</f>
        <v>theater</v>
      </c>
      <c r="V4052" t="str">
        <f>RIGHT(Table1[[#This Row],[Category and Sub-Category]],LEN(Table1[[#This Row],[Category and Sub-Category]])-FIND("/",Table1[[#This Row],[Category and Sub-Category]]))</f>
        <v>plays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 s="12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>((Table1[[#This Row],[deadline]]/60)/60/24)+DATE(1970,1,1)</f>
        <v>41768.286805555559</v>
      </c>
      <c r="K4053">
        <v>1399058797</v>
      </c>
      <c r="L4053" s="11">
        <f>((Table1[[#This Row],[launched_at]]/60)/60/24)+DATE(1970,1,1)</f>
        <v>41761.810150462967</v>
      </c>
      <c r="M4053">
        <f>MONTH(Table1[[#This Row],[Date Created Conversion]])</f>
        <v>5</v>
      </c>
      <c r="N4053">
        <f>YEAR(Table1[[#This Row],[Date Created Conversion]])</f>
        <v>2014</v>
      </c>
      <c r="O4053" t="b">
        <v>0</v>
      </c>
      <c r="P4053">
        <v>0</v>
      </c>
      <c r="Q4053" t="b">
        <v>0</v>
      </c>
      <c r="R4053" t="s">
        <v>8271</v>
      </c>
      <c r="S4053" s="6">
        <f>Table1[[#This Row],[pledged]]/Table1[[#This Row],[goal]]</f>
        <v>0</v>
      </c>
      <c r="T4053" s="8" t="str">
        <f>IF(Table1[[#This Row],[pledged]]=0,"no backers",Table1[[#This Row],[pledged]]/Table1[[#This Row],[backers_count]])</f>
        <v>no backers</v>
      </c>
      <c r="U4053" t="str">
        <f>LEFT(Table1[[#This Row],[Category and Sub-Category]],FIND("/",Table1[[#This Row],[Category and Sub-Category]])-1)</f>
        <v>theater</v>
      </c>
      <c r="V4053" t="str">
        <f>RIGHT(Table1[[#This Row],[Category and Sub-Category]],LEN(Table1[[#This Row],[Category and Sub-Category]])-FIND("/",Table1[[#This Row],[Category and Sub-Category]]))</f>
        <v>plays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 s="12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>((Table1[[#This Row],[deadline]]/60)/60/24)+DATE(1970,1,1)</f>
        <v>41925.878657407404</v>
      </c>
      <c r="K4054">
        <v>1408050316</v>
      </c>
      <c r="L4054" s="11">
        <f>((Table1[[#This Row],[launched_at]]/60)/60/24)+DATE(1970,1,1)</f>
        <v>41865.878657407404</v>
      </c>
      <c r="M4054">
        <f>MONTH(Table1[[#This Row],[Date Created Conversion]])</f>
        <v>8</v>
      </c>
      <c r="N4054">
        <f>YEAR(Table1[[#This Row],[Date Created Conversion]])</f>
        <v>2014</v>
      </c>
      <c r="O4054" t="b">
        <v>0</v>
      </c>
      <c r="P4054">
        <v>13</v>
      </c>
      <c r="Q4054" t="b">
        <v>0</v>
      </c>
      <c r="R4054" t="s">
        <v>8271</v>
      </c>
      <c r="S4054" s="6">
        <f>Table1[[#This Row],[pledged]]/Table1[[#This Row],[goal]]</f>
        <v>0.37533333333333335</v>
      </c>
      <c r="T4054" s="8">
        <f>IF(Table1[[#This Row],[pledged]]=0,"no backers",Table1[[#This Row],[pledged]]/Table1[[#This Row],[backers_count]])</f>
        <v>86.615384615384613</v>
      </c>
      <c r="U4054" t="str">
        <f>LEFT(Table1[[#This Row],[Category and Sub-Category]],FIND("/",Table1[[#This Row],[Category and Sub-Category]])-1)</f>
        <v>theater</v>
      </c>
      <c r="V4054" t="str">
        <f>RIGHT(Table1[[#This Row],[Category and Sub-Category]],LEN(Table1[[#This Row],[Category and Sub-Category]])-FIND("/",Table1[[#This Row],[Category and Sub-Category]]))</f>
        <v>plays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 s="12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>((Table1[[#This Row],[deadline]]/60)/60/24)+DATE(1970,1,1)</f>
        <v>41958.833333333328</v>
      </c>
      <c r="K4055">
        <v>1413477228</v>
      </c>
      <c r="L4055" s="11">
        <f>((Table1[[#This Row],[launched_at]]/60)/60/24)+DATE(1970,1,1)</f>
        <v>41928.690138888887</v>
      </c>
      <c r="M4055">
        <f>MONTH(Table1[[#This Row],[Date Created Conversion]])</f>
        <v>10</v>
      </c>
      <c r="N4055">
        <f>YEAR(Table1[[#This Row],[Date Created Conversion]])</f>
        <v>2014</v>
      </c>
      <c r="O4055" t="b">
        <v>0</v>
      </c>
      <c r="P4055">
        <v>2</v>
      </c>
      <c r="Q4055" t="b">
        <v>0</v>
      </c>
      <c r="R4055" t="s">
        <v>8271</v>
      </c>
      <c r="S4055" s="6">
        <f>Table1[[#This Row],[pledged]]/Table1[[#This Row],[goal]]</f>
        <v>0.22</v>
      </c>
      <c r="T4055" s="8">
        <f>IF(Table1[[#This Row],[pledged]]=0,"no backers",Table1[[#This Row],[pledged]]/Table1[[#This Row],[backers_count]])</f>
        <v>55</v>
      </c>
      <c r="U4055" t="str">
        <f>LEFT(Table1[[#This Row],[Category and Sub-Category]],FIND("/",Table1[[#This Row],[Category and Sub-Category]])-1)</f>
        <v>theater</v>
      </c>
      <c r="V4055" t="str">
        <f>RIGHT(Table1[[#This Row],[Category and Sub-Category]],LEN(Table1[[#This Row],[Category and Sub-Category]])-FIND("/",Table1[[#This Row],[Category and Sub-Category]]))</f>
        <v>plays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 s="12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>((Table1[[#This Row],[deadline]]/60)/60/24)+DATE(1970,1,1)</f>
        <v>42644.166666666672</v>
      </c>
      <c r="K4056">
        <v>1472674285</v>
      </c>
      <c r="L4056" s="11">
        <f>((Table1[[#This Row],[launched_at]]/60)/60/24)+DATE(1970,1,1)</f>
        <v>42613.841261574074</v>
      </c>
      <c r="M4056">
        <f>MONTH(Table1[[#This Row],[Date Created Conversion]])</f>
        <v>8</v>
      </c>
      <c r="N4056">
        <f>YEAR(Table1[[#This Row],[Date Created Conversion]])</f>
        <v>2016</v>
      </c>
      <c r="O4056" t="b">
        <v>0</v>
      </c>
      <c r="P4056">
        <v>0</v>
      </c>
      <c r="Q4056" t="b">
        <v>0</v>
      </c>
      <c r="R4056" t="s">
        <v>8271</v>
      </c>
      <c r="S4056" s="6">
        <f>Table1[[#This Row],[pledged]]/Table1[[#This Row],[goal]]</f>
        <v>0</v>
      </c>
      <c r="T4056" s="8" t="str">
        <f>IF(Table1[[#This Row],[pledged]]=0,"no backers",Table1[[#This Row],[pledged]]/Table1[[#This Row],[backers_count]])</f>
        <v>no backers</v>
      </c>
      <c r="U4056" t="str">
        <f>LEFT(Table1[[#This Row],[Category and Sub-Category]],FIND("/",Table1[[#This Row],[Category and Sub-Category]])-1)</f>
        <v>theater</v>
      </c>
      <c r="V4056" t="str">
        <f>RIGHT(Table1[[#This Row],[Category and Sub-Category]],LEN(Table1[[#This Row],[Category and Sub-Category]])-FIND("/",Table1[[#This Row],[Category and Sub-Category]]))</f>
        <v>plays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 s="12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>((Table1[[#This Row],[deadline]]/60)/60/24)+DATE(1970,1,1)</f>
        <v>41809.648506944446</v>
      </c>
      <c r="K4057">
        <v>1400600031</v>
      </c>
      <c r="L4057" s="11">
        <f>((Table1[[#This Row],[launched_at]]/60)/60/24)+DATE(1970,1,1)</f>
        <v>41779.648506944446</v>
      </c>
      <c r="M4057">
        <f>MONTH(Table1[[#This Row],[Date Created Conversion]])</f>
        <v>5</v>
      </c>
      <c r="N4057">
        <f>YEAR(Table1[[#This Row],[Date Created Conversion]])</f>
        <v>2014</v>
      </c>
      <c r="O4057" t="b">
        <v>0</v>
      </c>
      <c r="P4057">
        <v>21</v>
      </c>
      <c r="Q4057" t="b">
        <v>0</v>
      </c>
      <c r="R4057" t="s">
        <v>8271</v>
      </c>
      <c r="S4057" s="6">
        <f>Table1[[#This Row],[pledged]]/Table1[[#This Row],[goal]]</f>
        <v>0.1762</v>
      </c>
      <c r="T4057" s="8">
        <f>IF(Table1[[#This Row],[pledged]]=0,"no backers",Table1[[#This Row],[pledged]]/Table1[[#This Row],[backers_count]])</f>
        <v>41.952380952380949</v>
      </c>
      <c r="U4057" t="str">
        <f>LEFT(Table1[[#This Row],[Category and Sub-Category]],FIND("/",Table1[[#This Row],[Category and Sub-Category]])-1)</f>
        <v>theater</v>
      </c>
      <c r="V4057" t="str">
        <f>RIGHT(Table1[[#This Row],[Category and Sub-Category]],LEN(Table1[[#This Row],[Category and Sub-Category]])-FIND("/",Table1[[#This Row],[Category and Sub-Category]]))</f>
        <v>plays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 s="12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>((Table1[[#This Row],[deadline]]/60)/60/24)+DATE(1970,1,1)</f>
        <v>42554.832638888889</v>
      </c>
      <c r="K4058">
        <v>1465856639</v>
      </c>
      <c r="L4058" s="11">
        <f>((Table1[[#This Row],[launched_at]]/60)/60/24)+DATE(1970,1,1)</f>
        <v>42534.933321759265</v>
      </c>
      <c r="M4058">
        <f>MONTH(Table1[[#This Row],[Date Created Conversion]])</f>
        <v>6</v>
      </c>
      <c r="N4058">
        <f>YEAR(Table1[[#This Row],[Date Created Conversion]])</f>
        <v>2016</v>
      </c>
      <c r="O4058" t="b">
        <v>0</v>
      </c>
      <c r="P4058">
        <v>9</v>
      </c>
      <c r="Q4058" t="b">
        <v>0</v>
      </c>
      <c r="R4058" t="s">
        <v>8271</v>
      </c>
      <c r="S4058" s="6">
        <f>Table1[[#This Row],[pledged]]/Table1[[#This Row],[goal]]</f>
        <v>0.53</v>
      </c>
      <c r="T4058" s="8">
        <f>IF(Table1[[#This Row],[pledged]]=0,"no backers",Table1[[#This Row],[pledged]]/Table1[[#This Row],[backers_count]])</f>
        <v>88.333333333333329</v>
      </c>
      <c r="U4058" t="str">
        <f>LEFT(Table1[[#This Row],[Category and Sub-Category]],FIND("/",Table1[[#This Row],[Category and Sub-Category]])-1)</f>
        <v>theater</v>
      </c>
      <c r="V4058" t="str">
        <f>RIGHT(Table1[[#This Row],[Category and Sub-Category]],LEN(Table1[[#This Row],[Category and Sub-Category]])-FIND("/",Table1[[#This Row],[Category and Sub-Category]]))</f>
        <v>plays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 s="12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>((Table1[[#This Row],[deadline]]/60)/60/24)+DATE(1970,1,1)</f>
        <v>42333.958333333328</v>
      </c>
      <c r="K4059">
        <v>1446506080</v>
      </c>
      <c r="L4059" s="11">
        <f>((Table1[[#This Row],[launched_at]]/60)/60/24)+DATE(1970,1,1)</f>
        <v>42310.968518518523</v>
      </c>
      <c r="M4059">
        <f>MONTH(Table1[[#This Row],[Date Created Conversion]])</f>
        <v>11</v>
      </c>
      <c r="N4059">
        <f>YEAR(Table1[[#This Row],[Date Created Conversion]])</f>
        <v>2015</v>
      </c>
      <c r="O4059" t="b">
        <v>0</v>
      </c>
      <c r="P4059">
        <v>6</v>
      </c>
      <c r="Q4059" t="b">
        <v>0</v>
      </c>
      <c r="R4059" t="s">
        <v>8271</v>
      </c>
      <c r="S4059" s="6">
        <f>Table1[[#This Row],[pledged]]/Table1[[#This Row],[goal]]</f>
        <v>0.22142857142857142</v>
      </c>
      <c r="T4059" s="8">
        <f>IF(Table1[[#This Row],[pledged]]=0,"no backers",Table1[[#This Row],[pledged]]/Table1[[#This Row],[backers_count]])</f>
        <v>129.16666666666666</v>
      </c>
      <c r="U4059" t="str">
        <f>LEFT(Table1[[#This Row],[Category and Sub-Category]],FIND("/",Table1[[#This Row],[Category and Sub-Category]])-1)</f>
        <v>theater</v>
      </c>
      <c r="V4059" t="str">
        <f>RIGHT(Table1[[#This Row],[Category and Sub-Category]],LEN(Table1[[#This Row],[Category and Sub-Category]])-FIND("/",Table1[[#This Row],[Category and Sub-Category]]))</f>
        <v>plays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 s="12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>((Table1[[#This Row],[deadline]]/60)/60/24)+DATE(1970,1,1)</f>
        <v>42461.165972222225</v>
      </c>
      <c r="K4060">
        <v>1458178044</v>
      </c>
      <c r="L4060" s="11">
        <f>((Table1[[#This Row],[launched_at]]/60)/60/24)+DATE(1970,1,1)</f>
        <v>42446.060694444444</v>
      </c>
      <c r="M4060">
        <f>MONTH(Table1[[#This Row],[Date Created Conversion]])</f>
        <v>3</v>
      </c>
      <c r="N4060">
        <f>YEAR(Table1[[#This Row],[Date Created Conversion]])</f>
        <v>2016</v>
      </c>
      <c r="O4060" t="b">
        <v>0</v>
      </c>
      <c r="P4060">
        <v>4</v>
      </c>
      <c r="Q4060" t="b">
        <v>0</v>
      </c>
      <c r="R4060" t="s">
        <v>8271</v>
      </c>
      <c r="S4060" s="6">
        <f>Table1[[#This Row],[pledged]]/Table1[[#This Row],[goal]]</f>
        <v>2.5333333333333333E-2</v>
      </c>
      <c r="T4060" s="8">
        <f>IF(Table1[[#This Row],[pledged]]=0,"no backers",Table1[[#This Row],[pledged]]/Table1[[#This Row],[backers_count]])</f>
        <v>23.75</v>
      </c>
      <c r="U4060" t="str">
        <f>LEFT(Table1[[#This Row],[Category and Sub-Category]],FIND("/",Table1[[#This Row],[Category and Sub-Category]])-1)</f>
        <v>theater</v>
      </c>
      <c r="V4060" t="str">
        <f>RIGHT(Table1[[#This Row],[Category and Sub-Category]],LEN(Table1[[#This Row],[Category and Sub-Category]])-FIND("/",Table1[[#This Row],[Category and Sub-Category]]))</f>
        <v>plays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 s="12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>((Table1[[#This Row],[deadline]]/60)/60/24)+DATE(1970,1,1)</f>
        <v>41898.125</v>
      </c>
      <c r="K4061">
        <v>1408116152</v>
      </c>
      <c r="L4061" s="11">
        <f>((Table1[[#This Row],[launched_at]]/60)/60/24)+DATE(1970,1,1)</f>
        <v>41866.640648148146</v>
      </c>
      <c r="M4061">
        <f>MONTH(Table1[[#This Row],[Date Created Conversion]])</f>
        <v>8</v>
      </c>
      <c r="N4061">
        <f>YEAR(Table1[[#This Row],[Date Created Conversion]])</f>
        <v>2014</v>
      </c>
      <c r="O4061" t="b">
        <v>0</v>
      </c>
      <c r="P4061">
        <v>7</v>
      </c>
      <c r="Q4061" t="b">
        <v>0</v>
      </c>
      <c r="R4061" t="s">
        <v>8271</v>
      </c>
      <c r="S4061" s="6">
        <f>Table1[[#This Row],[pledged]]/Table1[[#This Row],[goal]]</f>
        <v>2.5000000000000001E-2</v>
      </c>
      <c r="T4061" s="8">
        <f>IF(Table1[[#This Row],[pledged]]=0,"no backers",Table1[[#This Row],[pledged]]/Table1[[#This Row],[backers_count]])</f>
        <v>35.714285714285715</v>
      </c>
      <c r="U4061" t="str">
        <f>LEFT(Table1[[#This Row],[Category and Sub-Category]],FIND("/",Table1[[#This Row],[Category and Sub-Category]])-1)</f>
        <v>theater</v>
      </c>
      <c r="V4061" t="str">
        <f>RIGHT(Table1[[#This Row],[Category and Sub-Category]],LEN(Table1[[#This Row],[Category and Sub-Category]])-FIND("/",Table1[[#This Row],[Category and Sub-Category]]))</f>
        <v>plays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 s="1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>((Table1[[#This Row],[deadline]]/60)/60/24)+DATE(1970,1,1)</f>
        <v>41813.666666666664</v>
      </c>
      <c r="K4062">
        <v>1400604056</v>
      </c>
      <c r="L4062" s="11">
        <f>((Table1[[#This Row],[launched_at]]/60)/60/24)+DATE(1970,1,1)</f>
        <v>41779.695092592592</v>
      </c>
      <c r="M4062">
        <f>MONTH(Table1[[#This Row],[Date Created Conversion]])</f>
        <v>5</v>
      </c>
      <c r="N4062">
        <f>YEAR(Table1[[#This Row],[Date Created Conversion]])</f>
        <v>2014</v>
      </c>
      <c r="O4062" t="b">
        <v>0</v>
      </c>
      <c r="P4062">
        <v>5</v>
      </c>
      <c r="Q4062" t="b">
        <v>0</v>
      </c>
      <c r="R4062" t="s">
        <v>8271</v>
      </c>
      <c r="S4062" s="6">
        <f>Table1[[#This Row],[pledged]]/Table1[[#This Row],[goal]]</f>
        <v>2.8500000000000001E-2</v>
      </c>
      <c r="T4062" s="8">
        <f>IF(Table1[[#This Row],[pledged]]=0,"no backers",Table1[[#This Row],[pledged]]/Table1[[#This Row],[backers_count]])</f>
        <v>57</v>
      </c>
      <c r="U4062" t="str">
        <f>LEFT(Table1[[#This Row],[Category and Sub-Category]],FIND("/",Table1[[#This Row],[Category and Sub-Category]])-1)</f>
        <v>theater</v>
      </c>
      <c r="V4062" t="str">
        <f>RIGHT(Table1[[#This Row],[Category and Sub-Category]],LEN(Table1[[#This Row],[Category and Sub-Category]])-FIND("/",Table1[[#This Row],[Category and Sub-Category]]))</f>
        <v>plays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 s="12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>((Table1[[#This Row],[deadline]]/60)/60/24)+DATE(1970,1,1)</f>
        <v>42481.099803240737</v>
      </c>
      <c r="K4063">
        <v>1456025023</v>
      </c>
      <c r="L4063" s="11">
        <f>((Table1[[#This Row],[launched_at]]/60)/60/24)+DATE(1970,1,1)</f>
        <v>42421.141469907408</v>
      </c>
      <c r="M4063">
        <f>MONTH(Table1[[#This Row],[Date Created Conversion]])</f>
        <v>2</v>
      </c>
      <c r="N4063">
        <f>YEAR(Table1[[#This Row],[Date Created Conversion]])</f>
        <v>2016</v>
      </c>
      <c r="O4063" t="b">
        <v>0</v>
      </c>
      <c r="P4063">
        <v>0</v>
      </c>
      <c r="Q4063" t="b">
        <v>0</v>
      </c>
      <c r="R4063" t="s">
        <v>8271</v>
      </c>
      <c r="S4063" s="6">
        <f>Table1[[#This Row],[pledged]]/Table1[[#This Row],[goal]]</f>
        <v>0</v>
      </c>
      <c r="T4063" s="8" t="str">
        <f>IF(Table1[[#This Row],[pledged]]=0,"no backers",Table1[[#This Row],[pledged]]/Table1[[#This Row],[backers_count]])</f>
        <v>no backers</v>
      </c>
      <c r="U4063" t="str">
        <f>LEFT(Table1[[#This Row],[Category and Sub-Category]],FIND("/",Table1[[#This Row],[Category and Sub-Category]])-1)</f>
        <v>theater</v>
      </c>
      <c r="V4063" t="str">
        <f>RIGHT(Table1[[#This Row],[Category and Sub-Category]],LEN(Table1[[#This Row],[Category and Sub-Category]])-FIND("/",Table1[[#This Row],[Category and Sub-Category]]))</f>
        <v>plays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 s="12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>((Table1[[#This Row],[deadline]]/60)/60/24)+DATE(1970,1,1)</f>
        <v>42553.739212962959</v>
      </c>
      <c r="K4064">
        <v>1464889468</v>
      </c>
      <c r="L4064" s="11">
        <f>((Table1[[#This Row],[launched_at]]/60)/60/24)+DATE(1970,1,1)</f>
        <v>42523.739212962959</v>
      </c>
      <c r="M4064">
        <f>MONTH(Table1[[#This Row],[Date Created Conversion]])</f>
        <v>6</v>
      </c>
      <c r="N4064">
        <f>YEAR(Table1[[#This Row],[Date Created Conversion]])</f>
        <v>2016</v>
      </c>
      <c r="O4064" t="b">
        <v>0</v>
      </c>
      <c r="P4064">
        <v>3</v>
      </c>
      <c r="Q4064" t="b">
        <v>0</v>
      </c>
      <c r="R4064" t="s">
        <v>8271</v>
      </c>
      <c r="S4064" s="6">
        <f>Table1[[#This Row],[pledged]]/Table1[[#This Row],[goal]]</f>
        <v>2.4500000000000001E-2</v>
      </c>
      <c r="T4064" s="8">
        <f>IF(Table1[[#This Row],[pledged]]=0,"no backers",Table1[[#This Row],[pledged]]/Table1[[#This Row],[backers_count]])</f>
        <v>163.33333333333334</v>
      </c>
      <c r="U4064" t="str">
        <f>LEFT(Table1[[#This Row],[Category and Sub-Category]],FIND("/",Table1[[#This Row],[Category and Sub-Category]])-1)</f>
        <v>theater</v>
      </c>
      <c r="V4064" t="str">
        <f>RIGHT(Table1[[#This Row],[Category and Sub-Category]],LEN(Table1[[#This Row],[Category and Sub-Category]])-FIND("/",Table1[[#This Row],[Category and Sub-Category]]))</f>
        <v>plays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 s="12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>((Table1[[#This Row],[deadline]]/60)/60/24)+DATE(1970,1,1)</f>
        <v>41817.681527777779</v>
      </c>
      <c r="K4065">
        <v>1401294084</v>
      </c>
      <c r="L4065" s="11">
        <f>((Table1[[#This Row],[launched_at]]/60)/60/24)+DATE(1970,1,1)</f>
        <v>41787.681527777779</v>
      </c>
      <c r="M4065">
        <f>MONTH(Table1[[#This Row],[Date Created Conversion]])</f>
        <v>5</v>
      </c>
      <c r="N4065">
        <f>YEAR(Table1[[#This Row],[Date Created Conversion]])</f>
        <v>2014</v>
      </c>
      <c r="O4065" t="b">
        <v>0</v>
      </c>
      <c r="P4065">
        <v>9</v>
      </c>
      <c r="Q4065" t="b">
        <v>0</v>
      </c>
      <c r="R4065" t="s">
        <v>8271</v>
      </c>
      <c r="S4065" s="6">
        <f>Table1[[#This Row],[pledged]]/Table1[[#This Row],[goal]]</f>
        <v>1.4210526315789474E-2</v>
      </c>
      <c r="T4065" s="8">
        <f>IF(Table1[[#This Row],[pledged]]=0,"no backers",Table1[[#This Row],[pledged]]/Table1[[#This Row],[backers_count]])</f>
        <v>15</v>
      </c>
      <c r="U4065" t="str">
        <f>LEFT(Table1[[#This Row],[Category and Sub-Category]],FIND("/",Table1[[#This Row],[Category and Sub-Category]])-1)</f>
        <v>theater</v>
      </c>
      <c r="V4065" t="str">
        <f>RIGHT(Table1[[#This Row],[Category and Sub-Category]],LEN(Table1[[#This Row],[Category and Sub-Category]])-FIND("/",Table1[[#This Row],[Category and Sub-Category]]))</f>
        <v>plays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 s="12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>((Table1[[#This Row],[deadline]]/60)/60/24)+DATE(1970,1,1)</f>
        <v>42123.588263888887</v>
      </c>
      <c r="K4066">
        <v>1427724426</v>
      </c>
      <c r="L4066" s="11">
        <f>((Table1[[#This Row],[launched_at]]/60)/60/24)+DATE(1970,1,1)</f>
        <v>42093.588263888887</v>
      </c>
      <c r="M4066">
        <f>MONTH(Table1[[#This Row],[Date Created Conversion]])</f>
        <v>3</v>
      </c>
      <c r="N4066">
        <f>YEAR(Table1[[#This Row],[Date Created Conversion]])</f>
        <v>2015</v>
      </c>
      <c r="O4066" t="b">
        <v>0</v>
      </c>
      <c r="P4066">
        <v>6</v>
      </c>
      <c r="Q4066" t="b">
        <v>0</v>
      </c>
      <c r="R4066" t="s">
        <v>8271</v>
      </c>
      <c r="S4066" s="6">
        <f>Table1[[#This Row],[pledged]]/Table1[[#This Row],[goal]]</f>
        <v>0.1925</v>
      </c>
      <c r="T4066" s="8">
        <f>IF(Table1[[#This Row],[pledged]]=0,"no backers",Table1[[#This Row],[pledged]]/Table1[[#This Row],[backers_count]])</f>
        <v>64.166666666666671</v>
      </c>
      <c r="U4066" t="str">
        <f>LEFT(Table1[[#This Row],[Category and Sub-Category]],FIND("/",Table1[[#This Row],[Category and Sub-Category]])-1)</f>
        <v>theater</v>
      </c>
      <c r="V4066" t="str">
        <f>RIGHT(Table1[[#This Row],[Category and Sub-Category]],LEN(Table1[[#This Row],[Category and Sub-Category]])-FIND("/",Table1[[#This Row],[Category and Sub-Category]]))</f>
        <v>plays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 s="12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>((Table1[[#This Row],[deadline]]/60)/60/24)+DATE(1970,1,1)</f>
        <v>41863.951516203706</v>
      </c>
      <c r="K4067">
        <v>1405291811</v>
      </c>
      <c r="L4067" s="11">
        <f>((Table1[[#This Row],[launched_at]]/60)/60/24)+DATE(1970,1,1)</f>
        <v>41833.951516203706</v>
      </c>
      <c r="M4067">
        <f>MONTH(Table1[[#This Row],[Date Created Conversion]])</f>
        <v>7</v>
      </c>
      <c r="N4067">
        <f>YEAR(Table1[[#This Row],[Date Created Conversion]])</f>
        <v>2014</v>
      </c>
      <c r="O4067" t="b">
        <v>0</v>
      </c>
      <c r="P4067">
        <v>4</v>
      </c>
      <c r="Q4067" t="b">
        <v>0</v>
      </c>
      <c r="R4067" t="s">
        <v>8271</v>
      </c>
      <c r="S4067" s="6">
        <f>Table1[[#This Row],[pledged]]/Table1[[#This Row],[goal]]</f>
        <v>6.7499999999999999E-3</v>
      </c>
      <c r="T4067" s="8">
        <f>IF(Table1[[#This Row],[pledged]]=0,"no backers",Table1[[#This Row],[pledged]]/Table1[[#This Row],[backers_count]])</f>
        <v>6.75</v>
      </c>
      <c r="U4067" t="str">
        <f>LEFT(Table1[[#This Row],[Category and Sub-Category]],FIND("/",Table1[[#This Row],[Category and Sub-Category]])-1)</f>
        <v>theater</v>
      </c>
      <c r="V4067" t="str">
        <f>RIGHT(Table1[[#This Row],[Category and Sub-Category]],LEN(Table1[[#This Row],[Category and Sub-Category]])-FIND("/",Table1[[#This Row],[Category and Sub-Category]]))</f>
        <v>plays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 s="12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>((Table1[[#This Row],[deadline]]/60)/60/24)+DATE(1970,1,1)</f>
        <v>42509.039212962962</v>
      </c>
      <c r="K4068">
        <v>1461027388</v>
      </c>
      <c r="L4068" s="11">
        <f>((Table1[[#This Row],[launched_at]]/60)/60/24)+DATE(1970,1,1)</f>
        <v>42479.039212962962</v>
      </c>
      <c r="M4068">
        <f>MONTH(Table1[[#This Row],[Date Created Conversion]])</f>
        <v>4</v>
      </c>
      <c r="N4068">
        <f>YEAR(Table1[[#This Row],[Date Created Conversion]])</f>
        <v>2016</v>
      </c>
      <c r="O4068" t="b">
        <v>0</v>
      </c>
      <c r="P4068">
        <v>1</v>
      </c>
      <c r="Q4068" t="b">
        <v>0</v>
      </c>
      <c r="R4068" t="s">
        <v>8271</v>
      </c>
      <c r="S4068" s="6">
        <f>Table1[[#This Row],[pledged]]/Table1[[#This Row],[goal]]</f>
        <v>1.6666666666666668E-3</v>
      </c>
      <c r="T4068" s="8">
        <f>IF(Table1[[#This Row],[pledged]]=0,"no backers",Table1[[#This Row],[pledged]]/Table1[[#This Row],[backers_count]])</f>
        <v>25</v>
      </c>
      <c r="U4068" t="str">
        <f>LEFT(Table1[[#This Row],[Category and Sub-Category]],FIND("/",Table1[[#This Row],[Category and Sub-Category]])-1)</f>
        <v>theater</v>
      </c>
      <c r="V4068" t="str">
        <f>RIGHT(Table1[[#This Row],[Category and Sub-Category]],LEN(Table1[[#This Row],[Category and Sub-Category]])-FIND("/",Table1[[#This Row],[Category and Sub-Category]]))</f>
        <v>plays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 s="12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>((Table1[[#This Row],[deadline]]/60)/60/24)+DATE(1970,1,1)</f>
        <v>42275.117476851854</v>
      </c>
      <c r="K4069">
        <v>1439952550</v>
      </c>
      <c r="L4069" s="11">
        <f>((Table1[[#This Row],[launched_at]]/60)/60/24)+DATE(1970,1,1)</f>
        <v>42235.117476851854</v>
      </c>
      <c r="M4069">
        <f>MONTH(Table1[[#This Row],[Date Created Conversion]])</f>
        <v>8</v>
      </c>
      <c r="N4069">
        <f>YEAR(Table1[[#This Row],[Date Created Conversion]])</f>
        <v>2015</v>
      </c>
      <c r="O4069" t="b">
        <v>0</v>
      </c>
      <c r="P4069">
        <v>17</v>
      </c>
      <c r="Q4069" t="b">
        <v>0</v>
      </c>
      <c r="R4069" t="s">
        <v>8271</v>
      </c>
      <c r="S4069" s="6">
        <f>Table1[[#This Row],[pledged]]/Table1[[#This Row],[goal]]</f>
        <v>0.60899999999999999</v>
      </c>
      <c r="T4069" s="8">
        <f>IF(Table1[[#This Row],[pledged]]=0,"no backers",Table1[[#This Row],[pledged]]/Table1[[#This Row],[backers_count]])</f>
        <v>179.11764705882354</v>
      </c>
      <c r="U4069" t="str">
        <f>LEFT(Table1[[#This Row],[Category and Sub-Category]],FIND("/",Table1[[#This Row],[Category and Sub-Category]])-1)</f>
        <v>theater</v>
      </c>
      <c r="V4069" t="str">
        <f>RIGHT(Table1[[#This Row],[Category and Sub-Category]],LEN(Table1[[#This Row],[Category and Sub-Category]])-FIND("/",Table1[[#This Row],[Category and Sub-Category]]))</f>
        <v>plays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 s="12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>((Table1[[#This Row],[deadline]]/60)/60/24)+DATE(1970,1,1)</f>
        <v>42748.961805555555</v>
      </c>
      <c r="K4070">
        <v>1481756855</v>
      </c>
      <c r="L4070" s="11">
        <f>((Table1[[#This Row],[launched_at]]/60)/60/24)+DATE(1970,1,1)</f>
        <v>42718.963599537034</v>
      </c>
      <c r="M4070">
        <f>MONTH(Table1[[#This Row],[Date Created Conversion]])</f>
        <v>12</v>
      </c>
      <c r="N4070">
        <f>YEAR(Table1[[#This Row],[Date Created Conversion]])</f>
        <v>2016</v>
      </c>
      <c r="O4070" t="b">
        <v>0</v>
      </c>
      <c r="P4070">
        <v>1</v>
      </c>
      <c r="Q4070" t="b">
        <v>0</v>
      </c>
      <c r="R4070" t="s">
        <v>8271</v>
      </c>
      <c r="S4070" s="6">
        <f>Table1[[#This Row],[pledged]]/Table1[[#This Row],[goal]]</f>
        <v>0.01</v>
      </c>
      <c r="T4070" s="8">
        <f>IF(Table1[[#This Row],[pledged]]=0,"no backers",Table1[[#This Row],[pledged]]/Table1[[#This Row],[backers_count]])</f>
        <v>34.950000000000003</v>
      </c>
      <c r="U4070" t="str">
        <f>LEFT(Table1[[#This Row],[Category and Sub-Category]],FIND("/",Table1[[#This Row],[Category and Sub-Category]])-1)</f>
        <v>theater</v>
      </c>
      <c r="V4070" t="str">
        <f>RIGHT(Table1[[#This Row],[Category and Sub-Category]],LEN(Table1[[#This Row],[Category and Sub-Category]])-FIND("/",Table1[[#This Row],[Category and Sub-Category]]))</f>
        <v>plays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 s="12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>((Table1[[#This Row],[deadline]]/60)/60/24)+DATE(1970,1,1)</f>
        <v>42063.5</v>
      </c>
      <c r="K4071">
        <v>1421596356</v>
      </c>
      <c r="L4071" s="11">
        <f>((Table1[[#This Row],[launched_at]]/60)/60/24)+DATE(1970,1,1)</f>
        <v>42022.661527777775</v>
      </c>
      <c r="M4071">
        <f>MONTH(Table1[[#This Row],[Date Created Conversion]])</f>
        <v>1</v>
      </c>
      <c r="N4071">
        <f>YEAR(Table1[[#This Row],[Date Created Conversion]])</f>
        <v>2015</v>
      </c>
      <c r="O4071" t="b">
        <v>0</v>
      </c>
      <c r="P4071">
        <v>13</v>
      </c>
      <c r="Q4071" t="b">
        <v>0</v>
      </c>
      <c r="R4071" t="s">
        <v>8271</v>
      </c>
      <c r="S4071" s="6">
        <f>Table1[[#This Row],[pledged]]/Table1[[#This Row],[goal]]</f>
        <v>0.34399999999999997</v>
      </c>
      <c r="T4071" s="8">
        <f>IF(Table1[[#This Row],[pledged]]=0,"no backers",Table1[[#This Row],[pledged]]/Table1[[#This Row],[backers_count]])</f>
        <v>33.07692307692308</v>
      </c>
      <c r="U4071" t="str">
        <f>LEFT(Table1[[#This Row],[Category and Sub-Category]],FIND("/",Table1[[#This Row],[Category and Sub-Category]])-1)</f>
        <v>theater</v>
      </c>
      <c r="V4071" t="str">
        <f>RIGHT(Table1[[#This Row],[Category and Sub-Category]],LEN(Table1[[#This Row],[Category and Sub-Category]])-FIND("/",Table1[[#This Row],[Category and Sub-Category]]))</f>
        <v>plays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 s="1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>((Table1[[#This Row],[deadline]]/60)/60/24)+DATE(1970,1,1)</f>
        <v>42064.125</v>
      </c>
      <c r="K4072">
        <v>1422374420</v>
      </c>
      <c r="L4072" s="11">
        <f>((Table1[[#This Row],[launched_at]]/60)/60/24)+DATE(1970,1,1)</f>
        <v>42031.666898148149</v>
      </c>
      <c r="M4072">
        <f>MONTH(Table1[[#This Row],[Date Created Conversion]])</f>
        <v>1</v>
      </c>
      <c r="N4072">
        <f>YEAR(Table1[[#This Row],[Date Created Conversion]])</f>
        <v>2015</v>
      </c>
      <c r="O4072" t="b">
        <v>0</v>
      </c>
      <c r="P4072">
        <v>6</v>
      </c>
      <c r="Q4072" t="b">
        <v>0</v>
      </c>
      <c r="R4072" t="s">
        <v>8271</v>
      </c>
      <c r="S4072" s="6">
        <f>Table1[[#This Row],[pledged]]/Table1[[#This Row],[goal]]</f>
        <v>0.16500000000000001</v>
      </c>
      <c r="T4072" s="8">
        <f>IF(Table1[[#This Row],[pledged]]=0,"no backers",Table1[[#This Row],[pledged]]/Table1[[#This Row],[backers_count]])</f>
        <v>27.5</v>
      </c>
      <c r="U4072" t="str">
        <f>LEFT(Table1[[#This Row],[Category and Sub-Category]],FIND("/",Table1[[#This Row],[Category and Sub-Category]])-1)</f>
        <v>theater</v>
      </c>
      <c r="V4072" t="str">
        <f>RIGHT(Table1[[#This Row],[Category and Sub-Category]],LEN(Table1[[#This Row],[Category and Sub-Category]])-FIND("/",Table1[[#This Row],[Category and Sub-Category]]))</f>
        <v>plays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 s="12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>((Table1[[#This Row],[deadline]]/60)/60/24)+DATE(1970,1,1)</f>
        <v>42730.804756944446</v>
      </c>
      <c r="K4073">
        <v>1480187931</v>
      </c>
      <c r="L4073" s="11">
        <f>((Table1[[#This Row],[launched_at]]/60)/60/24)+DATE(1970,1,1)</f>
        <v>42700.804756944446</v>
      </c>
      <c r="M4073">
        <f>MONTH(Table1[[#This Row],[Date Created Conversion]])</f>
        <v>11</v>
      </c>
      <c r="N4073">
        <f>YEAR(Table1[[#This Row],[Date Created Conversion]])</f>
        <v>2016</v>
      </c>
      <c r="O4073" t="b">
        <v>0</v>
      </c>
      <c r="P4073">
        <v>0</v>
      </c>
      <c r="Q4073" t="b">
        <v>0</v>
      </c>
      <c r="R4073" t="s">
        <v>8271</v>
      </c>
      <c r="S4073" s="6">
        <f>Table1[[#This Row],[pledged]]/Table1[[#This Row],[goal]]</f>
        <v>0</v>
      </c>
      <c r="T4073" s="8" t="str">
        <f>IF(Table1[[#This Row],[pledged]]=0,"no backers",Table1[[#This Row],[pledged]]/Table1[[#This Row],[backers_count]])</f>
        <v>no backers</v>
      </c>
      <c r="U4073" t="str">
        <f>LEFT(Table1[[#This Row],[Category and Sub-Category]],FIND("/",Table1[[#This Row],[Category and Sub-Category]])-1)</f>
        <v>theater</v>
      </c>
      <c r="V4073" t="str">
        <f>RIGHT(Table1[[#This Row],[Category and Sub-Category]],LEN(Table1[[#This Row],[Category and Sub-Category]])-FIND("/",Table1[[#This Row],[Category and Sub-Category]]))</f>
        <v>plays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 s="12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>((Table1[[#This Row],[deadline]]/60)/60/24)+DATE(1970,1,1)</f>
        <v>41872.77443287037</v>
      </c>
      <c r="K4074">
        <v>1403462111</v>
      </c>
      <c r="L4074" s="11">
        <f>((Table1[[#This Row],[launched_at]]/60)/60/24)+DATE(1970,1,1)</f>
        <v>41812.77443287037</v>
      </c>
      <c r="M4074">
        <f>MONTH(Table1[[#This Row],[Date Created Conversion]])</f>
        <v>6</v>
      </c>
      <c r="N4074">
        <f>YEAR(Table1[[#This Row],[Date Created Conversion]])</f>
        <v>2014</v>
      </c>
      <c r="O4074" t="b">
        <v>0</v>
      </c>
      <c r="P4074">
        <v>2</v>
      </c>
      <c r="Q4074" t="b">
        <v>0</v>
      </c>
      <c r="R4074" t="s">
        <v>8271</v>
      </c>
      <c r="S4074" s="6">
        <f>Table1[[#This Row],[pledged]]/Table1[[#This Row],[goal]]</f>
        <v>4.0000000000000001E-3</v>
      </c>
      <c r="T4074" s="8">
        <f>IF(Table1[[#This Row],[pledged]]=0,"no backers",Table1[[#This Row],[pledged]]/Table1[[#This Row],[backers_count]])</f>
        <v>2</v>
      </c>
      <c r="U4074" t="str">
        <f>LEFT(Table1[[#This Row],[Category and Sub-Category]],FIND("/",Table1[[#This Row],[Category and Sub-Category]])-1)</f>
        <v>theater</v>
      </c>
      <c r="V4074" t="str">
        <f>RIGHT(Table1[[#This Row],[Category and Sub-Category]],LEN(Table1[[#This Row],[Category and Sub-Category]])-FIND("/",Table1[[#This Row],[Category and Sub-Category]]))</f>
        <v>plays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 s="12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>((Table1[[#This Row],[deadline]]/60)/60/24)+DATE(1970,1,1)</f>
        <v>42133.166666666672</v>
      </c>
      <c r="K4075">
        <v>1426407426</v>
      </c>
      <c r="L4075" s="11">
        <f>((Table1[[#This Row],[launched_at]]/60)/60/24)+DATE(1970,1,1)</f>
        <v>42078.34520833334</v>
      </c>
      <c r="M4075">
        <f>MONTH(Table1[[#This Row],[Date Created Conversion]])</f>
        <v>3</v>
      </c>
      <c r="N4075">
        <f>YEAR(Table1[[#This Row],[Date Created Conversion]])</f>
        <v>2015</v>
      </c>
      <c r="O4075" t="b">
        <v>0</v>
      </c>
      <c r="P4075">
        <v>2</v>
      </c>
      <c r="Q4075" t="b">
        <v>0</v>
      </c>
      <c r="R4075" t="s">
        <v>8271</v>
      </c>
      <c r="S4075" s="6">
        <f>Table1[[#This Row],[pledged]]/Table1[[#This Row],[goal]]</f>
        <v>1.0571428571428572E-2</v>
      </c>
      <c r="T4075" s="8">
        <f>IF(Table1[[#This Row],[pledged]]=0,"no backers",Table1[[#This Row],[pledged]]/Table1[[#This Row],[backers_count]])</f>
        <v>18.5</v>
      </c>
      <c r="U4075" t="str">
        <f>LEFT(Table1[[#This Row],[Category and Sub-Category]],FIND("/",Table1[[#This Row],[Category and Sub-Category]])-1)</f>
        <v>theater</v>
      </c>
      <c r="V4075" t="str">
        <f>RIGHT(Table1[[#This Row],[Category and Sub-Category]],LEN(Table1[[#This Row],[Category and Sub-Category]])-FIND("/",Table1[[#This Row],[Category and Sub-Category]]))</f>
        <v>plays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 s="12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>((Table1[[#This Row],[deadline]]/60)/60/24)+DATE(1970,1,1)</f>
        <v>42313.594618055555</v>
      </c>
      <c r="K4076">
        <v>1444137375</v>
      </c>
      <c r="L4076" s="11">
        <f>((Table1[[#This Row],[launched_at]]/60)/60/24)+DATE(1970,1,1)</f>
        <v>42283.552951388891</v>
      </c>
      <c r="M4076">
        <f>MONTH(Table1[[#This Row],[Date Created Conversion]])</f>
        <v>10</v>
      </c>
      <c r="N4076">
        <f>YEAR(Table1[[#This Row],[Date Created Conversion]])</f>
        <v>2015</v>
      </c>
      <c r="O4076" t="b">
        <v>0</v>
      </c>
      <c r="P4076">
        <v>21</v>
      </c>
      <c r="Q4076" t="b">
        <v>0</v>
      </c>
      <c r="R4076" t="s">
        <v>8271</v>
      </c>
      <c r="S4076" s="6">
        <f>Table1[[#This Row],[pledged]]/Table1[[#This Row],[goal]]</f>
        <v>0.26727272727272727</v>
      </c>
      <c r="T4076" s="8">
        <f>IF(Table1[[#This Row],[pledged]]=0,"no backers",Table1[[#This Row],[pledged]]/Table1[[#This Row],[backers_count]])</f>
        <v>35</v>
      </c>
      <c r="U4076" t="str">
        <f>LEFT(Table1[[#This Row],[Category and Sub-Category]],FIND("/",Table1[[#This Row],[Category and Sub-Category]])-1)</f>
        <v>theater</v>
      </c>
      <c r="V4076" t="str">
        <f>RIGHT(Table1[[#This Row],[Category and Sub-Category]],LEN(Table1[[#This Row],[Category and Sub-Category]])-FIND("/",Table1[[#This Row],[Category and Sub-Category]]))</f>
        <v>plays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 s="12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>((Table1[[#This Row],[deadline]]/60)/60/24)+DATE(1970,1,1)</f>
        <v>41820.727777777778</v>
      </c>
      <c r="K4077">
        <v>1400547969</v>
      </c>
      <c r="L4077" s="11">
        <f>((Table1[[#This Row],[launched_at]]/60)/60/24)+DATE(1970,1,1)</f>
        <v>41779.045937499999</v>
      </c>
      <c r="M4077">
        <f>MONTH(Table1[[#This Row],[Date Created Conversion]])</f>
        <v>5</v>
      </c>
      <c r="N4077">
        <f>YEAR(Table1[[#This Row],[Date Created Conversion]])</f>
        <v>2014</v>
      </c>
      <c r="O4077" t="b">
        <v>0</v>
      </c>
      <c r="P4077">
        <v>13</v>
      </c>
      <c r="Q4077" t="b">
        <v>0</v>
      </c>
      <c r="R4077" t="s">
        <v>8271</v>
      </c>
      <c r="S4077" s="6">
        <f>Table1[[#This Row],[pledged]]/Table1[[#This Row],[goal]]</f>
        <v>0.28799999999999998</v>
      </c>
      <c r="T4077" s="8">
        <f>IF(Table1[[#This Row],[pledged]]=0,"no backers",Table1[[#This Row],[pledged]]/Table1[[#This Row],[backers_count]])</f>
        <v>44.307692307692307</v>
      </c>
      <c r="U4077" t="str">
        <f>LEFT(Table1[[#This Row],[Category and Sub-Category]],FIND("/",Table1[[#This Row],[Category and Sub-Category]])-1)</f>
        <v>theater</v>
      </c>
      <c r="V4077" t="str">
        <f>RIGHT(Table1[[#This Row],[Category and Sub-Category]],LEN(Table1[[#This Row],[Category and Sub-Category]])-FIND("/",Table1[[#This Row],[Category and Sub-Category]]))</f>
        <v>plays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 s="12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>((Table1[[#This Row],[deadline]]/60)/60/24)+DATE(1970,1,1)</f>
        <v>41933.82708333333</v>
      </c>
      <c r="K4078">
        <v>1411499149</v>
      </c>
      <c r="L4078" s="11">
        <f>((Table1[[#This Row],[launched_at]]/60)/60/24)+DATE(1970,1,1)</f>
        <v>41905.795706018522</v>
      </c>
      <c r="M4078">
        <f>MONTH(Table1[[#This Row],[Date Created Conversion]])</f>
        <v>9</v>
      </c>
      <c r="N4078">
        <f>YEAR(Table1[[#This Row],[Date Created Conversion]])</f>
        <v>2014</v>
      </c>
      <c r="O4078" t="b">
        <v>0</v>
      </c>
      <c r="P4078">
        <v>0</v>
      </c>
      <c r="Q4078" t="b">
        <v>0</v>
      </c>
      <c r="R4078" t="s">
        <v>8271</v>
      </c>
      <c r="S4078" s="6">
        <f>Table1[[#This Row],[pledged]]/Table1[[#This Row],[goal]]</f>
        <v>0</v>
      </c>
      <c r="T4078" s="8" t="str">
        <f>IF(Table1[[#This Row],[pledged]]=0,"no backers",Table1[[#This Row],[pledged]]/Table1[[#This Row],[backers_count]])</f>
        <v>no backers</v>
      </c>
      <c r="U4078" t="str">
        <f>LEFT(Table1[[#This Row],[Category and Sub-Category]],FIND("/",Table1[[#This Row],[Category and Sub-Category]])-1)</f>
        <v>theater</v>
      </c>
      <c r="V4078" t="str">
        <f>RIGHT(Table1[[#This Row],[Category and Sub-Category]],LEN(Table1[[#This Row],[Category and Sub-Category]])-FIND("/",Table1[[#This Row],[Category and Sub-Category]]))</f>
        <v>plays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 s="12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>((Table1[[#This Row],[deadline]]/60)/60/24)+DATE(1970,1,1)</f>
        <v>42725.7105787037</v>
      </c>
      <c r="K4079">
        <v>1479747794</v>
      </c>
      <c r="L4079" s="11">
        <f>((Table1[[#This Row],[launched_at]]/60)/60/24)+DATE(1970,1,1)</f>
        <v>42695.7105787037</v>
      </c>
      <c r="M4079">
        <f>MONTH(Table1[[#This Row],[Date Created Conversion]])</f>
        <v>11</v>
      </c>
      <c r="N4079">
        <f>YEAR(Table1[[#This Row],[Date Created Conversion]])</f>
        <v>2016</v>
      </c>
      <c r="O4079" t="b">
        <v>0</v>
      </c>
      <c r="P4079">
        <v>6</v>
      </c>
      <c r="Q4079" t="b">
        <v>0</v>
      </c>
      <c r="R4079" t="s">
        <v>8271</v>
      </c>
      <c r="S4079" s="6">
        <f>Table1[[#This Row],[pledged]]/Table1[[#This Row],[goal]]</f>
        <v>8.8999999999999996E-2</v>
      </c>
      <c r="T4079" s="8">
        <f>IF(Table1[[#This Row],[pledged]]=0,"no backers",Table1[[#This Row],[pledged]]/Table1[[#This Row],[backers_count]])</f>
        <v>222.5</v>
      </c>
      <c r="U4079" t="str">
        <f>LEFT(Table1[[#This Row],[Category and Sub-Category]],FIND("/",Table1[[#This Row],[Category and Sub-Category]])-1)</f>
        <v>theater</v>
      </c>
      <c r="V4079" t="str">
        <f>RIGHT(Table1[[#This Row],[Category and Sub-Category]],LEN(Table1[[#This Row],[Category and Sub-Category]])-FIND("/",Table1[[#This Row],[Category and Sub-Category]]))</f>
        <v>plays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 s="12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>((Table1[[#This Row],[deadline]]/60)/60/24)+DATE(1970,1,1)</f>
        <v>42762.787523148145</v>
      </c>
      <c r="K4080">
        <v>1482951242</v>
      </c>
      <c r="L4080" s="11">
        <f>((Table1[[#This Row],[launched_at]]/60)/60/24)+DATE(1970,1,1)</f>
        <v>42732.787523148145</v>
      </c>
      <c r="M4080">
        <f>MONTH(Table1[[#This Row],[Date Created Conversion]])</f>
        <v>12</v>
      </c>
      <c r="N4080">
        <f>YEAR(Table1[[#This Row],[Date Created Conversion]])</f>
        <v>2016</v>
      </c>
      <c r="O4080" t="b">
        <v>0</v>
      </c>
      <c r="P4080">
        <v>0</v>
      </c>
      <c r="Q4080" t="b">
        <v>0</v>
      </c>
      <c r="R4080" t="s">
        <v>8271</v>
      </c>
      <c r="S4080" s="6">
        <f>Table1[[#This Row],[pledged]]/Table1[[#This Row],[goal]]</f>
        <v>0</v>
      </c>
      <c r="T4080" s="8" t="str">
        <f>IF(Table1[[#This Row],[pledged]]=0,"no backers",Table1[[#This Row],[pledged]]/Table1[[#This Row],[backers_count]])</f>
        <v>no backers</v>
      </c>
      <c r="U4080" t="str">
        <f>LEFT(Table1[[#This Row],[Category and Sub-Category]],FIND("/",Table1[[#This Row],[Category and Sub-Category]])-1)</f>
        <v>theater</v>
      </c>
      <c r="V4080" t="str">
        <f>RIGHT(Table1[[#This Row],[Category and Sub-Category]],LEN(Table1[[#This Row],[Category and Sub-Category]])-FIND("/",Table1[[#This Row],[Category and Sub-Category]]))</f>
        <v>plays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 s="12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>((Table1[[#This Row],[deadline]]/60)/60/24)+DATE(1970,1,1)</f>
        <v>42540.938900462963</v>
      </c>
      <c r="K4081">
        <v>1463783521</v>
      </c>
      <c r="L4081" s="11">
        <f>((Table1[[#This Row],[launched_at]]/60)/60/24)+DATE(1970,1,1)</f>
        <v>42510.938900462963</v>
      </c>
      <c r="M4081">
        <f>MONTH(Table1[[#This Row],[Date Created Conversion]])</f>
        <v>5</v>
      </c>
      <c r="N4081">
        <f>YEAR(Table1[[#This Row],[Date Created Conversion]])</f>
        <v>2016</v>
      </c>
      <c r="O4081" t="b">
        <v>0</v>
      </c>
      <c r="P4081">
        <v>1</v>
      </c>
      <c r="Q4081" t="b">
        <v>0</v>
      </c>
      <c r="R4081" t="s">
        <v>8271</v>
      </c>
      <c r="S4081" s="6">
        <f>Table1[[#This Row],[pledged]]/Table1[[#This Row],[goal]]</f>
        <v>1.6666666666666668E-3</v>
      </c>
      <c r="T4081" s="8">
        <f>IF(Table1[[#This Row],[pledged]]=0,"no backers",Table1[[#This Row],[pledged]]/Table1[[#This Row],[backers_count]])</f>
        <v>5</v>
      </c>
      <c r="U4081" t="str">
        <f>LEFT(Table1[[#This Row],[Category and Sub-Category]],FIND("/",Table1[[#This Row],[Category and Sub-Category]])-1)</f>
        <v>theater</v>
      </c>
      <c r="V4081" t="str">
        <f>RIGHT(Table1[[#This Row],[Category and Sub-Category]],LEN(Table1[[#This Row],[Category and Sub-Category]])-FIND("/",Table1[[#This Row],[Category and Sub-Category]]))</f>
        <v>plays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 s="1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>((Table1[[#This Row],[deadline]]/60)/60/24)+DATE(1970,1,1)</f>
        <v>42535.787500000006</v>
      </c>
      <c r="K4082">
        <v>1463849116</v>
      </c>
      <c r="L4082" s="11">
        <f>((Table1[[#This Row],[launched_at]]/60)/60/24)+DATE(1970,1,1)</f>
        <v>42511.698101851856</v>
      </c>
      <c r="M4082">
        <f>MONTH(Table1[[#This Row],[Date Created Conversion]])</f>
        <v>5</v>
      </c>
      <c r="N4082">
        <f>YEAR(Table1[[#This Row],[Date Created Conversion]])</f>
        <v>2016</v>
      </c>
      <c r="O4082" t="b">
        <v>0</v>
      </c>
      <c r="P4082">
        <v>0</v>
      </c>
      <c r="Q4082" t="b">
        <v>0</v>
      </c>
      <c r="R4082" t="s">
        <v>8271</v>
      </c>
      <c r="S4082" s="6">
        <f>Table1[[#This Row],[pledged]]/Table1[[#This Row],[goal]]</f>
        <v>0</v>
      </c>
      <c r="T4082" s="8" t="str">
        <f>IF(Table1[[#This Row],[pledged]]=0,"no backers",Table1[[#This Row],[pledged]]/Table1[[#This Row],[backers_count]])</f>
        <v>no backers</v>
      </c>
      <c r="U4082" t="str">
        <f>LEFT(Table1[[#This Row],[Category and Sub-Category]],FIND("/",Table1[[#This Row],[Category and Sub-Category]])-1)</f>
        <v>theater</v>
      </c>
      <c r="V4082" t="str">
        <f>RIGHT(Table1[[#This Row],[Category and Sub-Category]],LEN(Table1[[#This Row],[Category and Sub-Category]])-FIND("/",Table1[[#This Row],[Category and Sub-Category]]))</f>
        <v>plays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 s="12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>((Table1[[#This Row],[deadline]]/60)/60/24)+DATE(1970,1,1)</f>
        <v>42071.539641203708</v>
      </c>
      <c r="K4083">
        <v>1423231025</v>
      </c>
      <c r="L4083" s="11">
        <f>((Table1[[#This Row],[launched_at]]/60)/60/24)+DATE(1970,1,1)</f>
        <v>42041.581307870365</v>
      </c>
      <c r="M4083">
        <f>MONTH(Table1[[#This Row],[Date Created Conversion]])</f>
        <v>2</v>
      </c>
      <c r="N4083">
        <f>YEAR(Table1[[#This Row],[Date Created Conversion]])</f>
        <v>2015</v>
      </c>
      <c r="O4083" t="b">
        <v>0</v>
      </c>
      <c r="P4083">
        <v>12</v>
      </c>
      <c r="Q4083" t="b">
        <v>0</v>
      </c>
      <c r="R4083" t="s">
        <v>8271</v>
      </c>
      <c r="S4083" s="6">
        <f>Table1[[#This Row],[pledged]]/Table1[[#This Row],[goal]]</f>
        <v>0.15737410071942445</v>
      </c>
      <c r="T4083" s="8">
        <f>IF(Table1[[#This Row],[pledged]]=0,"no backers",Table1[[#This Row],[pledged]]/Table1[[#This Row],[backers_count]])</f>
        <v>29.166666666666668</v>
      </c>
      <c r="U4083" t="str">
        <f>LEFT(Table1[[#This Row],[Category and Sub-Category]],FIND("/",Table1[[#This Row],[Category and Sub-Category]])-1)</f>
        <v>theater</v>
      </c>
      <c r="V4083" t="str">
        <f>RIGHT(Table1[[#This Row],[Category and Sub-Category]],LEN(Table1[[#This Row],[Category and Sub-Category]])-FIND("/",Table1[[#This Row],[Category and Sub-Category]]))</f>
        <v>plays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 s="12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>((Table1[[#This Row],[deadline]]/60)/60/24)+DATE(1970,1,1)</f>
        <v>42322.958333333328</v>
      </c>
      <c r="K4084">
        <v>1446179553</v>
      </c>
      <c r="L4084" s="11">
        <f>((Table1[[#This Row],[launched_at]]/60)/60/24)+DATE(1970,1,1)</f>
        <v>42307.189270833333</v>
      </c>
      <c r="M4084">
        <f>MONTH(Table1[[#This Row],[Date Created Conversion]])</f>
        <v>10</v>
      </c>
      <c r="N4084">
        <f>YEAR(Table1[[#This Row],[Date Created Conversion]])</f>
        <v>2015</v>
      </c>
      <c r="O4084" t="b">
        <v>0</v>
      </c>
      <c r="P4084">
        <v>2</v>
      </c>
      <c r="Q4084" t="b">
        <v>0</v>
      </c>
      <c r="R4084" t="s">
        <v>8271</v>
      </c>
      <c r="S4084" s="6">
        <f>Table1[[#This Row],[pledged]]/Table1[[#This Row],[goal]]</f>
        <v>0.02</v>
      </c>
      <c r="T4084" s="8">
        <f>IF(Table1[[#This Row],[pledged]]=0,"no backers",Table1[[#This Row],[pledged]]/Table1[[#This Row],[backers_count]])</f>
        <v>1.5</v>
      </c>
      <c r="U4084" t="str">
        <f>LEFT(Table1[[#This Row],[Category and Sub-Category]],FIND("/",Table1[[#This Row],[Category and Sub-Category]])-1)</f>
        <v>theater</v>
      </c>
      <c r="V4084" t="str">
        <f>RIGHT(Table1[[#This Row],[Category and Sub-Category]],LEN(Table1[[#This Row],[Category and Sub-Category]])-FIND("/",Table1[[#This Row],[Category and Sub-Category]]))</f>
        <v>plays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 s="12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>((Table1[[#This Row],[deadline]]/60)/60/24)+DATE(1970,1,1)</f>
        <v>42383.761759259258</v>
      </c>
      <c r="K4085">
        <v>1450203416</v>
      </c>
      <c r="L4085" s="11">
        <f>((Table1[[#This Row],[launched_at]]/60)/60/24)+DATE(1970,1,1)</f>
        <v>42353.761759259258</v>
      </c>
      <c r="M4085">
        <f>MONTH(Table1[[#This Row],[Date Created Conversion]])</f>
        <v>12</v>
      </c>
      <c r="N4085">
        <f>YEAR(Table1[[#This Row],[Date Created Conversion]])</f>
        <v>2015</v>
      </c>
      <c r="O4085" t="b">
        <v>0</v>
      </c>
      <c r="P4085">
        <v>6</v>
      </c>
      <c r="Q4085" t="b">
        <v>0</v>
      </c>
      <c r="R4085" t="s">
        <v>8271</v>
      </c>
      <c r="S4085" s="6">
        <f>Table1[[#This Row],[pledged]]/Table1[[#This Row],[goal]]</f>
        <v>0.21685714285714286</v>
      </c>
      <c r="T4085" s="8">
        <f>IF(Table1[[#This Row],[pledged]]=0,"no backers",Table1[[#This Row],[pledged]]/Table1[[#This Row],[backers_count]])</f>
        <v>126.5</v>
      </c>
      <c r="U4085" t="str">
        <f>LEFT(Table1[[#This Row],[Category and Sub-Category]],FIND("/",Table1[[#This Row],[Category and Sub-Category]])-1)</f>
        <v>theater</v>
      </c>
      <c r="V4085" t="str">
        <f>RIGHT(Table1[[#This Row],[Category and Sub-Category]],LEN(Table1[[#This Row],[Category and Sub-Category]])-FIND("/",Table1[[#This Row],[Category and Sub-Category]]))</f>
        <v>plays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 s="12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>((Table1[[#This Row],[deadline]]/60)/60/24)+DATE(1970,1,1)</f>
        <v>42652.436412037037</v>
      </c>
      <c r="K4086">
        <v>1473416906</v>
      </c>
      <c r="L4086" s="11">
        <f>((Table1[[#This Row],[launched_at]]/60)/60/24)+DATE(1970,1,1)</f>
        <v>42622.436412037037</v>
      </c>
      <c r="M4086">
        <f>MONTH(Table1[[#This Row],[Date Created Conversion]])</f>
        <v>9</v>
      </c>
      <c r="N4086">
        <f>YEAR(Table1[[#This Row],[Date Created Conversion]])</f>
        <v>2016</v>
      </c>
      <c r="O4086" t="b">
        <v>0</v>
      </c>
      <c r="P4086">
        <v>1</v>
      </c>
      <c r="Q4086" t="b">
        <v>0</v>
      </c>
      <c r="R4086" t="s">
        <v>8271</v>
      </c>
      <c r="S4086" s="6">
        <f>Table1[[#This Row],[pledged]]/Table1[[#This Row],[goal]]</f>
        <v>3.3333333333333335E-3</v>
      </c>
      <c r="T4086" s="8">
        <f>IF(Table1[[#This Row],[pledged]]=0,"no backers",Table1[[#This Row],[pledged]]/Table1[[#This Row],[backers_count]])</f>
        <v>10</v>
      </c>
      <c r="U4086" t="str">
        <f>LEFT(Table1[[#This Row],[Category and Sub-Category]],FIND("/",Table1[[#This Row],[Category and Sub-Category]])-1)</f>
        <v>theater</v>
      </c>
      <c r="V4086" t="str">
        <f>RIGHT(Table1[[#This Row],[Category and Sub-Category]],LEN(Table1[[#This Row],[Category and Sub-Category]])-FIND("/",Table1[[#This Row],[Category and Sub-Category]]))</f>
        <v>plays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 s="12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>((Table1[[#This Row],[deadline]]/60)/60/24)+DATE(1970,1,1)</f>
        <v>42087.165972222225</v>
      </c>
      <c r="K4087">
        <v>1424701775</v>
      </c>
      <c r="L4087" s="11">
        <f>((Table1[[#This Row],[launched_at]]/60)/60/24)+DATE(1970,1,1)</f>
        <v>42058.603877314818</v>
      </c>
      <c r="M4087">
        <f>MONTH(Table1[[#This Row],[Date Created Conversion]])</f>
        <v>2</v>
      </c>
      <c r="N4087">
        <f>YEAR(Table1[[#This Row],[Date Created Conversion]])</f>
        <v>2015</v>
      </c>
      <c r="O4087" t="b">
        <v>0</v>
      </c>
      <c r="P4087">
        <v>1</v>
      </c>
      <c r="Q4087" t="b">
        <v>0</v>
      </c>
      <c r="R4087" t="s">
        <v>8271</v>
      </c>
      <c r="S4087" s="6">
        <f>Table1[[#This Row],[pledged]]/Table1[[#This Row],[goal]]</f>
        <v>2.8571428571428571E-3</v>
      </c>
      <c r="T4087" s="8">
        <f>IF(Table1[[#This Row],[pledged]]=0,"no backers",Table1[[#This Row],[pledged]]/Table1[[#This Row],[backers_count]])</f>
        <v>10</v>
      </c>
      <c r="U4087" t="str">
        <f>LEFT(Table1[[#This Row],[Category and Sub-Category]],FIND("/",Table1[[#This Row],[Category and Sub-Category]])-1)</f>
        <v>theater</v>
      </c>
      <c r="V4087" t="str">
        <f>RIGHT(Table1[[#This Row],[Category and Sub-Category]],LEN(Table1[[#This Row],[Category and Sub-Category]])-FIND("/",Table1[[#This Row],[Category and Sub-Category]]))</f>
        <v>plays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 s="12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>((Table1[[#This Row],[deadline]]/60)/60/24)+DATE(1970,1,1)</f>
        <v>42329.166666666672</v>
      </c>
      <c r="K4088">
        <v>1445985299</v>
      </c>
      <c r="L4088" s="11">
        <f>((Table1[[#This Row],[launched_at]]/60)/60/24)+DATE(1970,1,1)</f>
        <v>42304.940960648149</v>
      </c>
      <c r="M4088">
        <f>MONTH(Table1[[#This Row],[Date Created Conversion]])</f>
        <v>10</v>
      </c>
      <c r="N4088">
        <f>YEAR(Table1[[#This Row],[Date Created Conversion]])</f>
        <v>2015</v>
      </c>
      <c r="O4088" t="b">
        <v>0</v>
      </c>
      <c r="P4088">
        <v>5</v>
      </c>
      <c r="Q4088" t="b">
        <v>0</v>
      </c>
      <c r="R4088" t="s">
        <v>8271</v>
      </c>
      <c r="S4088" s="6">
        <f>Table1[[#This Row],[pledged]]/Table1[[#This Row],[goal]]</f>
        <v>4.7E-2</v>
      </c>
      <c r="T4088" s="8">
        <f>IF(Table1[[#This Row],[pledged]]=0,"no backers",Table1[[#This Row],[pledged]]/Table1[[#This Row],[backers_count]])</f>
        <v>9.4</v>
      </c>
      <c r="U4088" t="str">
        <f>LEFT(Table1[[#This Row],[Category and Sub-Category]],FIND("/",Table1[[#This Row],[Category and Sub-Category]])-1)</f>
        <v>theater</v>
      </c>
      <c r="V4088" t="str">
        <f>RIGHT(Table1[[#This Row],[Category and Sub-Category]],LEN(Table1[[#This Row],[Category and Sub-Category]])-FIND("/",Table1[[#This Row],[Category and Sub-Category]]))</f>
        <v>plays</v>
      </c>
    </row>
    <row r="4089" spans="1:22" x14ac:dyDescent="0.3">
      <c r="A4089">
        <v>4087</v>
      </c>
      <c r="B4089" s="3" t="s">
        <v>4083</v>
      </c>
      <c r="C4089" s="3" t="s">
        <v>8190</v>
      </c>
      <c r="D4089" s="12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>((Table1[[#This Row],[deadline]]/60)/60/24)+DATE(1970,1,1)</f>
        <v>42568.742893518516</v>
      </c>
      <c r="K4089">
        <v>1466185786</v>
      </c>
      <c r="L4089" s="11">
        <f>((Table1[[#This Row],[launched_at]]/60)/60/24)+DATE(1970,1,1)</f>
        <v>42538.742893518516</v>
      </c>
      <c r="M4089">
        <f>MONTH(Table1[[#This Row],[Date Created Conversion]])</f>
        <v>6</v>
      </c>
      <c r="N4089">
        <f>YEAR(Table1[[#This Row],[Date Created Conversion]])</f>
        <v>2016</v>
      </c>
      <c r="O4089" t="b">
        <v>0</v>
      </c>
      <c r="P4089">
        <v>0</v>
      </c>
      <c r="Q4089" t="b">
        <v>0</v>
      </c>
      <c r="R4089" t="s">
        <v>8271</v>
      </c>
      <c r="S4089" s="6">
        <f>Table1[[#This Row],[pledged]]/Table1[[#This Row],[goal]]</f>
        <v>0</v>
      </c>
      <c r="T4089" s="8" t="str">
        <f>IF(Table1[[#This Row],[pledged]]=0,"no backers",Table1[[#This Row],[pledged]]/Table1[[#This Row],[backers_count]])</f>
        <v>no backers</v>
      </c>
      <c r="U4089" t="str">
        <f>LEFT(Table1[[#This Row],[Category and Sub-Category]],FIND("/",Table1[[#This Row],[Category and Sub-Category]])-1)</f>
        <v>theater</v>
      </c>
      <c r="V4089" t="str">
        <f>RIGHT(Table1[[#This Row],[Category and Sub-Category]],LEN(Table1[[#This Row],[Category and Sub-Category]])-FIND("/",Table1[[#This Row],[Category and Sub-Category]]))</f>
        <v>plays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 s="12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>((Table1[[#This Row],[deadline]]/60)/60/24)+DATE(1970,1,1)</f>
        <v>42020.434722222228</v>
      </c>
      <c r="K4090">
        <v>1418827324</v>
      </c>
      <c r="L4090" s="11">
        <f>((Table1[[#This Row],[launched_at]]/60)/60/24)+DATE(1970,1,1)</f>
        <v>41990.612546296295</v>
      </c>
      <c r="M4090">
        <f>MONTH(Table1[[#This Row],[Date Created Conversion]])</f>
        <v>12</v>
      </c>
      <c r="N4090">
        <f>YEAR(Table1[[#This Row],[Date Created Conversion]])</f>
        <v>2014</v>
      </c>
      <c r="O4090" t="b">
        <v>0</v>
      </c>
      <c r="P4090">
        <v>3</v>
      </c>
      <c r="Q4090" t="b">
        <v>0</v>
      </c>
      <c r="R4090" t="s">
        <v>8271</v>
      </c>
      <c r="S4090" s="6">
        <f>Table1[[#This Row],[pledged]]/Table1[[#This Row],[goal]]</f>
        <v>0.108</v>
      </c>
      <c r="T4090" s="8">
        <f>IF(Table1[[#This Row],[pledged]]=0,"no backers",Table1[[#This Row],[pledged]]/Table1[[#This Row],[backers_count]])</f>
        <v>72</v>
      </c>
      <c r="U4090" t="str">
        <f>LEFT(Table1[[#This Row],[Category and Sub-Category]],FIND("/",Table1[[#This Row],[Category and Sub-Category]])-1)</f>
        <v>theater</v>
      </c>
      <c r="V4090" t="str">
        <f>RIGHT(Table1[[#This Row],[Category and Sub-Category]],LEN(Table1[[#This Row],[Category and Sub-Category]])-FIND("/",Table1[[#This Row],[Category and Sub-Category]]))</f>
        <v>plays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 s="12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>((Table1[[#This Row],[deadline]]/60)/60/24)+DATE(1970,1,1)</f>
        <v>42155.732638888891</v>
      </c>
      <c r="K4091">
        <v>1430242488</v>
      </c>
      <c r="L4091" s="11">
        <f>((Table1[[#This Row],[launched_at]]/60)/60/24)+DATE(1970,1,1)</f>
        <v>42122.732499999998</v>
      </c>
      <c r="M4091">
        <f>MONTH(Table1[[#This Row],[Date Created Conversion]])</f>
        <v>4</v>
      </c>
      <c r="N4091">
        <f>YEAR(Table1[[#This Row],[Date Created Conversion]])</f>
        <v>2015</v>
      </c>
      <c r="O4091" t="b">
        <v>0</v>
      </c>
      <c r="P4091">
        <v>8</v>
      </c>
      <c r="Q4091" t="b">
        <v>0</v>
      </c>
      <c r="R4091" t="s">
        <v>8271</v>
      </c>
      <c r="S4091" s="6">
        <f>Table1[[#This Row],[pledged]]/Table1[[#This Row],[goal]]</f>
        <v>4.8000000000000001E-2</v>
      </c>
      <c r="T4091" s="8">
        <f>IF(Table1[[#This Row],[pledged]]=0,"no backers",Table1[[#This Row],[pledged]]/Table1[[#This Row],[backers_count]])</f>
        <v>30</v>
      </c>
      <c r="U4091" t="str">
        <f>LEFT(Table1[[#This Row],[Category and Sub-Category]],FIND("/",Table1[[#This Row],[Category and Sub-Category]])-1)</f>
        <v>theater</v>
      </c>
      <c r="V4091" t="str">
        <f>RIGHT(Table1[[#This Row],[Category and Sub-Category]],LEN(Table1[[#This Row],[Category and Sub-Category]])-FIND("/",Table1[[#This Row],[Category and Sub-Category]]))</f>
        <v>plays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 s="1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>((Table1[[#This Row],[deadline]]/60)/60/24)+DATE(1970,1,1)</f>
        <v>42223.625</v>
      </c>
      <c r="K4092">
        <v>1437754137</v>
      </c>
      <c r="L4092" s="11">
        <f>((Table1[[#This Row],[launched_at]]/60)/60/24)+DATE(1970,1,1)</f>
        <v>42209.67288194444</v>
      </c>
      <c r="M4092">
        <f>MONTH(Table1[[#This Row],[Date Created Conversion]])</f>
        <v>7</v>
      </c>
      <c r="N4092">
        <f>YEAR(Table1[[#This Row],[Date Created Conversion]])</f>
        <v>2015</v>
      </c>
      <c r="O4092" t="b">
        <v>0</v>
      </c>
      <c r="P4092">
        <v>3</v>
      </c>
      <c r="Q4092" t="b">
        <v>0</v>
      </c>
      <c r="R4092" t="s">
        <v>8271</v>
      </c>
      <c r="S4092" s="6">
        <f>Table1[[#This Row],[pledged]]/Table1[[#This Row],[goal]]</f>
        <v>3.2000000000000001E-2</v>
      </c>
      <c r="T4092" s="8">
        <f>IF(Table1[[#This Row],[pledged]]=0,"no backers",Table1[[#This Row],[pledged]]/Table1[[#This Row],[backers_count]])</f>
        <v>10.666666666666666</v>
      </c>
      <c r="U4092" t="str">
        <f>LEFT(Table1[[#This Row],[Category and Sub-Category]],FIND("/",Table1[[#This Row],[Category and Sub-Category]])-1)</f>
        <v>theater</v>
      </c>
      <c r="V4092" t="str">
        <f>RIGHT(Table1[[#This Row],[Category and Sub-Category]],LEN(Table1[[#This Row],[Category and Sub-Category]])-FIND("/",Table1[[#This Row],[Category and Sub-Category]]))</f>
        <v>plays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 s="12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>((Table1[[#This Row],[deadline]]/60)/60/24)+DATE(1970,1,1)</f>
        <v>42020.506377314814</v>
      </c>
      <c r="K4093">
        <v>1418818151</v>
      </c>
      <c r="L4093" s="11">
        <f>((Table1[[#This Row],[launched_at]]/60)/60/24)+DATE(1970,1,1)</f>
        <v>41990.506377314814</v>
      </c>
      <c r="M4093">
        <f>MONTH(Table1[[#This Row],[Date Created Conversion]])</f>
        <v>12</v>
      </c>
      <c r="N4093">
        <f>YEAR(Table1[[#This Row],[Date Created Conversion]])</f>
        <v>2014</v>
      </c>
      <c r="O4093" t="b">
        <v>0</v>
      </c>
      <c r="P4093">
        <v>8</v>
      </c>
      <c r="Q4093" t="b">
        <v>0</v>
      </c>
      <c r="R4093" t="s">
        <v>8271</v>
      </c>
      <c r="S4093" s="6">
        <f>Table1[[#This Row],[pledged]]/Table1[[#This Row],[goal]]</f>
        <v>0.1275</v>
      </c>
      <c r="T4093" s="8">
        <f>IF(Table1[[#This Row],[pledged]]=0,"no backers",Table1[[#This Row],[pledged]]/Table1[[#This Row],[backers_count]])</f>
        <v>25.5</v>
      </c>
      <c r="U4093" t="str">
        <f>LEFT(Table1[[#This Row],[Category and Sub-Category]],FIND("/",Table1[[#This Row],[Category and Sub-Category]])-1)</f>
        <v>theater</v>
      </c>
      <c r="V4093" t="str">
        <f>RIGHT(Table1[[#This Row],[Category and Sub-Category]],LEN(Table1[[#This Row],[Category and Sub-Category]])-FIND("/",Table1[[#This Row],[Category and Sub-Category]]))</f>
        <v>plays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 s="12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>((Table1[[#This Row],[deadline]]/60)/60/24)+DATE(1970,1,1)</f>
        <v>42099.153321759266</v>
      </c>
      <c r="K4094">
        <v>1423024847</v>
      </c>
      <c r="L4094" s="11">
        <f>((Table1[[#This Row],[launched_at]]/60)/60/24)+DATE(1970,1,1)</f>
        <v>42039.194988425923</v>
      </c>
      <c r="M4094">
        <f>MONTH(Table1[[#This Row],[Date Created Conversion]])</f>
        <v>2</v>
      </c>
      <c r="N4094">
        <f>YEAR(Table1[[#This Row],[Date Created Conversion]])</f>
        <v>2015</v>
      </c>
      <c r="O4094" t="b">
        <v>0</v>
      </c>
      <c r="P4094">
        <v>1</v>
      </c>
      <c r="Q4094" t="b">
        <v>0</v>
      </c>
      <c r="R4094" t="s">
        <v>8271</v>
      </c>
      <c r="S4094" s="6">
        <f>Table1[[#This Row],[pledged]]/Table1[[#This Row],[goal]]</f>
        <v>1.8181818181818181E-4</v>
      </c>
      <c r="T4094" s="8">
        <f>IF(Table1[[#This Row],[pledged]]=0,"no backers",Table1[[#This Row],[pledged]]/Table1[[#This Row],[backers_count]])</f>
        <v>20</v>
      </c>
      <c r="U4094" t="str">
        <f>LEFT(Table1[[#This Row],[Category and Sub-Category]],FIND("/",Table1[[#This Row],[Category and Sub-Category]])-1)</f>
        <v>theater</v>
      </c>
      <c r="V4094" t="str">
        <f>RIGHT(Table1[[#This Row],[Category and Sub-Category]],LEN(Table1[[#This Row],[Category and Sub-Category]])-FIND("/",Table1[[#This Row],[Category and Sub-Category]]))</f>
        <v>plays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 s="12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>((Table1[[#This Row],[deadline]]/60)/60/24)+DATE(1970,1,1)</f>
        <v>42238.815891203703</v>
      </c>
      <c r="K4095">
        <v>1435088093</v>
      </c>
      <c r="L4095" s="11">
        <f>((Table1[[#This Row],[launched_at]]/60)/60/24)+DATE(1970,1,1)</f>
        <v>42178.815891203703</v>
      </c>
      <c r="M4095">
        <f>MONTH(Table1[[#This Row],[Date Created Conversion]])</f>
        <v>6</v>
      </c>
      <c r="N4095">
        <f>YEAR(Table1[[#This Row],[Date Created Conversion]])</f>
        <v>2015</v>
      </c>
      <c r="O4095" t="b">
        <v>0</v>
      </c>
      <c r="P4095">
        <v>4</v>
      </c>
      <c r="Q4095" t="b">
        <v>0</v>
      </c>
      <c r="R4095" t="s">
        <v>8271</v>
      </c>
      <c r="S4095" s="6">
        <f>Table1[[#This Row],[pledged]]/Table1[[#This Row],[goal]]</f>
        <v>2.4E-2</v>
      </c>
      <c r="T4095" s="8">
        <f>IF(Table1[[#This Row],[pledged]]=0,"no backers",Table1[[#This Row],[pledged]]/Table1[[#This Row],[backers_count]])</f>
        <v>15</v>
      </c>
      <c r="U4095" t="str">
        <f>LEFT(Table1[[#This Row],[Category and Sub-Category]],FIND("/",Table1[[#This Row],[Category and Sub-Category]])-1)</f>
        <v>theater</v>
      </c>
      <c r="V4095" t="str">
        <f>RIGHT(Table1[[#This Row],[Category and Sub-Category]],LEN(Table1[[#This Row],[Category and Sub-Category]])-FIND("/",Table1[[#This Row],[Category and Sub-Category]]))</f>
        <v>plays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 s="12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>((Table1[[#This Row],[deadline]]/60)/60/24)+DATE(1970,1,1)</f>
        <v>41934.207638888889</v>
      </c>
      <c r="K4096">
        <v>1410141900</v>
      </c>
      <c r="L4096" s="11">
        <f>((Table1[[#This Row],[launched_at]]/60)/60/24)+DATE(1970,1,1)</f>
        <v>41890.086805555555</v>
      </c>
      <c r="M4096">
        <f>MONTH(Table1[[#This Row],[Date Created Conversion]])</f>
        <v>9</v>
      </c>
      <c r="N4096">
        <f>YEAR(Table1[[#This Row],[Date Created Conversion]])</f>
        <v>2014</v>
      </c>
      <c r="O4096" t="b">
        <v>0</v>
      </c>
      <c r="P4096">
        <v>8</v>
      </c>
      <c r="Q4096" t="b">
        <v>0</v>
      </c>
      <c r="R4096" t="s">
        <v>8271</v>
      </c>
      <c r="S4096" s="6">
        <f>Table1[[#This Row],[pledged]]/Table1[[#This Row],[goal]]</f>
        <v>0.36499999999999999</v>
      </c>
      <c r="T4096" s="8">
        <f>IF(Table1[[#This Row],[pledged]]=0,"no backers",Table1[[#This Row],[pledged]]/Table1[[#This Row],[backers_count]])</f>
        <v>91.25</v>
      </c>
      <c r="U4096" t="str">
        <f>LEFT(Table1[[#This Row],[Category and Sub-Category]],FIND("/",Table1[[#This Row],[Category and Sub-Category]])-1)</f>
        <v>theater</v>
      </c>
      <c r="V4096" t="str">
        <f>RIGHT(Table1[[#This Row],[Category and Sub-Category]],LEN(Table1[[#This Row],[Category and Sub-Category]])-FIND("/",Table1[[#This Row],[Category and Sub-Category]]))</f>
        <v>plays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 s="12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>((Table1[[#This Row],[deadline]]/60)/60/24)+DATE(1970,1,1)</f>
        <v>42723.031828703708</v>
      </c>
      <c r="K4097">
        <v>1479516350</v>
      </c>
      <c r="L4097" s="11">
        <f>((Table1[[#This Row],[launched_at]]/60)/60/24)+DATE(1970,1,1)</f>
        <v>42693.031828703708</v>
      </c>
      <c r="M4097">
        <f>MONTH(Table1[[#This Row],[Date Created Conversion]])</f>
        <v>11</v>
      </c>
      <c r="N4097">
        <f>YEAR(Table1[[#This Row],[Date Created Conversion]])</f>
        <v>2016</v>
      </c>
      <c r="O4097" t="b">
        <v>0</v>
      </c>
      <c r="P4097">
        <v>1</v>
      </c>
      <c r="Q4097" t="b">
        <v>0</v>
      </c>
      <c r="R4097" t="s">
        <v>8271</v>
      </c>
      <c r="S4097" s="6">
        <f>Table1[[#This Row],[pledged]]/Table1[[#This Row],[goal]]</f>
        <v>2.6666666666666668E-2</v>
      </c>
      <c r="T4097" s="8">
        <f>IF(Table1[[#This Row],[pledged]]=0,"no backers",Table1[[#This Row],[pledged]]/Table1[[#This Row],[backers_count]])</f>
        <v>800</v>
      </c>
      <c r="U4097" t="str">
        <f>LEFT(Table1[[#This Row],[Category and Sub-Category]],FIND("/",Table1[[#This Row],[Category and Sub-Category]])-1)</f>
        <v>theater</v>
      </c>
      <c r="V4097" t="str">
        <f>RIGHT(Table1[[#This Row],[Category and Sub-Category]],LEN(Table1[[#This Row],[Category and Sub-Category]])-FIND("/",Table1[[#This Row],[Category and Sub-Category]]))</f>
        <v>plays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 s="12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>((Table1[[#This Row],[deadline]]/60)/60/24)+DATE(1970,1,1)</f>
        <v>42794.368749999994</v>
      </c>
      <c r="K4098">
        <v>1484484219</v>
      </c>
      <c r="L4098" s="11">
        <f>((Table1[[#This Row],[launched_at]]/60)/60/24)+DATE(1970,1,1)</f>
        <v>42750.530312499999</v>
      </c>
      <c r="M4098">
        <f>MONTH(Table1[[#This Row],[Date Created Conversion]])</f>
        <v>1</v>
      </c>
      <c r="N4098">
        <f>YEAR(Table1[[#This Row],[Date Created Conversion]])</f>
        <v>2017</v>
      </c>
      <c r="O4098" t="b">
        <v>0</v>
      </c>
      <c r="P4098">
        <v>5</v>
      </c>
      <c r="Q4098" t="b">
        <v>0</v>
      </c>
      <c r="R4098" t="s">
        <v>8271</v>
      </c>
      <c r="S4098" s="6">
        <f>Table1[[#This Row],[pledged]]/Table1[[#This Row],[goal]]</f>
        <v>0.11428571428571428</v>
      </c>
      <c r="T4098" s="8">
        <f>IF(Table1[[#This Row],[pledged]]=0,"no backers",Table1[[#This Row],[pledged]]/Table1[[#This Row],[backers_count]])</f>
        <v>80</v>
      </c>
      <c r="U4098" t="str">
        <f>LEFT(Table1[[#This Row],[Category and Sub-Category]],FIND("/",Table1[[#This Row],[Category and Sub-Category]])-1)</f>
        <v>theater</v>
      </c>
      <c r="V4098" t="str">
        <f>RIGHT(Table1[[#This Row],[Category and Sub-Category]],LEN(Table1[[#This Row],[Category and Sub-Category]])-FIND("/",Table1[[#This Row],[Category and Sub-Category]]))</f>
        <v>plays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 s="12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>((Table1[[#This Row],[deadline]]/60)/60/24)+DATE(1970,1,1)</f>
        <v>42400.996527777781</v>
      </c>
      <c r="K4099">
        <v>1449431237</v>
      </c>
      <c r="L4099" s="11">
        <f>((Table1[[#This Row],[launched_at]]/60)/60/24)+DATE(1970,1,1)</f>
        <v>42344.824502314819</v>
      </c>
      <c r="M4099">
        <f>MONTH(Table1[[#This Row],[Date Created Conversion]])</f>
        <v>12</v>
      </c>
      <c r="N4099">
        <f>YEAR(Table1[[#This Row],[Date Created Conversion]])</f>
        <v>2015</v>
      </c>
      <c r="O4099" t="b">
        <v>0</v>
      </c>
      <c r="P4099">
        <v>0</v>
      </c>
      <c r="Q4099" t="b">
        <v>0</v>
      </c>
      <c r="R4099" t="s">
        <v>8271</v>
      </c>
      <c r="S4099" s="6">
        <f>Table1[[#This Row],[pledged]]/Table1[[#This Row],[goal]]</f>
        <v>0</v>
      </c>
      <c r="T4099" s="8" t="str">
        <f>IF(Table1[[#This Row],[pledged]]=0,"no backers",Table1[[#This Row],[pledged]]/Table1[[#This Row],[backers_count]])</f>
        <v>no backers</v>
      </c>
      <c r="U4099" t="str">
        <f>LEFT(Table1[[#This Row],[Category and Sub-Category]],FIND("/",Table1[[#This Row],[Category and Sub-Category]])-1)</f>
        <v>theater</v>
      </c>
      <c r="V4099" t="str">
        <f>RIGHT(Table1[[#This Row],[Category and Sub-Category]],LEN(Table1[[#This Row],[Category and Sub-Category]])-FIND("/",Table1[[#This Row],[Category and Sub-Category]]))</f>
        <v>plays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 s="12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>((Table1[[#This Row],[deadline]]/60)/60/24)+DATE(1970,1,1)</f>
        <v>42525.722187499996</v>
      </c>
      <c r="K4100">
        <v>1462468797</v>
      </c>
      <c r="L4100" s="11">
        <f>((Table1[[#This Row],[launched_at]]/60)/60/24)+DATE(1970,1,1)</f>
        <v>42495.722187499996</v>
      </c>
      <c r="M4100">
        <f>MONTH(Table1[[#This Row],[Date Created Conversion]])</f>
        <v>5</v>
      </c>
      <c r="N4100">
        <f>YEAR(Table1[[#This Row],[Date Created Conversion]])</f>
        <v>2016</v>
      </c>
      <c r="O4100" t="b">
        <v>0</v>
      </c>
      <c r="P4100">
        <v>0</v>
      </c>
      <c r="Q4100" t="b">
        <v>0</v>
      </c>
      <c r="R4100" t="s">
        <v>8271</v>
      </c>
      <c r="S4100" s="6">
        <f>Table1[[#This Row],[pledged]]/Table1[[#This Row],[goal]]</f>
        <v>0</v>
      </c>
      <c r="T4100" s="8" t="str">
        <f>IF(Table1[[#This Row],[pledged]]=0,"no backers",Table1[[#This Row],[pledged]]/Table1[[#This Row],[backers_count]])</f>
        <v>no backers</v>
      </c>
      <c r="U4100" t="str">
        <f>LEFT(Table1[[#This Row],[Category and Sub-Category]],FIND("/",Table1[[#This Row],[Category and Sub-Category]])-1)</f>
        <v>theater</v>
      </c>
      <c r="V4100" t="str">
        <f>RIGHT(Table1[[#This Row],[Category and Sub-Category]],LEN(Table1[[#This Row],[Category and Sub-Category]])-FIND("/",Table1[[#This Row],[Category and Sub-Category]]))</f>
        <v>plays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 s="12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>((Table1[[#This Row],[deadline]]/60)/60/24)+DATE(1970,1,1)</f>
        <v>42615.850381944445</v>
      </c>
      <c r="K4101">
        <v>1468959873</v>
      </c>
      <c r="L4101" s="11">
        <f>((Table1[[#This Row],[launched_at]]/60)/60/24)+DATE(1970,1,1)</f>
        <v>42570.850381944445</v>
      </c>
      <c r="M4101">
        <f>MONTH(Table1[[#This Row],[Date Created Conversion]])</f>
        <v>7</v>
      </c>
      <c r="N4101">
        <f>YEAR(Table1[[#This Row],[Date Created Conversion]])</f>
        <v>2016</v>
      </c>
      <c r="O4101" t="b">
        <v>0</v>
      </c>
      <c r="P4101">
        <v>1</v>
      </c>
      <c r="Q4101" t="b">
        <v>0</v>
      </c>
      <c r="R4101" t="s">
        <v>8271</v>
      </c>
      <c r="S4101" s="6">
        <f>Table1[[#This Row],[pledged]]/Table1[[#This Row],[goal]]</f>
        <v>1.1111111111111112E-2</v>
      </c>
      <c r="T4101" s="8">
        <f>IF(Table1[[#This Row],[pledged]]=0,"no backers",Table1[[#This Row],[pledged]]/Table1[[#This Row],[backers_count]])</f>
        <v>50</v>
      </c>
      <c r="U4101" t="str">
        <f>LEFT(Table1[[#This Row],[Category and Sub-Category]],FIND("/",Table1[[#This Row],[Category and Sub-Category]])-1)</f>
        <v>theater</v>
      </c>
      <c r="V4101" t="str">
        <f>RIGHT(Table1[[#This Row],[Category and Sub-Category]],LEN(Table1[[#This Row],[Category and Sub-Category]])-FIND("/",Table1[[#This Row],[Category and Sub-Category]]))</f>
        <v>plays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 s="1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>((Table1[[#This Row],[deadline]]/60)/60/24)+DATE(1970,1,1)</f>
        <v>41937.124884259261</v>
      </c>
      <c r="K4102">
        <v>1413341990</v>
      </c>
      <c r="L4102" s="11">
        <f>((Table1[[#This Row],[launched_at]]/60)/60/24)+DATE(1970,1,1)</f>
        <v>41927.124884259261</v>
      </c>
      <c r="M4102">
        <f>MONTH(Table1[[#This Row],[Date Created Conversion]])</f>
        <v>10</v>
      </c>
      <c r="N4102">
        <f>YEAR(Table1[[#This Row],[Date Created Conversion]])</f>
        <v>2014</v>
      </c>
      <c r="O4102" t="b">
        <v>0</v>
      </c>
      <c r="P4102">
        <v>0</v>
      </c>
      <c r="Q4102" t="b">
        <v>0</v>
      </c>
      <c r="R4102" t="s">
        <v>8271</v>
      </c>
      <c r="S4102" s="6">
        <f>Table1[[#This Row],[pledged]]/Table1[[#This Row],[goal]]</f>
        <v>0</v>
      </c>
      <c r="T4102" s="8" t="str">
        <f>IF(Table1[[#This Row],[pledged]]=0,"no backers",Table1[[#This Row],[pledged]]/Table1[[#This Row],[backers_count]])</f>
        <v>no backers</v>
      </c>
      <c r="U4102" t="str">
        <f>LEFT(Table1[[#This Row],[Category and Sub-Category]],FIND("/",Table1[[#This Row],[Category and Sub-Category]])-1)</f>
        <v>theater</v>
      </c>
      <c r="V4102" t="str">
        <f>RIGHT(Table1[[#This Row],[Category and Sub-Category]],LEN(Table1[[#This Row],[Category and Sub-Category]])-FIND("/",Table1[[#This Row],[Category and Sub-Category]]))</f>
        <v>plays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 s="12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>((Table1[[#This Row],[deadline]]/60)/60/24)+DATE(1970,1,1)</f>
        <v>42760.903726851851</v>
      </c>
      <c r="K4103">
        <v>1482788482</v>
      </c>
      <c r="L4103" s="11">
        <f>((Table1[[#This Row],[launched_at]]/60)/60/24)+DATE(1970,1,1)</f>
        <v>42730.903726851851</v>
      </c>
      <c r="M4103">
        <f>MONTH(Table1[[#This Row],[Date Created Conversion]])</f>
        <v>12</v>
      </c>
      <c r="N4103">
        <f>YEAR(Table1[[#This Row],[Date Created Conversion]])</f>
        <v>2016</v>
      </c>
      <c r="O4103" t="b">
        <v>0</v>
      </c>
      <c r="P4103">
        <v>0</v>
      </c>
      <c r="Q4103" t="b">
        <v>0</v>
      </c>
      <c r="R4103" t="s">
        <v>8271</v>
      </c>
      <c r="S4103" s="6">
        <f>Table1[[#This Row],[pledged]]/Table1[[#This Row],[goal]]</f>
        <v>0</v>
      </c>
      <c r="T4103" s="8" t="str">
        <f>IF(Table1[[#This Row],[pledged]]=0,"no backers",Table1[[#This Row],[pledged]]/Table1[[#This Row],[backers_count]])</f>
        <v>no backers</v>
      </c>
      <c r="U4103" t="str">
        <f>LEFT(Table1[[#This Row],[Category and Sub-Category]],FIND("/",Table1[[#This Row],[Category and Sub-Category]])-1)</f>
        <v>theater</v>
      </c>
      <c r="V4103" t="str">
        <f>RIGHT(Table1[[#This Row],[Category and Sub-Category]],LEN(Table1[[#This Row],[Category and Sub-Category]])-FIND("/",Table1[[#This Row],[Category and Sub-Category]]))</f>
        <v>plays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 s="12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>((Table1[[#This Row],[deadline]]/60)/60/24)+DATE(1970,1,1)</f>
        <v>42505.848067129627</v>
      </c>
      <c r="K4104">
        <v>1460751673</v>
      </c>
      <c r="L4104" s="11">
        <f>((Table1[[#This Row],[launched_at]]/60)/60/24)+DATE(1970,1,1)</f>
        <v>42475.848067129627</v>
      </c>
      <c r="M4104">
        <f>MONTH(Table1[[#This Row],[Date Created Conversion]])</f>
        <v>4</v>
      </c>
      <c r="N4104">
        <f>YEAR(Table1[[#This Row],[Date Created Conversion]])</f>
        <v>2016</v>
      </c>
      <c r="O4104" t="b">
        <v>0</v>
      </c>
      <c r="P4104">
        <v>6</v>
      </c>
      <c r="Q4104" t="b">
        <v>0</v>
      </c>
      <c r="R4104" t="s">
        <v>8271</v>
      </c>
      <c r="S4104" s="6">
        <f>Table1[[#This Row],[pledged]]/Table1[[#This Row],[goal]]</f>
        <v>0.27400000000000002</v>
      </c>
      <c r="T4104" s="8">
        <f>IF(Table1[[#This Row],[pledged]]=0,"no backers",Table1[[#This Row],[pledged]]/Table1[[#This Row],[backers_count]])</f>
        <v>22.833333333333332</v>
      </c>
      <c r="U4104" t="str">
        <f>LEFT(Table1[[#This Row],[Category and Sub-Category]],FIND("/",Table1[[#This Row],[Category and Sub-Category]])-1)</f>
        <v>theater</v>
      </c>
      <c r="V4104" t="str">
        <f>RIGHT(Table1[[#This Row],[Category and Sub-Category]],LEN(Table1[[#This Row],[Category and Sub-Category]])-FIND("/",Table1[[#This Row],[Category and Sub-Category]]))</f>
        <v>plays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 s="12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>((Table1[[#This Row],[deadline]]/60)/60/24)+DATE(1970,1,1)</f>
        <v>42242.772222222222</v>
      </c>
      <c r="K4105">
        <v>1435953566</v>
      </c>
      <c r="L4105" s="11">
        <f>((Table1[[#This Row],[launched_at]]/60)/60/24)+DATE(1970,1,1)</f>
        <v>42188.83293981482</v>
      </c>
      <c r="M4105">
        <f>MONTH(Table1[[#This Row],[Date Created Conversion]])</f>
        <v>7</v>
      </c>
      <c r="N4105">
        <f>YEAR(Table1[[#This Row],[Date Created Conversion]])</f>
        <v>2015</v>
      </c>
      <c r="O4105" t="b">
        <v>0</v>
      </c>
      <c r="P4105">
        <v>6</v>
      </c>
      <c r="Q4105" t="b">
        <v>0</v>
      </c>
      <c r="R4105" t="s">
        <v>8271</v>
      </c>
      <c r="S4105" s="6">
        <f>Table1[[#This Row],[pledged]]/Table1[[#This Row],[goal]]</f>
        <v>0.1</v>
      </c>
      <c r="T4105" s="8">
        <f>IF(Table1[[#This Row],[pledged]]=0,"no backers",Table1[[#This Row],[pledged]]/Table1[[#This Row],[backers_count]])</f>
        <v>16.666666666666668</v>
      </c>
      <c r="U4105" t="str">
        <f>LEFT(Table1[[#This Row],[Category and Sub-Category]],FIND("/",Table1[[#This Row],[Category and Sub-Category]])-1)</f>
        <v>theater</v>
      </c>
      <c r="V4105" t="str">
        <f>RIGHT(Table1[[#This Row],[Category and Sub-Category]],LEN(Table1[[#This Row],[Category and Sub-Category]])-FIND("/",Table1[[#This Row],[Category and Sub-Category]]))</f>
        <v>plays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 s="12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>((Table1[[#This Row],[deadline]]/60)/60/24)+DATE(1970,1,1)</f>
        <v>42670.278171296297</v>
      </c>
      <c r="K4106">
        <v>1474958434</v>
      </c>
      <c r="L4106" s="11">
        <f>((Table1[[#This Row],[launched_at]]/60)/60/24)+DATE(1970,1,1)</f>
        <v>42640.278171296297</v>
      </c>
      <c r="M4106">
        <f>MONTH(Table1[[#This Row],[Date Created Conversion]])</f>
        <v>9</v>
      </c>
      <c r="N4106">
        <f>YEAR(Table1[[#This Row],[Date Created Conversion]])</f>
        <v>2016</v>
      </c>
      <c r="O4106" t="b">
        <v>0</v>
      </c>
      <c r="P4106">
        <v>14</v>
      </c>
      <c r="Q4106" t="b">
        <v>0</v>
      </c>
      <c r="R4106" t="s">
        <v>8271</v>
      </c>
      <c r="S4106" s="6">
        <f>Table1[[#This Row],[pledged]]/Table1[[#This Row],[goal]]</f>
        <v>0.21366666666666667</v>
      </c>
      <c r="T4106" s="8">
        <f>IF(Table1[[#This Row],[pledged]]=0,"no backers",Table1[[#This Row],[pledged]]/Table1[[#This Row],[backers_count]])</f>
        <v>45.785714285714285</v>
      </c>
      <c r="U4106" t="str">
        <f>LEFT(Table1[[#This Row],[Category and Sub-Category]],FIND("/",Table1[[#This Row],[Category and Sub-Category]])-1)</f>
        <v>theater</v>
      </c>
      <c r="V4106" t="str">
        <f>RIGHT(Table1[[#This Row],[Category and Sub-Category]],LEN(Table1[[#This Row],[Category and Sub-Category]])-FIND("/",Table1[[#This Row],[Category and Sub-Category]]))</f>
        <v>plays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 s="12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>((Table1[[#This Row],[deadline]]/60)/60/24)+DATE(1970,1,1)</f>
        <v>42730.010520833333</v>
      </c>
      <c r="K4107">
        <v>1479860109</v>
      </c>
      <c r="L4107" s="11">
        <f>((Table1[[#This Row],[launched_at]]/60)/60/24)+DATE(1970,1,1)</f>
        <v>42697.010520833333</v>
      </c>
      <c r="M4107">
        <f>MONTH(Table1[[#This Row],[Date Created Conversion]])</f>
        <v>11</v>
      </c>
      <c r="N4107">
        <f>YEAR(Table1[[#This Row],[Date Created Conversion]])</f>
        <v>2016</v>
      </c>
      <c r="O4107" t="b">
        <v>0</v>
      </c>
      <c r="P4107">
        <v>6</v>
      </c>
      <c r="Q4107" t="b">
        <v>0</v>
      </c>
      <c r="R4107" t="s">
        <v>8271</v>
      </c>
      <c r="S4107" s="6">
        <f>Table1[[#This Row],[pledged]]/Table1[[#This Row],[goal]]</f>
        <v>6.9696969696969702E-2</v>
      </c>
      <c r="T4107" s="8">
        <f>IF(Table1[[#This Row],[pledged]]=0,"no backers",Table1[[#This Row],[pledged]]/Table1[[#This Row],[backers_count]])</f>
        <v>383.33333333333331</v>
      </c>
      <c r="U4107" t="str">
        <f>LEFT(Table1[[#This Row],[Category and Sub-Category]],FIND("/",Table1[[#This Row],[Category and Sub-Category]])-1)</f>
        <v>theater</v>
      </c>
      <c r="V4107" t="str">
        <f>RIGHT(Table1[[#This Row],[Category and Sub-Category]],LEN(Table1[[#This Row],[Category and Sub-Category]])-FIND("/",Table1[[#This Row],[Category and Sub-Category]]))</f>
        <v>plays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 s="12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>((Table1[[#This Row],[deadline]]/60)/60/24)+DATE(1970,1,1)</f>
        <v>42096.041666666672</v>
      </c>
      <c r="K4108">
        <v>1424221866</v>
      </c>
      <c r="L4108" s="11">
        <f>((Table1[[#This Row],[launched_at]]/60)/60/24)+DATE(1970,1,1)</f>
        <v>42053.049375000002</v>
      </c>
      <c r="M4108">
        <f>MONTH(Table1[[#This Row],[Date Created Conversion]])</f>
        <v>2</v>
      </c>
      <c r="N4108">
        <f>YEAR(Table1[[#This Row],[Date Created Conversion]])</f>
        <v>2015</v>
      </c>
      <c r="O4108" t="b">
        <v>0</v>
      </c>
      <c r="P4108">
        <v>33</v>
      </c>
      <c r="Q4108" t="b">
        <v>0</v>
      </c>
      <c r="R4108" t="s">
        <v>8271</v>
      </c>
      <c r="S4108" s="6">
        <f>Table1[[#This Row],[pledged]]/Table1[[#This Row],[goal]]</f>
        <v>0.70599999999999996</v>
      </c>
      <c r="T4108" s="8">
        <f>IF(Table1[[#This Row],[pledged]]=0,"no backers",Table1[[#This Row],[pledged]]/Table1[[#This Row],[backers_count]])</f>
        <v>106.96969696969697</v>
      </c>
      <c r="U4108" t="str">
        <f>LEFT(Table1[[#This Row],[Category and Sub-Category]],FIND("/",Table1[[#This Row],[Category and Sub-Category]])-1)</f>
        <v>theater</v>
      </c>
      <c r="V4108" t="str">
        <f>RIGHT(Table1[[#This Row],[Category and Sub-Category]],LEN(Table1[[#This Row],[Category and Sub-Category]])-FIND("/",Table1[[#This Row],[Category and Sub-Category]]))</f>
        <v>plays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 s="12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>((Table1[[#This Row],[deadline]]/60)/60/24)+DATE(1970,1,1)</f>
        <v>41906.916678240741</v>
      </c>
      <c r="K4109">
        <v>1409608801</v>
      </c>
      <c r="L4109" s="11">
        <f>((Table1[[#This Row],[launched_at]]/60)/60/24)+DATE(1970,1,1)</f>
        <v>41883.916678240741</v>
      </c>
      <c r="M4109">
        <f>MONTH(Table1[[#This Row],[Date Created Conversion]])</f>
        <v>9</v>
      </c>
      <c r="N4109">
        <f>YEAR(Table1[[#This Row],[Date Created Conversion]])</f>
        <v>2014</v>
      </c>
      <c r="O4109" t="b">
        <v>0</v>
      </c>
      <c r="P4109">
        <v>4</v>
      </c>
      <c r="Q4109" t="b">
        <v>0</v>
      </c>
      <c r="R4109" t="s">
        <v>8271</v>
      </c>
      <c r="S4109" s="6">
        <f>Table1[[#This Row],[pledged]]/Table1[[#This Row],[goal]]</f>
        <v>2.0500000000000001E-2</v>
      </c>
      <c r="T4109" s="8">
        <f>IF(Table1[[#This Row],[pledged]]=0,"no backers",Table1[[#This Row],[pledged]]/Table1[[#This Row],[backers_count]])</f>
        <v>10.25</v>
      </c>
      <c r="U4109" t="str">
        <f>LEFT(Table1[[#This Row],[Category and Sub-Category]],FIND("/",Table1[[#This Row],[Category and Sub-Category]])-1)</f>
        <v>theater</v>
      </c>
      <c r="V4109" t="str">
        <f>RIGHT(Table1[[#This Row],[Category and Sub-Category]],LEN(Table1[[#This Row],[Category and Sub-Category]])-FIND("/",Table1[[#This Row],[Category and Sub-Category]]))</f>
        <v>plays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 s="12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>((Table1[[#This Row],[deadline]]/60)/60/24)+DATE(1970,1,1)</f>
        <v>42797.208333333328</v>
      </c>
      <c r="K4110">
        <v>1485909937</v>
      </c>
      <c r="L4110" s="11">
        <f>((Table1[[#This Row],[launched_at]]/60)/60/24)+DATE(1970,1,1)</f>
        <v>42767.031678240746</v>
      </c>
      <c r="M4110">
        <f>MONTH(Table1[[#This Row],[Date Created Conversion]])</f>
        <v>2</v>
      </c>
      <c r="N4110">
        <f>YEAR(Table1[[#This Row],[Date Created Conversion]])</f>
        <v>2017</v>
      </c>
      <c r="O4110" t="b">
        <v>0</v>
      </c>
      <c r="P4110">
        <v>1</v>
      </c>
      <c r="Q4110" t="b">
        <v>0</v>
      </c>
      <c r="R4110" t="s">
        <v>8271</v>
      </c>
      <c r="S4110" s="6">
        <f>Table1[[#This Row],[pledged]]/Table1[[#This Row],[goal]]</f>
        <v>1.9666666666666666E-2</v>
      </c>
      <c r="T4110" s="8">
        <f>IF(Table1[[#This Row],[pledged]]=0,"no backers",Table1[[#This Row],[pledged]]/Table1[[#This Row],[backers_count]])</f>
        <v>59</v>
      </c>
      <c r="U4110" t="str">
        <f>LEFT(Table1[[#This Row],[Category and Sub-Category]],FIND("/",Table1[[#This Row],[Category and Sub-Category]])-1)</f>
        <v>theater</v>
      </c>
      <c r="V4110" t="str">
        <f>RIGHT(Table1[[#This Row],[Category and Sub-Category]],LEN(Table1[[#This Row],[Category and Sub-Category]])-FIND("/",Table1[[#This Row],[Category and Sub-Category]]))</f>
        <v>plays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 s="12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>((Table1[[#This Row],[deadline]]/60)/60/24)+DATE(1970,1,1)</f>
        <v>42337.581064814818</v>
      </c>
      <c r="K4111">
        <v>1446209804</v>
      </c>
      <c r="L4111" s="11">
        <f>((Table1[[#This Row],[launched_at]]/60)/60/24)+DATE(1970,1,1)</f>
        <v>42307.539398148147</v>
      </c>
      <c r="M4111">
        <f>MONTH(Table1[[#This Row],[Date Created Conversion]])</f>
        <v>10</v>
      </c>
      <c r="N4111">
        <f>YEAR(Table1[[#This Row],[Date Created Conversion]])</f>
        <v>2015</v>
      </c>
      <c r="O4111" t="b">
        <v>0</v>
      </c>
      <c r="P4111">
        <v>0</v>
      </c>
      <c r="Q4111" t="b">
        <v>0</v>
      </c>
      <c r="R4111" t="s">
        <v>8271</v>
      </c>
      <c r="S4111" s="6">
        <f>Table1[[#This Row],[pledged]]/Table1[[#This Row],[goal]]</f>
        <v>0</v>
      </c>
      <c r="T4111" s="8" t="str">
        <f>IF(Table1[[#This Row],[pledged]]=0,"no backers",Table1[[#This Row],[pledged]]/Table1[[#This Row],[backers_count]])</f>
        <v>no backers</v>
      </c>
      <c r="U4111" t="str">
        <f>LEFT(Table1[[#This Row],[Category and Sub-Category]],FIND("/",Table1[[#This Row],[Category and Sub-Category]])-1)</f>
        <v>theater</v>
      </c>
      <c r="V4111" t="str">
        <f>RIGHT(Table1[[#This Row],[Category and Sub-Category]],LEN(Table1[[#This Row],[Category and Sub-Category]])-FIND("/",Table1[[#This Row],[Category and Sub-Category]]))</f>
        <v>plays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 s="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>((Table1[[#This Row],[deadline]]/60)/60/24)+DATE(1970,1,1)</f>
        <v>42572.626747685179</v>
      </c>
      <c r="K4112">
        <v>1463929351</v>
      </c>
      <c r="L4112" s="11">
        <f>((Table1[[#This Row],[launched_at]]/60)/60/24)+DATE(1970,1,1)</f>
        <v>42512.626747685179</v>
      </c>
      <c r="M4112">
        <f>MONTH(Table1[[#This Row],[Date Created Conversion]])</f>
        <v>5</v>
      </c>
      <c r="N4112">
        <f>YEAR(Table1[[#This Row],[Date Created Conversion]])</f>
        <v>2016</v>
      </c>
      <c r="O4112" t="b">
        <v>0</v>
      </c>
      <c r="P4112">
        <v>6</v>
      </c>
      <c r="Q4112" t="b">
        <v>0</v>
      </c>
      <c r="R4112" t="s">
        <v>8271</v>
      </c>
      <c r="S4112" s="6">
        <f>Table1[[#This Row],[pledged]]/Table1[[#This Row],[goal]]</f>
        <v>0.28666666666666668</v>
      </c>
      <c r="T4112" s="8">
        <f>IF(Table1[[#This Row],[pledged]]=0,"no backers",Table1[[#This Row],[pledged]]/Table1[[#This Row],[backers_count]])</f>
        <v>14.333333333333334</v>
      </c>
      <c r="U4112" t="str">
        <f>LEFT(Table1[[#This Row],[Category and Sub-Category]],FIND("/",Table1[[#This Row],[Category and Sub-Category]])-1)</f>
        <v>theater</v>
      </c>
      <c r="V4112" t="str">
        <f>RIGHT(Table1[[#This Row],[Category and Sub-Category]],LEN(Table1[[#This Row],[Category and Sub-Category]])-FIND("/",Table1[[#This Row],[Category and Sub-Category]]))</f>
        <v>plays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 s="12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>((Table1[[#This Row],[deadline]]/60)/60/24)+DATE(1970,1,1)</f>
        <v>42059.135879629626</v>
      </c>
      <c r="K4113">
        <v>1422155740</v>
      </c>
      <c r="L4113" s="11">
        <f>((Table1[[#This Row],[launched_at]]/60)/60/24)+DATE(1970,1,1)</f>
        <v>42029.135879629626</v>
      </c>
      <c r="M4113">
        <f>MONTH(Table1[[#This Row],[Date Created Conversion]])</f>
        <v>1</v>
      </c>
      <c r="N4113">
        <f>YEAR(Table1[[#This Row],[Date Created Conversion]])</f>
        <v>2015</v>
      </c>
      <c r="O4113" t="b">
        <v>0</v>
      </c>
      <c r="P4113">
        <v>6</v>
      </c>
      <c r="Q4113" t="b">
        <v>0</v>
      </c>
      <c r="R4113" t="s">
        <v>8271</v>
      </c>
      <c r="S4113" s="6">
        <f>Table1[[#This Row],[pledged]]/Table1[[#This Row],[goal]]</f>
        <v>3.1333333333333331E-2</v>
      </c>
      <c r="T4113" s="8">
        <f>IF(Table1[[#This Row],[pledged]]=0,"no backers",Table1[[#This Row],[pledged]]/Table1[[#This Row],[backers_count]])</f>
        <v>15.666666666666666</v>
      </c>
      <c r="U4113" t="str">
        <f>LEFT(Table1[[#This Row],[Category and Sub-Category]],FIND("/",Table1[[#This Row],[Category and Sub-Category]])-1)</f>
        <v>theater</v>
      </c>
      <c r="V4113" t="str">
        <f>RIGHT(Table1[[#This Row],[Category and Sub-Category]],LEN(Table1[[#This Row],[Category and Sub-Category]])-FIND("/",Table1[[#This Row],[Category and Sub-Category]]))</f>
        <v>plays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 s="12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>((Table1[[#This Row],[deadline]]/60)/60/24)+DATE(1970,1,1)</f>
        <v>42428</v>
      </c>
      <c r="K4114">
        <v>1454280186</v>
      </c>
      <c r="L4114" s="11">
        <f>((Table1[[#This Row],[launched_at]]/60)/60/24)+DATE(1970,1,1)</f>
        <v>42400.946597222224</v>
      </c>
      <c r="M4114">
        <f>MONTH(Table1[[#This Row],[Date Created Conversion]])</f>
        <v>1</v>
      </c>
      <c r="N4114">
        <f>YEAR(Table1[[#This Row],[Date Created Conversion]])</f>
        <v>2016</v>
      </c>
      <c r="O4114" t="b">
        <v>0</v>
      </c>
      <c r="P4114">
        <v>1</v>
      </c>
      <c r="Q4114" t="b">
        <v>0</v>
      </c>
      <c r="R4114" t="s">
        <v>8271</v>
      </c>
      <c r="S4114" s="6">
        <f>Table1[[#This Row],[pledged]]/Table1[[#This Row],[goal]]</f>
        <v>4.0000000000000002E-4</v>
      </c>
      <c r="T4114" s="8">
        <f>IF(Table1[[#This Row],[pledged]]=0,"no backers",Table1[[#This Row],[pledged]]/Table1[[#This Row],[backers_count]])</f>
        <v>1</v>
      </c>
      <c r="U4114" t="str">
        <f>LEFT(Table1[[#This Row],[Category and Sub-Category]],FIND("/",Table1[[#This Row],[Category and Sub-Category]])-1)</f>
        <v>theater</v>
      </c>
      <c r="V4114" t="str">
        <f>RIGHT(Table1[[#This Row],[Category and Sub-Category]],LEN(Table1[[#This Row],[Category and Sub-Category]])-FIND("/",Table1[[#This Row],[Category and Sub-Category]]))</f>
        <v>plays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 s="12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>((Table1[[#This Row],[deadline]]/60)/60/24)+DATE(1970,1,1)</f>
        <v>42377.273611111115</v>
      </c>
      <c r="K4115">
        <v>1450619123</v>
      </c>
      <c r="L4115" s="11">
        <f>((Table1[[#This Row],[launched_at]]/60)/60/24)+DATE(1970,1,1)</f>
        <v>42358.573182870372</v>
      </c>
      <c r="M4115">
        <f>MONTH(Table1[[#This Row],[Date Created Conversion]])</f>
        <v>12</v>
      </c>
      <c r="N4115">
        <f>YEAR(Table1[[#This Row],[Date Created Conversion]])</f>
        <v>2015</v>
      </c>
      <c r="O4115" t="b">
        <v>0</v>
      </c>
      <c r="P4115">
        <v>3</v>
      </c>
      <c r="Q4115" t="b">
        <v>0</v>
      </c>
      <c r="R4115" t="s">
        <v>8271</v>
      </c>
      <c r="S4115" s="6">
        <f>Table1[[#This Row],[pledged]]/Table1[[#This Row],[goal]]</f>
        <v>2E-3</v>
      </c>
      <c r="T4115" s="8">
        <f>IF(Table1[[#This Row],[pledged]]=0,"no backers",Table1[[#This Row],[pledged]]/Table1[[#This Row],[backers_count]])</f>
        <v>1</v>
      </c>
      <c r="U4115" t="str">
        <f>LEFT(Table1[[#This Row],[Category and Sub-Category]],FIND("/",Table1[[#This Row],[Category and Sub-Category]])-1)</f>
        <v>theater</v>
      </c>
      <c r="V4115" t="str">
        <f>RIGHT(Table1[[#This Row],[Category and Sub-Category]],LEN(Table1[[#This Row],[Category and Sub-Category]])-FIND("/",Table1[[#This Row],[Category and Sub-Category]]))</f>
        <v>plays</v>
      </c>
    </row>
  </sheetData>
  <conditionalFormatting sqref="F1:F1048576">
    <cfRule type="containsText" dxfId="14" priority="3" operator="containsText" text="canceled">
      <formula>NOT(ISERROR(SEARCH("canceled",F1)))</formula>
    </cfRule>
    <cfRule type="containsText" dxfId="13" priority="4" operator="containsText" text="failed">
      <formula>NOT(ISERROR(SEARCH("failed",F1)))</formula>
    </cfRule>
    <cfRule type="containsText" dxfId="12" priority="5" operator="containsText" text="live">
      <formula>NOT(ISERROR(SEARCH("live",F1)))</formula>
    </cfRule>
    <cfRule type="containsText" dxfId="11" priority="6" operator="containsText" text="successful">
      <formula>NOT(ISERROR(SEARCH("successful",F1)))</formula>
    </cfRule>
  </conditionalFormatting>
  <conditionalFormatting sqref="S2:S4115">
    <cfRule type="colorScale" priority="1">
      <colorScale>
        <cfvo type="num" val="0"/>
        <cfvo type="num" val="1"/>
        <cfvo type="num" val="2"/>
        <color rgb="FFFF0000"/>
        <color rgb="FF0070C0"/>
        <color rgb="FF00B050"/>
      </colorScale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33660-E68E-43A1-9D8E-54F0122412B5}">
  <sheetPr codeName="Sheet2"/>
  <dimension ref="A1:F66"/>
  <sheetViews>
    <sheetView workbookViewId="0">
      <selection activeCell="E20" sqref="E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8364</v>
      </c>
    </row>
    <row r="3" spans="1:6" x14ac:dyDescent="0.3">
      <c r="A3" s="9" t="s">
        <v>8362</v>
      </c>
      <c r="B3" s="9" t="s">
        <v>8363</v>
      </c>
    </row>
    <row r="4" spans="1:6" x14ac:dyDescent="0.3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0" t="s">
        <v>8310</v>
      </c>
      <c r="B5">
        <v>40</v>
      </c>
      <c r="C5">
        <v>180</v>
      </c>
      <c r="E5">
        <v>300</v>
      </c>
      <c r="F5">
        <v>520</v>
      </c>
    </row>
    <row r="6" spans="1:6" x14ac:dyDescent="0.3">
      <c r="A6" s="10" t="s">
        <v>8336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">
      <c r="A7" s="10" t="s">
        <v>8333</v>
      </c>
      <c r="C7">
        <v>140</v>
      </c>
      <c r="E7">
        <v>80</v>
      </c>
      <c r="F7">
        <v>220</v>
      </c>
    </row>
    <row r="8" spans="1:6" x14ac:dyDescent="0.3">
      <c r="A8" s="10" t="s">
        <v>8331</v>
      </c>
      <c r="B8">
        <v>24</v>
      </c>
      <c r="F8">
        <v>24</v>
      </c>
    </row>
    <row r="9" spans="1:6" x14ac:dyDescent="0.3">
      <c r="A9" s="10" t="s">
        <v>8325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">
      <c r="A10" s="10" t="s">
        <v>8338</v>
      </c>
      <c r="C10">
        <v>117</v>
      </c>
      <c r="E10">
        <v>103</v>
      </c>
      <c r="F10">
        <v>220</v>
      </c>
    </row>
    <row r="11" spans="1:6" x14ac:dyDescent="0.3">
      <c r="A11" s="10" t="s">
        <v>8322</v>
      </c>
      <c r="B11">
        <v>30</v>
      </c>
      <c r="C11">
        <v>127</v>
      </c>
      <c r="E11">
        <v>80</v>
      </c>
      <c r="F11">
        <v>237</v>
      </c>
    </row>
    <row r="12" spans="1:6" x14ac:dyDescent="0.3">
      <c r="A12" s="10" t="s">
        <v>8319</v>
      </c>
      <c r="B12">
        <v>178</v>
      </c>
      <c r="C12">
        <v>213</v>
      </c>
      <c r="E12">
        <v>209</v>
      </c>
      <c r="F12">
        <v>600</v>
      </c>
    </row>
    <row r="13" spans="1:6" x14ac:dyDescent="0.3">
      <c r="A13" s="10" t="s">
        <v>8317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">
      <c r="A14" s="10" t="s">
        <v>8361</v>
      </c>
      <c r="B14">
        <v>349</v>
      </c>
      <c r="C14">
        <v>1530</v>
      </c>
      <c r="D14">
        <v>50</v>
      </c>
      <c r="E14">
        <v>2185</v>
      </c>
      <c r="F14">
        <v>4114</v>
      </c>
    </row>
    <row r="20" spans="1:6" x14ac:dyDescent="0.3">
      <c r="A20" s="9" t="s">
        <v>8223</v>
      </c>
      <c r="B20" t="s">
        <v>8364</v>
      </c>
    </row>
    <row r="21" spans="1:6" x14ac:dyDescent="0.3">
      <c r="A21" s="9" t="s">
        <v>8308</v>
      </c>
      <c r="B21" t="s">
        <v>8364</v>
      </c>
    </row>
    <row r="23" spans="1:6" x14ac:dyDescent="0.3">
      <c r="A23" s="9" t="s">
        <v>8362</v>
      </c>
      <c r="B23" s="9" t="s">
        <v>8363</v>
      </c>
    </row>
    <row r="24" spans="1:6" x14ac:dyDescent="0.3">
      <c r="A24" s="9" t="s">
        <v>8360</v>
      </c>
      <c r="B24" t="s">
        <v>8220</v>
      </c>
      <c r="C24" t="s">
        <v>8221</v>
      </c>
      <c r="D24" t="s">
        <v>8222</v>
      </c>
      <c r="E24" t="s">
        <v>8219</v>
      </c>
      <c r="F24" t="s">
        <v>8361</v>
      </c>
    </row>
    <row r="25" spans="1:6" x14ac:dyDescent="0.3">
      <c r="A25" s="10" t="s">
        <v>8316</v>
      </c>
      <c r="C25">
        <v>100</v>
      </c>
      <c r="F25">
        <v>100</v>
      </c>
    </row>
    <row r="26" spans="1:6" x14ac:dyDescent="0.3">
      <c r="A26" s="10" t="s">
        <v>8344</v>
      </c>
      <c r="B26">
        <v>20</v>
      </c>
      <c r="F26">
        <v>20</v>
      </c>
    </row>
    <row r="27" spans="1:6" x14ac:dyDescent="0.3">
      <c r="A27" s="10" t="s">
        <v>8332</v>
      </c>
      <c r="B27">
        <v>24</v>
      </c>
      <c r="F27">
        <v>24</v>
      </c>
    </row>
    <row r="28" spans="1:6" x14ac:dyDescent="0.3">
      <c r="A28" s="10" t="s">
        <v>8358</v>
      </c>
      <c r="C28">
        <v>40</v>
      </c>
      <c r="F28">
        <v>40</v>
      </c>
    </row>
    <row r="29" spans="1:6" x14ac:dyDescent="0.3">
      <c r="A29" s="10" t="s">
        <v>8354</v>
      </c>
      <c r="E29">
        <v>40</v>
      </c>
      <c r="F29">
        <v>40</v>
      </c>
    </row>
    <row r="30" spans="1:6" x14ac:dyDescent="0.3">
      <c r="A30" s="10" t="s">
        <v>8315</v>
      </c>
      <c r="E30">
        <v>180</v>
      </c>
      <c r="F30">
        <v>180</v>
      </c>
    </row>
    <row r="31" spans="1:6" x14ac:dyDescent="0.3">
      <c r="A31" s="10" t="s">
        <v>8314</v>
      </c>
      <c r="C31">
        <v>80</v>
      </c>
      <c r="F31">
        <v>80</v>
      </c>
    </row>
    <row r="32" spans="1:6" x14ac:dyDescent="0.3">
      <c r="A32" s="10" t="s">
        <v>8330</v>
      </c>
      <c r="E32">
        <v>40</v>
      </c>
      <c r="F32">
        <v>40</v>
      </c>
    </row>
    <row r="33" spans="1:6" x14ac:dyDescent="0.3">
      <c r="A33" s="10" t="s">
        <v>8347</v>
      </c>
      <c r="C33">
        <v>40</v>
      </c>
      <c r="D33">
        <v>20</v>
      </c>
      <c r="F33">
        <v>60</v>
      </c>
    </row>
    <row r="34" spans="1:6" x14ac:dyDescent="0.3">
      <c r="A34" s="10" t="s">
        <v>8324</v>
      </c>
      <c r="C34">
        <v>40</v>
      </c>
      <c r="F34">
        <v>40</v>
      </c>
    </row>
    <row r="35" spans="1:6" x14ac:dyDescent="0.3">
      <c r="A35" s="10" t="s">
        <v>8337</v>
      </c>
      <c r="B35">
        <v>20</v>
      </c>
      <c r="C35">
        <v>120</v>
      </c>
      <c r="F35">
        <v>140</v>
      </c>
    </row>
    <row r="36" spans="1:6" x14ac:dyDescent="0.3">
      <c r="A36" s="10" t="s">
        <v>8348</v>
      </c>
      <c r="C36">
        <v>20</v>
      </c>
      <c r="F36">
        <v>20</v>
      </c>
    </row>
    <row r="37" spans="1:6" x14ac:dyDescent="0.3">
      <c r="A37" s="10" t="s">
        <v>8349</v>
      </c>
      <c r="E37">
        <v>140</v>
      </c>
      <c r="F37">
        <v>140</v>
      </c>
    </row>
    <row r="38" spans="1:6" x14ac:dyDescent="0.3">
      <c r="A38" s="10" t="s">
        <v>8329</v>
      </c>
      <c r="C38">
        <v>20</v>
      </c>
      <c r="E38">
        <v>140</v>
      </c>
      <c r="F38">
        <v>160</v>
      </c>
    </row>
    <row r="39" spans="1:6" x14ac:dyDescent="0.3">
      <c r="A39" s="10" t="s">
        <v>8328</v>
      </c>
      <c r="C39">
        <v>60</v>
      </c>
      <c r="F39">
        <v>60</v>
      </c>
    </row>
    <row r="40" spans="1:6" x14ac:dyDescent="0.3">
      <c r="A40" s="10" t="s">
        <v>8356</v>
      </c>
      <c r="C40">
        <v>11</v>
      </c>
      <c r="E40">
        <v>9</v>
      </c>
      <c r="F40">
        <v>20</v>
      </c>
    </row>
    <row r="41" spans="1:6" x14ac:dyDescent="0.3">
      <c r="A41" s="10" t="s">
        <v>8327</v>
      </c>
      <c r="E41">
        <v>20</v>
      </c>
      <c r="F41">
        <v>20</v>
      </c>
    </row>
    <row r="42" spans="1:6" x14ac:dyDescent="0.3">
      <c r="A42" s="10" t="s">
        <v>8335</v>
      </c>
      <c r="C42">
        <v>40</v>
      </c>
      <c r="F42">
        <v>40</v>
      </c>
    </row>
    <row r="43" spans="1:6" x14ac:dyDescent="0.3">
      <c r="A43" s="10" t="s">
        <v>8359</v>
      </c>
      <c r="B43">
        <v>20</v>
      </c>
      <c r="C43">
        <v>60</v>
      </c>
      <c r="E43">
        <v>60</v>
      </c>
      <c r="F43">
        <v>140</v>
      </c>
    </row>
    <row r="44" spans="1:6" x14ac:dyDescent="0.3">
      <c r="A44" s="10" t="s">
        <v>8343</v>
      </c>
      <c r="C44">
        <v>20</v>
      </c>
      <c r="F44">
        <v>20</v>
      </c>
    </row>
    <row r="45" spans="1:6" x14ac:dyDescent="0.3">
      <c r="A45" s="10" t="s">
        <v>8323</v>
      </c>
      <c r="E45">
        <v>60</v>
      </c>
      <c r="F45">
        <v>60</v>
      </c>
    </row>
    <row r="46" spans="1:6" x14ac:dyDescent="0.3">
      <c r="A46" s="10" t="s">
        <v>8350</v>
      </c>
      <c r="C46">
        <v>20</v>
      </c>
      <c r="F46">
        <v>20</v>
      </c>
    </row>
    <row r="47" spans="1:6" x14ac:dyDescent="0.3">
      <c r="A47" s="10" t="s">
        <v>8339</v>
      </c>
      <c r="C47">
        <v>57</v>
      </c>
      <c r="E47">
        <v>103</v>
      </c>
      <c r="F47">
        <v>160</v>
      </c>
    </row>
    <row r="48" spans="1:6" x14ac:dyDescent="0.3">
      <c r="A48" s="10" t="s">
        <v>8345</v>
      </c>
      <c r="C48">
        <v>20</v>
      </c>
      <c r="F48">
        <v>20</v>
      </c>
    </row>
    <row r="49" spans="1:6" x14ac:dyDescent="0.3">
      <c r="A49" s="10" t="s">
        <v>8318</v>
      </c>
      <c r="C49">
        <v>353</v>
      </c>
      <c r="D49">
        <v>19</v>
      </c>
      <c r="E49">
        <v>694</v>
      </c>
      <c r="F49">
        <v>1066</v>
      </c>
    </row>
    <row r="50" spans="1:6" x14ac:dyDescent="0.3">
      <c r="A50" s="10" t="s">
        <v>8346</v>
      </c>
      <c r="E50">
        <v>40</v>
      </c>
      <c r="F50">
        <v>40</v>
      </c>
    </row>
    <row r="51" spans="1:6" x14ac:dyDescent="0.3">
      <c r="A51" s="10" t="s">
        <v>8342</v>
      </c>
      <c r="E51">
        <v>20</v>
      </c>
      <c r="F51">
        <v>20</v>
      </c>
    </row>
    <row r="52" spans="1:6" x14ac:dyDescent="0.3">
      <c r="A52" s="10" t="s">
        <v>8353</v>
      </c>
      <c r="C52">
        <v>20</v>
      </c>
      <c r="F52">
        <v>20</v>
      </c>
    </row>
    <row r="53" spans="1:6" x14ac:dyDescent="0.3">
      <c r="A53" s="10" t="s">
        <v>8326</v>
      </c>
      <c r="E53">
        <v>260</v>
      </c>
      <c r="F53">
        <v>260</v>
      </c>
    </row>
    <row r="54" spans="1:6" x14ac:dyDescent="0.3">
      <c r="A54" s="10" t="s">
        <v>8313</v>
      </c>
      <c r="B54">
        <v>40</v>
      </c>
      <c r="F54">
        <v>40</v>
      </c>
    </row>
    <row r="55" spans="1:6" x14ac:dyDescent="0.3">
      <c r="A55" s="10" t="s">
        <v>8312</v>
      </c>
      <c r="E55">
        <v>60</v>
      </c>
      <c r="F55">
        <v>60</v>
      </c>
    </row>
    <row r="56" spans="1:6" x14ac:dyDescent="0.3">
      <c r="A56" s="10" t="s">
        <v>8352</v>
      </c>
      <c r="D56">
        <v>6</v>
      </c>
      <c r="E56">
        <v>34</v>
      </c>
      <c r="F56">
        <v>40</v>
      </c>
    </row>
    <row r="57" spans="1:6" x14ac:dyDescent="0.3">
      <c r="A57" s="10" t="s">
        <v>8355</v>
      </c>
      <c r="B57">
        <v>18</v>
      </c>
      <c r="C57">
        <v>2</v>
      </c>
      <c r="E57">
        <v>40</v>
      </c>
      <c r="F57">
        <v>60</v>
      </c>
    </row>
    <row r="58" spans="1:6" x14ac:dyDescent="0.3">
      <c r="A58" s="10" t="s">
        <v>8357</v>
      </c>
      <c r="B58">
        <v>17</v>
      </c>
      <c r="C58">
        <v>80</v>
      </c>
      <c r="D58">
        <v>5</v>
      </c>
      <c r="E58">
        <v>85</v>
      </c>
      <c r="F58">
        <v>187</v>
      </c>
    </row>
    <row r="59" spans="1:6" x14ac:dyDescent="0.3">
      <c r="A59" s="10" t="s">
        <v>8351</v>
      </c>
      <c r="E59">
        <v>80</v>
      </c>
      <c r="F59">
        <v>80</v>
      </c>
    </row>
    <row r="60" spans="1:6" x14ac:dyDescent="0.3">
      <c r="A60" s="10" t="s">
        <v>8311</v>
      </c>
      <c r="E60">
        <v>60</v>
      </c>
      <c r="F60">
        <v>60</v>
      </c>
    </row>
    <row r="61" spans="1:6" x14ac:dyDescent="0.3">
      <c r="A61" s="10" t="s">
        <v>8341</v>
      </c>
      <c r="B61">
        <v>10</v>
      </c>
      <c r="C61">
        <v>47</v>
      </c>
      <c r="F61">
        <v>57</v>
      </c>
    </row>
    <row r="62" spans="1:6" x14ac:dyDescent="0.3">
      <c r="A62" s="10" t="s">
        <v>8334</v>
      </c>
      <c r="C62">
        <v>100</v>
      </c>
      <c r="F62">
        <v>100</v>
      </c>
    </row>
    <row r="63" spans="1:6" x14ac:dyDescent="0.3">
      <c r="A63" s="10" t="s">
        <v>8321</v>
      </c>
      <c r="B63">
        <v>60</v>
      </c>
      <c r="C63">
        <v>120</v>
      </c>
      <c r="E63">
        <v>20</v>
      </c>
      <c r="F63">
        <v>200</v>
      </c>
    </row>
    <row r="64" spans="1:6" x14ac:dyDescent="0.3">
      <c r="A64" s="10" t="s">
        <v>8320</v>
      </c>
      <c r="B64">
        <v>100</v>
      </c>
      <c r="C64">
        <v>60</v>
      </c>
      <c r="F64">
        <v>160</v>
      </c>
    </row>
    <row r="65" spans="1:6" x14ac:dyDescent="0.3">
      <c r="A65" s="10" t="s">
        <v>8340</v>
      </c>
      <c r="B65">
        <v>20</v>
      </c>
      <c r="F65">
        <v>20</v>
      </c>
    </row>
    <row r="66" spans="1:6" x14ac:dyDescent="0.3">
      <c r="A66" s="10" t="s">
        <v>8361</v>
      </c>
      <c r="B66">
        <v>349</v>
      </c>
      <c r="C66">
        <v>1530</v>
      </c>
      <c r="D66">
        <v>50</v>
      </c>
      <c r="E66">
        <v>2185</v>
      </c>
      <c r="F66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46F86-D4A7-4E1F-8E17-67E942E5CCB2}">
  <sheetPr codeName="Sheet3"/>
  <dimension ref="A1:F18"/>
  <sheetViews>
    <sheetView workbookViewId="0">
      <selection activeCell="E6" sqref="E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8308</v>
      </c>
      <c r="B1" t="s" vm="1">
        <v>8367</v>
      </c>
    </row>
    <row r="2" spans="1:6" x14ac:dyDescent="0.3">
      <c r="A2" s="9" t="s">
        <v>8389</v>
      </c>
      <c r="B2" t="s" vm="2">
        <v>8367</v>
      </c>
    </row>
    <row r="4" spans="1:6" x14ac:dyDescent="0.3">
      <c r="A4" s="9" t="s">
        <v>8362</v>
      </c>
      <c r="B4" s="9" t="s">
        <v>8363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>
        <v>1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 x14ac:dyDescent="0.3">
      <c r="A7" s="10">
        <v>2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3">
      <c r="A8" s="10">
        <v>3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3">
      <c r="A9" s="10">
        <v>4</v>
      </c>
      <c r="B9">
        <v>27</v>
      </c>
      <c r="C9">
        <v>102</v>
      </c>
      <c r="E9">
        <v>192</v>
      </c>
      <c r="F9">
        <v>321</v>
      </c>
    </row>
    <row r="10" spans="1:6" x14ac:dyDescent="0.3">
      <c r="A10" s="10">
        <v>5</v>
      </c>
      <c r="B10">
        <v>26</v>
      </c>
      <c r="C10">
        <v>126</v>
      </c>
      <c r="E10">
        <v>234</v>
      </c>
      <c r="F10">
        <v>386</v>
      </c>
    </row>
    <row r="11" spans="1:6" x14ac:dyDescent="0.3">
      <c r="A11" s="10">
        <v>6</v>
      </c>
      <c r="B11">
        <v>27</v>
      </c>
      <c r="C11">
        <v>147</v>
      </c>
      <c r="E11">
        <v>211</v>
      </c>
      <c r="F11">
        <v>385</v>
      </c>
    </row>
    <row r="12" spans="1:6" x14ac:dyDescent="0.3">
      <c r="A12" s="10">
        <v>7</v>
      </c>
      <c r="B12">
        <v>43</v>
      </c>
      <c r="C12">
        <v>150</v>
      </c>
      <c r="E12">
        <v>194</v>
      </c>
      <c r="F12">
        <v>387</v>
      </c>
    </row>
    <row r="13" spans="1:6" x14ac:dyDescent="0.3">
      <c r="A13" s="10">
        <v>8</v>
      </c>
      <c r="B13">
        <v>33</v>
      </c>
      <c r="C13">
        <v>134</v>
      </c>
      <c r="E13">
        <v>166</v>
      </c>
      <c r="F13">
        <v>333</v>
      </c>
    </row>
    <row r="14" spans="1:6" x14ac:dyDescent="0.3">
      <c r="A14" s="10">
        <v>9</v>
      </c>
      <c r="B14">
        <v>24</v>
      </c>
      <c r="C14">
        <v>127</v>
      </c>
      <c r="E14">
        <v>147</v>
      </c>
      <c r="F14">
        <v>298</v>
      </c>
    </row>
    <row r="15" spans="1:6" x14ac:dyDescent="0.3">
      <c r="A15" s="10">
        <v>10</v>
      </c>
      <c r="B15">
        <v>20</v>
      </c>
      <c r="C15">
        <v>149</v>
      </c>
      <c r="E15">
        <v>183</v>
      </c>
      <c r="F15">
        <v>352</v>
      </c>
    </row>
    <row r="16" spans="1:6" x14ac:dyDescent="0.3">
      <c r="A16" s="10">
        <v>11</v>
      </c>
      <c r="B16">
        <v>37</v>
      </c>
      <c r="C16">
        <v>114</v>
      </c>
      <c r="E16">
        <v>183</v>
      </c>
      <c r="F16">
        <v>334</v>
      </c>
    </row>
    <row r="17" spans="1:6" x14ac:dyDescent="0.3">
      <c r="A17" s="10">
        <v>12</v>
      </c>
      <c r="B17">
        <v>23</v>
      </c>
      <c r="C17">
        <v>118</v>
      </c>
      <c r="E17">
        <v>111</v>
      </c>
      <c r="F17">
        <v>252</v>
      </c>
    </row>
    <row r="18" spans="1:6" x14ac:dyDescent="0.3">
      <c r="A18" s="10" t="s">
        <v>8361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30132-07E6-4B1D-9546-6B254265D6DB}">
  <sheetPr codeName="Sheet4"/>
  <dimension ref="A1:H13"/>
  <sheetViews>
    <sheetView tabSelected="1" workbookViewId="0">
      <selection activeCell="B3" sqref="B3"/>
    </sheetView>
  </sheetViews>
  <sheetFormatPr defaultRowHeight="14.4" x14ac:dyDescent="0.3"/>
  <cols>
    <col min="1" max="1" width="26" customWidth="1"/>
    <col min="2" max="8" width="11.109375" customWidth="1"/>
  </cols>
  <sheetData>
    <row r="1" spans="1:8" ht="28.8" x14ac:dyDescent="0.3">
      <c r="A1" t="s">
        <v>8368</v>
      </c>
      <c r="B1" s="3" t="s">
        <v>8369</v>
      </c>
      <c r="C1" s="3" t="s">
        <v>8370</v>
      </c>
      <c r="D1" s="3" t="s">
        <v>8371</v>
      </c>
      <c r="E1" s="3" t="s">
        <v>8372</v>
      </c>
      <c r="F1" s="3" t="s">
        <v>8373</v>
      </c>
      <c r="G1" s="3" t="s">
        <v>8374</v>
      </c>
      <c r="H1" s="3" t="s">
        <v>8375</v>
      </c>
    </row>
    <row r="2" spans="1:8" x14ac:dyDescent="0.3">
      <c r="A2" t="s">
        <v>8376</v>
      </c>
      <c r="B2">
        <f>COUNTIFS(Table1[goal],"&lt;1000",Table1[state],"successful")</f>
        <v>322</v>
      </c>
      <c r="C2">
        <f>COUNTIFS(Table1[goal],"&lt;1000",Table1[state],"failed")</f>
        <v>113</v>
      </c>
      <c r="D2">
        <f>COUNTIFS(Table1[goal],"&lt;1000",Table1[state],"canceled")</f>
        <v>18</v>
      </c>
      <c r="E2">
        <f>SUM(BonusTable[[#This Row],[Number Successful]:[Number Canceled]])</f>
        <v>453</v>
      </c>
      <c r="F2" s="5">
        <f>BonusTable[[#This Row],[Number Successful]]/BonusTable[[#This Row],[Total Projects]]</f>
        <v>0.71081677704194257</v>
      </c>
      <c r="G2" s="5">
        <f>BonusTable[[#This Row],[Number Failed]]/BonusTable[[#This Row],[Total Projects]]</f>
        <v>0.24944812362030905</v>
      </c>
      <c r="H2" s="5">
        <f>BonusTable[[#This Row],[Number Canceled]]/BonusTable[[#This Row],[Total Projects]]</f>
        <v>3.9735099337748346E-2</v>
      </c>
    </row>
    <row r="3" spans="1:8" x14ac:dyDescent="0.3">
      <c r="A3" t="s">
        <v>8377</v>
      </c>
      <c r="B3">
        <f>COUNTIFS(Table1[goal],"&gt;=1000",Table1[goal],"&lt;=4999",Table1[state],"successful")</f>
        <v>932</v>
      </c>
      <c r="C3">
        <f>COUNTIFS(Table1[goal],"&gt;=1000",Table1[goal],"&lt;=4999",Table1[state],"failed")</f>
        <v>420</v>
      </c>
      <c r="D3">
        <f>COUNTIFS(Table1[goal],"&gt;=1000",Table1[goal],"&lt;=4999",Table1[state],"canceled")</f>
        <v>60</v>
      </c>
      <c r="E3">
        <f>SUM(BonusTable[[#This Row],[Number Successful]:[Number Canceled]])</f>
        <v>1412</v>
      </c>
      <c r="F3" s="5">
        <f>BonusTable[[#This Row],[Number Successful]]/BonusTable[[#This Row],[Total Projects]]</f>
        <v>0.66005665722379603</v>
      </c>
      <c r="G3" s="5">
        <f>BonusTable[[#This Row],[Number Failed]]/BonusTable[[#This Row],[Total Projects]]</f>
        <v>0.29745042492917845</v>
      </c>
      <c r="H3" s="5">
        <f>BonusTable[[#This Row],[Number Canceled]]/BonusTable[[#This Row],[Total Projects]]</f>
        <v>4.2492917847025496E-2</v>
      </c>
    </row>
    <row r="4" spans="1:8" x14ac:dyDescent="0.3">
      <c r="A4" t="s">
        <v>8378</v>
      </c>
      <c r="B4">
        <f>COUNTIFS(Table1[goal],"&gt;=5000",Table1[goal],"&lt;=9999",Table1[state],"successful")</f>
        <v>381</v>
      </c>
      <c r="C4">
        <f>COUNTIFS(Table1[goal],"&gt;=5000",Table1[goal],"&lt;=9999",Table1[state],"failed")</f>
        <v>283</v>
      </c>
      <c r="D4">
        <f>COUNTIFS(Table1[goal],"&gt;=5000",Table1[goal],"&lt;=9999",Table1[state],"canceled")</f>
        <v>52</v>
      </c>
      <c r="E4">
        <f>SUM(BonusTable[[#This Row],[Number Successful]:[Number Canceled]])</f>
        <v>716</v>
      </c>
      <c r="F4" s="5">
        <f>BonusTable[[#This Row],[Number Successful]]/BonusTable[[#This Row],[Total Projects]]</f>
        <v>0.53212290502793291</v>
      </c>
      <c r="G4" s="5">
        <f>BonusTable[[#This Row],[Number Failed]]/BonusTable[[#This Row],[Total Projects]]</f>
        <v>0.39525139664804471</v>
      </c>
      <c r="H4" s="5">
        <f>BonusTable[[#This Row],[Number Canceled]]/BonusTable[[#This Row],[Total Projects]]</f>
        <v>7.2625698324022353E-2</v>
      </c>
    </row>
    <row r="5" spans="1:8" x14ac:dyDescent="0.3">
      <c r="A5" t="s">
        <v>8379</v>
      </c>
      <c r="B5">
        <f>COUNTIFS(Table1[goal],"&gt;=10000",Table1[goal],"&lt;=14999",Table1[state],"successful")</f>
        <v>168</v>
      </c>
      <c r="C5">
        <f>COUNTIFS(Table1[goal],"&gt;=10000",Table1[goal],"&lt;=14999",Table1[state],"failed")</f>
        <v>144</v>
      </c>
      <c r="D5">
        <f>COUNTIFS(Table1[goal],"&gt;=10000",Table1[goal],"&lt;=14999",Table1[state],"canceled")</f>
        <v>40</v>
      </c>
      <c r="E5">
        <f>SUM(BonusTable[[#This Row],[Number Successful]:[Number Canceled]])</f>
        <v>352</v>
      </c>
      <c r="F5" s="5">
        <f>BonusTable[[#This Row],[Number Successful]]/BonusTable[[#This Row],[Total Projects]]</f>
        <v>0.47727272727272729</v>
      </c>
      <c r="G5" s="5">
        <f>BonusTable[[#This Row],[Number Failed]]/BonusTable[[#This Row],[Total Projects]]</f>
        <v>0.40909090909090912</v>
      </c>
      <c r="H5" s="5">
        <f>BonusTable[[#This Row],[Number Canceled]]/BonusTable[[#This Row],[Total Projects]]</f>
        <v>0.11363636363636363</v>
      </c>
    </row>
    <row r="6" spans="1:8" x14ac:dyDescent="0.3">
      <c r="A6" t="s">
        <v>8380</v>
      </c>
      <c r="B6">
        <f>COUNTIFS(Table1[goal],"&gt;=15000",Table1[goal],"&lt;=19999",Table1[state],"successful")</f>
        <v>94</v>
      </c>
      <c r="C6">
        <f>COUNTIFS(Table1[goal],"&gt;=15000",Table1[goal],"&lt;=19999",Table1[state],"failed")</f>
        <v>90</v>
      </c>
      <c r="D6">
        <f>COUNTIFS(Table1[goal],"&gt;=15000",Table1[goal],"&lt;=19999",Table1[state],"canceled")</f>
        <v>17</v>
      </c>
      <c r="E6">
        <f>SUM(BonusTable[[#This Row],[Number Successful]:[Number Canceled]])</f>
        <v>201</v>
      </c>
      <c r="F6" s="5">
        <f>BonusTable[[#This Row],[Number Successful]]/BonusTable[[#This Row],[Total Projects]]</f>
        <v>0.46766169154228854</v>
      </c>
      <c r="G6" s="5">
        <f>BonusTable[[#This Row],[Number Failed]]/BonusTable[[#This Row],[Total Projects]]</f>
        <v>0.44776119402985076</v>
      </c>
      <c r="H6" s="5">
        <f>BonusTable[[#This Row],[Number Canceled]]/BonusTable[[#This Row],[Total Projects]]</f>
        <v>8.45771144278607E-2</v>
      </c>
    </row>
    <row r="7" spans="1:8" x14ac:dyDescent="0.3">
      <c r="A7" t="s">
        <v>8381</v>
      </c>
      <c r="B7">
        <f>COUNTIFS(Table1[goal],"&gt;=20000",Table1[goal],"&lt;=24999",Table1[state],"successful")</f>
        <v>62</v>
      </c>
      <c r="C7">
        <f>COUNTIFS(Table1[goal],"&gt;=20000",Table1[goal],"&lt;=24999",Table1[state],"failed")</f>
        <v>72</v>
      </c>
      <c r="D7">
        <f>COUNTIFS(Table1[goal],"&gt;=20000",Table1[goal],"&lt;=24999",Table1[state],"canceled")</f>
        <v>14</v>
      </c>
      <c r="E7">
        <f>SUM(BonusTable[[#This Row],[Number Successful]:[Number Canceled]])</f>
        <v>148</v>
      </c>
      <c r="F7" s="5">
        <f>BonusTable[[#This Row],[Number Successful]]/BonusTable[[#This Row],[Total Projects]]</f>
        <v>0.41891891891891891</v>
      </c>
      <c r="G7" s="5">
        <f>BonusTable[[#This Row],[Number Failed]]/BonusTable[[#This Row],[Total Projects]]</f>
        <v>0.48648648648648651</v>
      </c>
      <c r="H7" s="5">
        <f>BonusTable[[#This Row],[Number Canceled]]/BonusTable[[#This Row],[Total Projects]]</f>
        <v>9.45945945945946E-2</v>
      </c>
    </row>
    <row r="8" spans="1:8" x14ac:dyDescent="0.3">
      <c r="A8" t="s">
        <v>8382</v>
      </c>
      <c r="B8">
        <f>COUNTIFS(Table1[goal],"&gt;=25000",Table1[goal],"&lt;=29999",Table1[state],"successful")</f>
        <v>55</v>
      </c>
      <c r="C8">
        <f>COUNTIFS(Table1[goal],"&gt;=25000",Table1[goal],"&lt;=29999",Table1[state],"failed")</f>
        <v>64</v>
      </c>
      <c r="D8">
        <f>COUNTIFS(Table1[goal],"&gt;=25000",Table1[goal],"&lt;=29999",Table1[state],"canceled")</f>
        <v>18</v>
      </c>
      <c r="E8">
        <f>SUM(BonusTable[[#This Row],[Number Successful]:[Number Canceled]])</f>
        <v>137</v>
      </c>
      <c r="F8" s="5">
        <f>BonusTable[[#This Row],[Number Successful]]/BonusTable[[#This Row],[Total Projects]]</f>
        <v>0.40145985401459855</v>
      </c>
      <c r="G8" s="5">
        <f>BonusTable[[#This Row],[Number Failed]]/BonusTable[[#This Row],[Total Projects]]</f>
        <v>0.46715328467153283</v>
      </c>
      <c r="H8" s="5">
        <f>BonusTable[[#This Row],[Number Canceled]]/BonusTable[[#This Row],[Total Projects]]</f>
        <v>0.13138686131386862</v>
      </c>
    </row>
    <row r="9" spans="1:8" x14ac:dyDescent="0.3">
      <c r="A9" t="s">
        <v>8383</v>
      </c>
      <c r="B9">
        <f>COUNTIFS(Table1[goal],"&gt;=30000",Table1[goal],"&lt;=34999",Table1[state],"successful")</f>
        <v>32</v>
      </c>
      <c r="C9">
        <f>COUNTIFS(Table1[goal],"&gt;=30000",Table1[goal],"&lt;=34999",Table1[state],"failed")</f>
        <v>37</v>
      </c>
      <c r="D9">
        <f>COUNTIFS(Table1[goal],"&gt;=30000",Table1[goal],"&lt;=34999",Table1[state],"canceled")</f>
        <v>13</v>
      </c>
      <c r="E9">
        <f>SUM(BonusTable[[#This Row],[Number Successful]:[Number Canceled]])</f>
        <v>82</v>
      </c>
      <c r="F9" s="5">
        <f>BonusTable[[#This Row],[Number Successful]]/BonusTable[[#This Row],[Total Projects]]</f>
        <v>0.3902439024390244</v>
      </c>
      <c r="G9" s="5">
        <f>BonusTable[[#This Row],[Number Failed]]/BonusTable[[#This Row],[Total Projects]]</f>
        <v>0.45121951219512196</v>
      </c>
      <c r="H9" s="5">
        <f>BonusTable[[#This Row],[Number Canceled]]/BonusTable[[#This Row],[Total Projects]]</f>
        <v>0.15853658536585366</v>
      </c>
    </row>
    <row r="10" spans="1:8" x14ac:dyDescent="0.3">
      <c r="A10" t="s">
        <v>8384</v>
      </c>
      <c r="B10">
        <f>COUNTIFS(Table1[goal],"&gt;=35000",Table1[goal],"&lt;=39999",Table1[state],"successful")</f>
        <v>26</v>
      </c>
      <c r="C10">
        <f>COUNTIFS(Table1[goal],"&gt;=35000",Table1[goal],"&lt;=39999",Table1[state],"failed")</f>
        <v>22</v>
      </c>
      <c r="D10">
        <f>COUNTIFS(Table1[goal],"&gt;=35000",Table1[goal],"&lt;=39999",Table1[state],"canceled")</f>
        <v>7</v>
      </c>
      <c r="E10">
        <f>SUM(BonusTable[[#This Row],[Number Successful]:[Number Canceled]])</f>
        <v>55</v>
      </c>
      <c r="F10" s="5">
        <f>BonusTable[[#This Row],[Number Successful]]/BonusTable[[#This Row],[Total Projects]]</f>
        <v>0.47272727272727272</v>
      </c>
      <c r="G10" s="5">
        <f>BonusTable[[#This Row],[Number Failed]]/BonusTable[[#This Row],[Total Projects]]</f>
        <v>0.4</v>
      </c>
      <c r="H10" s="5">
        <f>BonusTable[[#This Row],[Number Canceled]]/BonusTable[[#This Row],[Total Projects]]</f>
        <v>0.12727272727272726</v>
      </c>
    </row>
    <row r="11" spans="1:8" x14ac:dyDescent="0.3">
      <c r="A11" t="s">
        <v>8385</v>
      </c>
      <c r="B11">
        <f>COUNTIFS(Table1[goal],"&gt;=40000",Table1[goal],"&lt;=44999",Table1[state],"successful")</f>
        <v>21</v>
      </c>
      <c r="C11">
        <f>COUNTIFS(Table1[goal],"&gt;=40000",Table1[goal],"&lt;=44999",Table1[state],"failed")</f>
        <v>16</v>
      </c>
      <c r="D11">
        <f>COUNTIFS(Table1[goal],"&gt;=40000",Table1[goal],"&lt;=44999",Table1[state],"canceled")</f>
        <v>6</v>
      </c>
      <c r="E11">
        <f>SUM(BonusTable[[#This Row],[Number Successful]:[Number Canceled]])</f>
        <v>43</v>
      </c>
      <c r="F11" s="5">
        <f>BonusTable[[#This Row],[Number Successful]]/BonusTable[[#This Row],[Total Projects]]</f>
        <v>0.48837209302325579</v>
      </c>
      <c r="G11" s="5">
        <f>BonusTable[[#This Row],[Number Failed]]/BonusTable[[#This Row],[Total Projects]]</f>
        <v>0.37209302325581395</v>
      </c>
      <c r="H11" s="5">
        <f>BonusTable[[#This Row],[Number Canceled]]/BonusTable[[#This Row],[Total Projects]]</f>
        <v>0.13953488372093023</v>
      </c>
    </row>
    <row r="12" spans="1:8" x14ac:dyDescent="0.3">
      <c r="A12" t="s">
        <v>8386</v>
      </c>
      <c r="B12">
        <f>COUNTIFS(Table1[goal],"&gt;=45000",Table1[goal],"&lt;=49999",Table1[state],"successful")</f>
        <v>6</v>
      </c>
      <c r="C12">
        <f>COUNTIFS(Table1[goal],"&gt;=45000",Table1[goal],"&lt;=49999",Table1[state],"failed")</f>
        <v>11</v>
      </c>
      <c r="D12">
        <f>COUNTIFS(Table1[goal],"&gt;=45000",Table1[goal],"&lt;=49999",Table1[state],"canceled")</f>
        <v>4</v>
      </c>
      <c r="E12">
        <f>SUM(BonusTable[[#This Row],[Number Successful]:[Number Canceled]])</f>
        <v>21</v>
      </c>
      <c r="F12" s="5">
        <f>BonusTable[[#This Row],[Number Successful]]/BonusTable[[#This Row],[Total Projects]]</f>
        <v>0.2857142857142857</v>
      </c>
      <c r="G12" s="5">
        <f>BonusTable[[#This Row],[Number Failed]]/BonusTable[[#This Row],[Total Projects]]</f>
        <v>0.52380952380952384</v>
      </c>
      <c r="H12" s="5">
        <f>BonusTable[[#This Row],[Number Canceled]]/BonusTable[[#This Row],[Total Projects]]</f>
        <v>0.19047619047619047</v>
      </c>
    </row>
    <row r="13" spans="1:8" x14ac:dyDescent="0.3">
      <c r="A13" t="s">
        <v>8387</v>
      </c>
      <c r="B13">
        <f>COUNTIFS(Table1[goal],"&gt;=50000",Table1[state],"successful")</f>
        <v>86</v>
      </c>
      <c r="C13">
        <f>COUNTIFS(Table1[goal],"&gt;=50000",Table1[state],"failed")</f>
        <v>258</v>
      </c>
      <c r="D13">
        <f>COUNTIFS(Table1[goal],"&gt;=50000",Table1[state],"canceled")</f>
        <v>100</v>
      </c>
      <c r="E13">
        <f>SUM(BonusTable[[#This Row],[Number Successful]:[Number Canceled]])</f>
        <v>444</v>
      </c>
      <c r="F13" s="5">
        <f>BonusTable[[#This Row],[Number Successful]]/BonusTable[[#This Row],[Total Projects]]</f>
        <v>0.19369369369369369</v>
      </c>
      <c r="G13" s="5">
        <f>BonusTable[[#This Row],[Number Failed]]/BonusTable[[#This Row],[Total Projects]]</f>
        <v>0.58108108108108103</v>
      </c>
      <c r="H13" s="5">
        <f>BonusTable[[#This Row],[Number Canceled]]/BonusTable[[#This Row],[Total Projects]]</f>
        <v>0.22522522522522523</v>
      </c>
    </row>
  </sheetData>
  <pageMargins left="0.7" right="0.7" top="0.75" bottom="0.75" header="0.3" footer="0.3"/>
  <ignoredErrors>
    <ignoredError sqref="B3 B4:B13" calculatedColumn="1"/>
  </ignoredErrors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</vt:lpstr>
      <vt:lpstr>Category and Subcategory Pivot</vt:lpstr>
      <vt:lpstr>Date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Megan Jones</cp:lastModifiedBy>
  <dcterms:created xsi:type="dcterms:W3CDTF">2017-04-20T15:17:24Z</dcterms:created>
  <dcterms:modified xsi:type="dcterms:W3CDTF">2019-02-27T19:06:30Z</dcterms:modified>
</cp:coreProperties>
</file>