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c8dc3d867d216b/Desktop/PersonalProjects/NEABrazil/"/>
    </mc:Choice>
  </mc:AlternateContent>
  <xr:revisionPtr revIDLastSave="0" documentId="8_{F1BD47FC-AB71-4348-A339-9CB2F21D51C1}" xr6:coauthVersionLast="45" xr6:coauthVersionMax="45" xr10:uidLastSave="{00000000-0000-0000-0000-000000000000}"/>
  <bookViews>
    <workbookView xWindow="-108" yWindow="-108" windowWidth="23256" windowHeight="12576" activeTab="2" xr2:uid="{B9232670-C64F-403B-8FF9-F4404D0041ED}"/>
  </bookViews>
  <sheets>
    <sheet name="Sheet1" sheetId="1" r:id="rId1"/>
    <sheet name="Part 5" sheetId="2" r:id="rId2"/>
    <sheet name="Pt 4" sheetId="4" r:id="rId3"/>
    <sheet name="Paper Forma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4" l="1"/>
  <c r="D26" i="4"/>
  <c r="E26" i="4"/>
  <c r="F26" i="4"/>
  <c r="G26" i="4"/>
  <c r="C27" i="4"/>
  <c r="D27" i="4"/>
  <c r="E27" i="4"/>
  <c r="F27" i="4"/>
  <c r="G27" i="4"/>
  <c r="C28" i="4"/>
  <c r="D28" i="4"/>
  <c r="E28" i="4"/>
  <c r="F28" i="4"/>
  <c r="G28" i="4"/>
  <c r="C29" i="4"/>
  <c r="D29" i="4"/>
  <c r="E29" i="4"/>
  <c r="F29" i="4"/>
  <c r="G29" i="4"/>
  <c r="B29" i="4"/>
  <c r="B28" i="4"/>
  <c r="B27" i="4"/>
  <c r="B26" i="4"/>
  <c r="B13" i="3"/>
  <c r="C13" i="3"/>
  <c r="B14" i="3"/>
  <c r="C14" i="3"/>
  <c r="B15" i="3"/>
  <c r="C15" i="3"/>
  <c r="C12" i="3"/>
  <c r="B12" i="3"/>
  <c r="C5" i="3"/>
  <c r="B5" i="3"/>
  <c r="C4" i="3"/>
  <c r="B4" i="3"/>
  <c r="C3" i="3"/>
  <c r="B3" i="3"/>
  <c r="C2" i="3"/>
  <c r="B2" i="3"/>
  <c r="B26" i="2"/>
  <c r="C26" i="2"/>
  <c r="B27" i="2"/>
  <c r="C27" i="2"/>
  <c r="B28" i="2"/>
  <c r="C28" i="2"/>
  <c r="B29" i="2"/>
  <c r="C29" i="2"/>
  <c r="J5" i="3" l="1"/>
  <c r="I5" i="3"/>
  <c r="H5" i="3"/>
  <c r="G5" i="3"/>
  <c r="F5" i="3"/>
  <c r="E5" i="3"/>
  <c r="D5" i="3"/>
  <c r="J4" i="3"/>
  <c r="I4" i="3"/>
  <c r="H4" i="3"/>
  <c r="G4" i="3"/>
  <c r="F4" i="3"/>
  <c r="E4" i="3"/>
  <c r="D4" i="3"/>
  <c r="J3" i="3"/>
  <c r="I3" i="3"/>
  <c r="H3" i="3"/>
  <c r="G3" i="3"/>
  <c r="F3" i="3"/>
  <c r="E3" i="3"/>
  <c r="D3" i="3"/>
  <c r="J2" i="3"/>
  <c r="I2" i="3"/>
  <c r="H2" i="3"/>
  <c r="G2" i="3"/>
  <c r="F2" i="3"/>
  <c r="E2" i="3"/>
  <c r="D2" i="3"/>
  <c r="E28" i="2"/>
  <c r="F28" i="2"/>
  <c r="G28" i="2"/>
  <c r="H28" i="2"/>
  <c r="I28" i="2"/>
  <c r="J28" i="2"/>
  <c r="D28" i="2"/>
  <c r="E27" i="2"/>
  <c r="F27" i="2"/>
  <c r="G27" i="2"/>
  <c r="H27" i="2"/>
  <c r="I27" i="2"/>
  <c r="J27" i="2"/>
  <c r="E29" i="2"/>
  <c r="F29" i="2"/>
  <c r="G29" i="2"/>
  <c r="H29" i="2"/>
  <c r="I29" i="2"/>
  <c r="J29" i="2"/>
  <c r="D29" i="2"/>
  <c r="D27" i="2"/>
  <c r="E26" i="2"/>
  <c r="F26" i="2"/>
  <c r="G26" i="2"/>
  <c r="H26" i="2"/>
  <c r="I26" i="2"/>
  <c r="J26" i="2"/>
  <c r="D26" i="2"/>
</calcChain>
</file>

<file path=xl/sharedStrings.xml><?xml version="1.0" encoding="utf-8"?>
<sst xmlns="http://schemas.openxmlformats.org/spreadsheetml/2006/main" count="228" uniqueCount="54">
  <si>
    <t>..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</si>
  <si>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</si>
  <si>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</si>
  <si>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</si>
  <si>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</si>
  <si>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</si>
  <si>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</si>
  <si>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</si>
  <si>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</si>
  <si>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</si>
  <si>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</si>
  <si>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</si>
  <si>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</si>
  <si>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</si>
  <si>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</si>
  <si>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</si>
  <si>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</si>
  <si>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</si>
  <si>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</si>
  <si>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</si>
  <si>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</si>
  <si>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General Government Final Expenditure (G)</t>
  </si>
  <si>
    <t>Exports of Goods &amp; Services (X)</t>
  </si>
  <si>
    <t>Imports of Goods &amp; Services (M)</t>
  </si>
  <si>
    <t>Current Account Balance (CA)</t>
  </si>
  <si>
    <t>Current Account Balance (% of GDP; CA)</t>
  </si>
  <si>
    <t>Tax Revenue (% of GDP; T)</t>
  </si>
  <si>
    <t>External Balance of Goods &amp; Services (X-M)</t>
  </si>
  <si>
    <t>Foreign Direct Investment, net inflows (FDI)</t>
  </si>
  <si>
    <t>Tax Revenue (T)</t>
  </si>
  <si>
    <t>N/A</t>
  </si>
  <si>
    <t>Year</t>
  </si>
  <si>
    <t>2004-2008</t>
  </si>
  <si>
    <t>2014-2018</t>
  </si>
  <si>
    <t>1999-2003</t>
  </si>
  <si>
    <t>2009-2013</t>
  </si>
  <si>
    <t>T</t>
  </si>
  <si>
    <t>G</t>
  </si>
  <si>
    <t>X</t>
  </si>
  <si>
    <t>M</t>
  </si>
  <si>
    <t>CA</t>
  </si>
  <si>
    <t>X-M</t>
  </si>
  <si>
    <t>FDI</t>
  </si>
  <si>
    <t>Savings (Gross Domestic Savings)</t>
  </si>
  <si>
    <t>Investment (Gross Capital Formation)</t>
  </si>
  <si>
    <t>Periods</t>
  </si>
  <si>
    <t>S</t>
  </si>
  <si>
    <t>I</t>
  </si>
  <si>
    <t>I-S</t>
  </si>
  <si>
    <t>M-X</t>
  </si>
  <si>
    <t>Y</t>
  </si>
  <si>
    <t>n</t>
  </si>
  <si>
    <t>g</t>
  </si>
  <si>
    <t>Y/L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</si>
</sst>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8" xfId="0" applyBorder="1"/>
    <xf numFmtId="0" fontId="0" fillId="0" borderId="9" xfId="0" applyBorder="1"/>
    <xf numFmtId="16" fontId="0" fillId="0" borderId="0" xfId="0" applyNumberFormat="1"/>
    <xf numFmtId="0" fontId="3" fillId="2" borderId="1" xfId="0" applyFont="1" applyFill="1" applyBorder="1"/>
    <xf numFmtId="0" fontId="0" fillId="5" borderId="12" xfId="0" applyFont="1" applyFill="1" applyBorder="1"/>
    <xf numFmtId="0" fontId="0" fillId="0" borderId="12" xfId="0" applyFont="1" applyBorder="1"/>
    <xf numFmtId="1" fontId="0" fillId="3" borderId="2" xfId="0" applyNumberFormat="1" applyFill="1" applyBorder="1"/>
    <xf numFmtId="1" fontId="0" fillId="3" borderId="7" xfId="0" applyNumberFormat="1" applyFill="1" applyBorder="1"/>
    <xf numFmtId="0" fontId="3" fillId="2" borderId="1" xfId="0" applyFont="1" applyFill="1" applyBorder="1" applyAlignment="1">
      <alignment horizontal="center" vertical="center"/>
    </xf>
    <xf numFmtId="0" fontId="0" fillId="5" borderId="10" xfId="0" applyFill="1" applyBorder="1"/>
    <xf numFmtId="2" fontId="0" fillId="5" borderId="10" xfId="0" applyNumberFormat="1" applyFill="1" applyBorder="1"/>
    <xf numFmtId="2" fontId="0" fillId="0" borderId="1" xfId="0" applyNumberFormat="1" applyBorder="1"/>
    <xf numFmtId="0" fontId="0" fillId="5" borderId="1" xfId="0" applyFill="1" applyBorder="1"/>
    <xf numFmtId="2" fontId="0" fillId="5" borderId="1" xfId="0" applyNumberFormat="1" applyFill="1" applyBorder="1"/>
    <xf numFmtId="0" fontId="0" fillId="0" borderId="11" xfId="0" applyBorder="1"/>
    <xf numFmtId="2" fontId="0" fillId="0" borderId="11" xfId="0" applyNumberFormat="1" applyBorder="1"/>
    <xf numFmtId="0" fontId="0" fillId="0" borderId="10" xfId="0" applyBorder="1"/>
    <xf numFmtId="2" fontId="0" fillId="0" borderId="10" xfId="0" applyNumberFormat="1" applyBorder="1"/>
    <xf numFmtId="0" fontId="0" fillId="5" borderId="11" xfId="0" applyFill="1" applyBorder="1"/>
    <xf numFmtId="2" fontId="0" fillId="5" borderId="11" xfId="0" applyNumberFormat="1" applyFill="1" applyBorder="1"/>
    <xf numFmtId="170" fontId="0" fillId="0" borderId="0" xfId="0" applyNumberFormat="1"/>
    <xf numFmtId="0" fontId="2" fillId="4" borderId="12" xfId="0" applyFont="1" applyFill="1" applyBorder="1"/>
    <xf numFmtId="16" fontId="0" fillId="0" borderId="12" xfId="0" applyNumberFormat="1" applyFont="1" applyBorder="1"/>
    <xf numFmtId="0" fontId="4" fillId="6" borderId="13" xfId="0" applyFont="1" applyFill="1" applyBorder="1"/>
    <xf numFmtId="2" fontId="0" fillId="0" borderId="0" xfId="0" applyNumberFormat="1"/>
  </cellXfs>
  <cellStyles count="1">
    <cellStyle name="Normal" xfId="0" builtinId="0"/>
  </cellStyles>
  <dxfs count="4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left style="thin">
          <color theme="4" tint="0.39997558519241921"/>
        </left>
      </border>
    </dxf>
    <dxf>
      <numFmt numFmtId="170" formatCode="0.000"/>
    </dxf>
    <dxf>
      <numFmt numFmtId="170" formatCode="0.000"/>
    </dxf>
    <dxf>
      <numFmt numFmtId="170" formatCode="0.000"/>
    </dxf>
    <dxf>
      <numFmt numFmtId="170" formatCode="0.000"/>
    </dxf>
    <dxf>
      <numFmt numFmtId="170" formatCode="0.000"/>
    </dxf>
    <dxf>
      <numFmt numFmtId="170" formatCode="0.000"/>
    </dxf>
    <dxf>
      <numFmt numFmtId="170" formatCode="0.000"/>
    </dxf>
    <dxf>
      <numFmt numFmtId="170" formatCode="0.000"/>
    </dxf>
    <dxf>
      <numFmt numFmtId="170" formatCode="0.000"/>
    </dxf>
    <dxf>
      <numFmt numFmtId="1" formatCode="0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4BD681-4A3F-491A-8A2C-7F3B62A2400A}" name="Table1" displayName="Table1" ref="A1:J22" totalsRowShown="0" headerRowDxfId="33" headerRowBorderDxfId="41" tableBorderDxfId="42" totalsRowBorderDxfId="40">
  <autoFilter ref="A1:J22" xr:uid="{A06AC5FD-2242-4B7F-9F1B-1649C59441CA}"/>
  <tableColumns count="10">
    <tableColumn id="1" xr3:uid="{C3D17DD5-6D50-43CC-BAC7-8A882FE25675}" name="Year" dataDxfId="30"/>
    <tableColumn id="10" xr3:uid="{3E33DDC4-5382-46F2-881F-CDA978D46D00}" name="Savings (Gross Domestic Savings)" dataDxfId="28"/>
    <tableColumn id="9" xr3:uid="{22CAC232-2B70-457C-B7DC-AE28439FF816}" name="Investment (Gross Capital Formation)" dataDxfId="27"/>
    <tableColumn id="2" xr3:uid="{4127AD05-F80D-44B6-963A-F0A28AF2662F}" name="Tax Revenue (T)" dataDxfId="31"/>
    <tableColumn id="3" xr3:uid="{7EA8B3F5-536B-41DE-916C-DAA789247B7E}" name="General Government Final Expenditure (G)" dataDxfId="39"/>
    <tableColumn id="4" xr3:uid="{0BA26676-27F9-449D-8751-02801750C2A7}" name="Exports of Goods &amp; Services (X)" dataDxfId="38"/>
    <tableColumn id="5" xr3:uid="{C4DE4037-929F-46CD-A64F-A413FCB49295}" name="Imports of Goods &amp; Services (M)" dataDxfId="37"/>
    <tableColumn id="6" xr3:uid="{06F4EE11-57AF-4CBE-9AD7-FEA3B134A015}" name="Current Account Balance (CA)" dataDxfId="36"/>
    <tableColumn id="7" xr3:uid="{013A1E8F-6836-467F-AFA8-79FC20557F74}" name="External Balance of Goods &amp; Services (X-M)" dataDxfId="35"/>
    <tableColumn id="8" xr3:uid="{BFBE432B-D2B6-4EF4-A193-5D6DF772E1FB}" name="Foreign Direct Investment, net inflows (FDI)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90F912-04C6-4ED4-9E5F-B924F0A16EAA}" name="Table2" displayName="Table2" ref="A25:J29" totalsRowShown="0" headerRowDxfId="32">
  <autoFilter ref="A25:J29" xr:uid="{BB080E87-179B-4C31-B869-078185181332}"/>
  <tableColumns count="10">
    <tableColumn id="1" xr3:uid="{88D42A7E-A10F-48BF-AD78-F3D7ADB5CF9C}" name="Periods"/>
    <tableColumn id="10" xr3:uid="{33D08822-1077-4B7F-8C40-99802DF086F3}" name="Savings (Gross Domestic Savings)"/>
    <tableColumn id="9" xr3:uid="{85698127-F9FC-4EB2-803B-2CA8C90AFD75}" name="Investment (Gross Capital Formation)"/>
    <tableColumn id="2" xr3:uid="{4C4EE673-8E5B-4D89-9C8E-FAC414F9326B}" name="Tax Revenue (T)">
      <calculatedColumnFormula>AVERAGEIF(Table1[[Year]:[Year]],"&lt;=2003",Table1[Tax Revenue (T)])</calculatedColumnFormula>
    </tableColumn>
    <tableColumn id="3" xr3:uid="{62D78496-C6DF-46E0-A360-363CA844F223}" name="General Government Final Expenditure (G)"/>
    <tableColumn id="4" xr3:uid="{057A1739-C4C4-4048-B1C5-6BB7B21C5C54}" name="Exports of Goods &amp; Services (X)"/>
    <tableColumn id="5" xr3:uid="{CF6AB875-5CE6-4827-9FA3-C17BB3DE4A38}" name="Imports of Goods &amp; Services (M)"/>
    <tableColumn id="6" xr3:uid="{08EDB468-569C-47AF-8D0F-65F7416BEF43}" name="Current Account Balance (CA)"/>
    <tableColumn id="7" xr3:uid="{FF9B86BB-824A-4DA0-A553-35AEC1F6D548}" name="External Balance of Goods &amp; Services (X-M)"/>
    <tableColumn id="8" xr3:uid="{6682B53A-7AC3-4172-9FE6-1BE2A8C88013}" name="Foreign Direct Investment, net inflows (FDI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4AA891-67CA-4310-AD97-99A05C20A45F}" name="Table5" displayName="Table5" ref="A1:G21" totalsRowShown="0" headerRowDxfId="7" headerRowBorderDxfId="15" tableBorderDxfId="16">
  <autoFilter ref="A1:G21" xr:uid="{1A29FF47-5386-4B87-BC1A-BBBFD9EB037C}"/>
  <tableColumns count="7">
    <tableColumn id="1" xr3:uid="{C4362CF6-B076-4C34-BC48-2EF9D2AE1F5F}" name="Year" dataDxfId="14"/>
    <tableColumn id="2" xr3:uid="{D4EE2CAB-3EE3-477C-900B-00A05E50280E}" name="S" dataDxfId="13"/>
    <tableColumn id="3" xr3:uid="{18D1F095-8649-4EE4-A6F6-C6887D82E640}" name="I" dataDxfId="12"/>
    <tableColumn id="4" xr3:uid="{22D95428-3108-44EF-B21D-E7212EB9C92C}" name="Y" dataDxfId="11"/>
    <tableColumn id="5" xr3:uid="{28E93866-07D3-4559-B485-1A47FFDC95A0}" name="n" dataDxfId="10"/>
    <tableColumn id="6" xr3:uid="{97E6B3B4-1271-4D50-8CAA-1E32E4A7C932}" name="g" dataDxfId="9"/>
    <tableColumn id="7" xr3:uid="{B5D32B1B-675F-458F-B9C0-53F52F4A6CB4}" name="Y/L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39765F-DF4B-4744-9DD8-5D1C59AFA9F2}" name="Table6" displayName="Table6" ref="A25:G29" totalsRowShown="0" tableBorderDxfId="6">
  <autoFilter ref="A25:G29" xr:uid="{0C4E69F7-5093-4ECA-82E6-7BFB80A01EAB}"/>
  <tableColumns count="7">
    <tableColumn id="1" xr3:uid="{F7A0EE1E-01BA-4754-98F4-2F65B329B999}" name="Periods"/>
    <tableColumn id="2" xr3:uid="{2C8B29CD-CEEA-427C-A25F-7F5DDCA7D641}" name="S" dataDxfId="5"/>
    <tableColumn id="3" xr3:uid="{09DF99BB-C62B-41C8-8CD3-C0CFEACC60F9}" name="I" dataDxfId="4"/>
    <tableColumn id="4" xr3:uid="{B634DE01-93A0-4991-801A-7FEF6B3E899F}" name="Y" dataDxfId="3"/>
    <tableColumn id="5" xr3:uid="{C33958AD-6945-4BEA-8EDE-7D02C08D65CE}" name="n" dataDxfId="2"/>
    <tableColumn id="6" xr3:uid="{18BEC948-8773-491F-A156-577AC2028BA4}" name="g" dataDxfId="1"/>
    <tableColumn id="7" xr3:uid="{B4782044-91E7-4B19-81DE-CBE253EDF324}" name="Y/L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F292C5-C631-483C-B043-636A95869E01}" name="Table24" displayName="Table24" ref="A1:J5" totalsRowShown="0" headerRowDxfId="29">
  <autoFilter ref="A1:J5" xr:uid="{3A75D8E0-921C-4C17-B708-57DA7DE10A07}"/>
  <tableColumns count="10">
    <tableColumn id="1" xr3:uid="{2D2062D3-A767-453D-8FB7-874B1B57074B}" name="Periods"/>
    <tableColumn id="10" xr3:uid="{E2FB5247-1FF0-4A06-9073-A4AF1ACDE40A}" name="S" dataDxfId="26"/>
    <tableColumn id="9" xr3:uid="{C555C78D-BB13-45B0-B81D-7BD2BE11B6A9}" name="I" dataDxfId="25"/>
    <tableColumn id="2" xr3:uid="{8842AC76-C422-4703-AE78-831A10CDA6FD}" name="T" dataDxfId="24">
      <calculatedColumnFormula>AVERAGEIF(Table1[[Year]:[Year]],"&lt;=2003",Table1[Tax Revenue (T)])</calculatedColumnFormula>
    </tableColumn>
    <tableColumn id="3" xr3:uid="{9C9447C1-E622-4136-B004-B9EA787E4E91}" name="G" dataDxfId="23"/>
    <tableColumn id="4" xr3:uid="{BA1CC80B-1BD1-4EA8-9A4B-12B8250A99F7}" name="X" dataDxfId="22"/>
    <tableColumn id="5" xr3:uid="{2CE0EE08-B78C-4997-812E-E20263A50CC6}" name="M" dataDxfId="21"/>
    <tableColumn id="6" xr3:uid="{43D015D7-D15E-47E9-A248-169501C0CB52}" name="CA" dataDxfId="20"/>
    <tableColumn id="7" xr3:uid="{1961542B-DB02-4749-A67D-32413AD4C277}" name="X-M" dataDxfId="19"/>
    <tableColumn id="8" xr3:uid="{8BB392BB-9CFC-42F9-A2B6-1020C9F78BAB}" name="FDI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F4D5F8-2454-484D-947E-8205B7D1C388}" name="Table4" displayName="Table4" ref="A11:C15" totalsRowShown="0" tableBorderDxfId="17">
  <autoFilter ref="A11:C15" xr:uid="{B179B1C5-E381-41C7-9B75-B91AD3AFDC99}"/>
  <tableColumns count="3">
    <tableColumn id="1" xr3:uid="{D7005116-D7F8-492B-98C1-D5D58F9FD99D}" name="Periods"/>
    <tableColumn id="2" xr3:uid="{7C5BE8BE-0428-4781-9D03-2452283B33F3}" name="I-S">
      <calculatedColumnFormula>C2-B2</calculatedColumnFormula>
    </tableColumn>
    <tableColumn id="3" xr3:uid="{C128B4CA-E04F-4DD7-BE02-EA5625DC28DC}" name="M-X">
      <calculatedColumnFormula>G2-F2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0C86-6AFB-4CC5-879A-6BA5F6B5528C}">
  <dimension ref="A1:U14"/>
  <sheetViews>
    <sheetView workbookViewId="0">
      <selection activeCell="E1" sqref="E1"/>
    </sheetView>
  </sheetViews>
  <sheetFormatPr defaultRowHeight="14.4" x14ac:dyDescent="0.3"/>
  <cols>
    <col min="1" max="1" width="36.77734375" bestFit="1" customWidth="1"/>
    <col min="2" max="21" width="12.88671875" bestFit="1" customWidth="1"/>
  </cols>
  <sheetData>
    <row r="1" spans="1:21" x14ac:dyDescent="0.3">
      <c r="A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B2" s="1">
        <v>13.774855844848455</v>
      </c>
      <c r="C2" s="1">
        <v>14.559763491230388</v>
      </c>
      <c r="D2" s="1">
        <v>15.720079301493808</v>
      </c>
      <c r="E2" s="1">
        <v>15.244383579412526</v>
      </c>
      <c r="F2" s="1">
        <v>15.752770727775001</v>
      </c>
      <c r="G2" s="1">
        <v>16.528970498595932</v>
      </c>
      <c r="H2" s="1">
        <v>15.381311585524626</v>
      </c>
      <c r="I2" s="1">
        <v>15.775533829353339</v>
      </c>
      <c r="J2" s="1">
        <v>15.492813731156058</v>
      </c>
      <c r="K2" s="1">
        <v>14.417531531269528</v>
      </c>
      <c r="L2" s="1">
        <v>13.623447382747958</v>
      </c>
      <c r="M2" s="1">
        <v>14.220123145795089</v>
      </c>
      <c r="N2" s="1">
        <v>13.651457534795503</v>
      </c>
      <c r="O2" s="1">
        <v>13.441692783022527</v>
      </c>
      <c r="P2" s="1">
        <v>12.761684684999636</v>
      </c>
      <c r="Q2" s="1">
        <v>12.824863263674777</v>
      </c>
      <c r="R2" s="1">
        <v>12.772948152903727</v>
      </c>
      <c r="S2" s="1">
        <v>12.704739724084479</v>
      </c>
      <c r="T2" s="1" t="s">
        <v>0</v>
      </c>
      <c r="U2" s="1" t="s">
        <v>0</v>
      </c>
    </row>
    <row r="3" spans="1:21" x14ac:dyDescent="0.3">
      <c r="A3" t="s">
        <v>21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</row>
    <row r="4" spans="1:21" x14ac:dyDescent="0.3">
      <c r="B4" s="3">
        <v>18.767845744413055</v>
      </c>
      <c r="C4" s="3">
        <v>19.343295014046376</v>
      </c>
      <c r="D4" s="3">
        <v>19.8096623456372</v>
      </c>
      <c r="E4" s="3">
        <v>19.077478493371476</v>
      </c>
      <c r="F4" s="3">
        <v>18.467583919714318</v>
      </c>
      <c r="G4" s="3">
        <v>18.890001423065996</v>
      </c>
      <c r="H4" s="3">
        <v>19.038916937490104</v>
      </c>
      <c r="I4" s="3">
        <v>18.942987614893791</v>
      </c>
      <c r="J4" s="3">
        <v>18.839392875178941</v>
      </c>
      <c r="K4" s="3">
        <v>19.650638404809602</v>
      </c>
      <c r="L4" s="3">
        <v>19.016857843347921</v>
      </c>
      <c r="M4" s="3">
        <v>18.669256934152457</v>
      </c>
      <c r="N4" s="3">
        <v>18.530103265791027</v>
      </c>
      <c r="O4" s="3">
        <v>18.892482544698439</v>
      </c>
      <c r="P4" s="3">
        <v>19.153535397582328</v>
      </c>
      <c r="Q4" s="3">
        <v>19.776819957079862</v>
      </c>
      <c r="R4" s="3">
        <v>20.386200866255372</v>
      </c>
      <c r="S4" s="3">
        <v>19.970778564576538</v>
      </c>
      <c r="T4" s="3">
        <v>19.716134926751565</v>
      </c>
      <c r="U4" s="3" t="s">
        <v>0</v>
      </c>
    </row>
    <row r="5" spans="1:21" x14ac:dyDescent="0.3">
      <c r="A5" t="s">
        <v>22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</row>
    <row r="6" spans="1:21" x14ac:dyDescent="0.3">
      <c r="B6" s="4">
        <v>10.188048004379482</v>
      </c>
      <c r="C6" s="4">
        <v>12.371710669930001</v>
      </c>
      <c r="D6" s="4">
        <v>14.230590271377547</v>
      </c>
      <c r="E6" s="4">
        <v>15.18078370868613</v>
      </c>
      <c r="F6" s="4">
        <v>16.545761511935275</v>
      </c>
      <c r="G6" s="4">
        <v>15.243829266562347</v>
      </c>
      <c r="H6" s="4">
        <v>14.374316300897167</v>
      </c>
      <c r="I6" s="4">
        <v>13.327675103098999</v>
      </c>
      <c r="J6" s="4">
        <v>13.534000511968303</v>
      </c>
      <c r="K6" s="4">
        <v>10.851371131423257</v>
      </c>
      <c r="L6" s="4">
        <v>10.865584774696483</v>
      </c>
      <c r="M6" s="4">
        <v>11.582512678280827</v>
      </c>
      <c r="N6" s="4">
        <v>11.877539067367843</v>
      </c>
      <c r="O6" s="4">
        <v>11.742232845638977</v>
      </c>
      <c r="P6" s="4">
        <v>11.011940915259059</v>
      </c>
      <c r="Q6" s="4">
        <v>12.900191417740489</v>
      </c>
      <c r="R6" s="4">
        <v>12.470902100697201</v>
      </c>
      <c r="S6" s="4">
        <v>12.573455009526471</v>
      </c>
      <c r="T6" s="4">
        <v>14.805344246121543</v>
      </c>
      <c r="U6" s="4" t="s">
        <v>0</v>
      </c>
    </row>
    <row r="7" spans="1:21" x14ac:dyDescent="0.3">
      <c r="A7" t="s">
        <v>23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  <c r="M7" s="5" t="s">
        <v>12</v>
      </c>
      <c r="N7" s="5" t="s">
        <v>13</v>
      </c>
      <c r="O7" s="5" t="s">
        <v>14</v>
      </c>
      <c r="P7" s="5" t="s">
        <v>15</v>
      </c>
      <c r="Q7" s="5" t="s">
        <v>16</v>
      </c>
      <c r="R7" s="5" t="s">
        <v>17</v>
      </c>
      <c r="S7" s="5" t="s">
        <v>18</v>
      </c>
      <c r="T7" s="5" t="s">
        <v>19</v>
      </c>
      <c r="U7" s="5" t="s">
        <v>20</v>
      </c>
    </row>
    <row r="8" spans="1:21" x14ac:dyDescent="0.3">
      <c r="B8" s="5">
        <v>12.451713352414599</v>
      </c>
      <c r="C8" s="5">
        <v>14.564574352134036</v>
      </c>
      <c r="D8" s="5">
        <v>13.387767130853392</v>
      </c>
      <c r="E8" s="5">
        <v>12.959601014473154</v>
      </c>
      <c r="F8" s="5">
        <v>13.132490966818263</v>
      </c>
      <c r="G8" s="5">
        <v>11.842965942376175</v>
      </c>
      <c r="H8" s="5">
        <v>11.667383581338449</v>
      </c>
      <c r="I8" s="5">
        <v>11.96493626690472</v>
      </c>
      <c r="J8" s="5">
        <v>13.723568906850375</v>
      </c>
      <c r="K8" s="5">
        <v>11.25460446794623</v>
      </c>
      <c r="L8" s="5">
        <v>11.906593337308442</v>
      </c>
      <c r="M8" s="5">
        <v>12.351892499329354</v>
      </c>
      <c r="N8" s="5">
        <v>13.236734541285546</v>
      </c>
      <c r="O8" s="5">
        <v>14.043729314440757</v>
      </c>
      <c r="P8" s="5">
        <v>13.673460629726414</v>
      </c>
      <c r="Q8" s="5">
        <v>14.053434519938751</v>
      </c>
      <c r="R8" s="5">
        <v>12.071090701516866</v>
      </c>
      <c r="S8" s="5">
        <v>11.571024038873071</v>
      </c>
      <c r="T8" s="5">
        <v>14.276713848789308</v>
      </c>
      <c r="U8" s="5" t="s">
        <v>0</v>
      </c>
    </row>
    <row r="9" spans="1:21" x14ac:dyDescent="0.3">
      <c r="A9" t="s">
        <v>25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  <c r="K9" s="6" t="s">
        <v>10</v>
      </c>
      <c r="L9" s="6" t="s">
        <v>11</v>
      </c>
      <c r="M9" s="6" t="s">
        <v>12</v>
      </c>
      <c r="N9" s="6" t="s">
        <v>13</v>
      </c>
      <c r="O9" s="6" t="s">
        <v>14</v>
      </c>
      <c r="P9" s="6" t="s">
        <v>15</v>
      </c>
      <c r="Q9" s="6" t="s">
        <v>16</v>
      </c>
      <c r="R9" s="6" t="s">
        <v>17</v>
      </c>
      <c r="S9" s="6" t="s">
        <v>18</v>
      </c>
      <c r="T9" s="6" t="s">
        <v>19</v>
      </c>
      <c r="U9" s="6" t="s">
        <v>20</v>
      </c>
    </row>
    <row r="10" spans="1:21" x14ac:dyDescent="0.3">
      <c r="B10" s="6">
        <v>-3.6960278606239072</v>
      </c>
      <c r="C10" s="6">
        <v>-4.1501036059401226</v>
      </c>
      <c r="D10" s="6">
        <v>-1.5033845088706972</v>
      </c>
      <c r="E10" s="6">
        <v>0.748189046560784</v>
      </c>
      <c r="F10" s="6">
        <v>1.7536687543011928</v>
      </c>
      <c r="G10" s="6">
        <v>1.5684367616762993</v>
      </c>
      <c r="H10" s="6">
        <v>1.2297743570340387</v>
      </c>
      <c r="I10" s="6">
        <v>0.11100153628972921</v>
      </c>
      <c r="J10" s="6">
        <v>-1.6624375091010106</v>
      </c>
      <c r="K10" s="6">
        <v>-1.4580278254243995</v>
      </c>
      <c r="L10" s="6">
        <v>-3.5771294263267883</v>
      </c>
      <c r="M10" s="6">
        <v>-2.9159791751168704</v>
      </c>
      <c r="N10" s="6">
        <v>-3.3993363272872017</v>
      </c>
      <c r="O10" s="6">
        <v>-3.2267852554535494</v>
      </c>
      <c r="P10" s="6">
        <v>-4.1299409248679506</v>
      </c>
      <c r="Q10" s="6">
        <v>-3.0225173000974874</v>
      </c>
      <c r="R10" s="6">
        <v>-1.3366053384325105</v>
      </c>
      <c r="S10" s="6">
        <v>-0.35230742093041673</v>
      </c>
      <c r="T10" s="6">
        <v>-0.80112379787256816</v>
      </c>
      <c r="U10" s="6" t="s">
        <v>0</v>
      </c>
    </row>
    <row r="11" spans="1:21" x14ac:dyDescent="0.3">
      <c r="A11" t="s">
        <v>27</v>
      </c>
      <c r="B11" s="7" t="s">
        <v>1</v>
      </c>
      <c r="C11" s="7" t="s">
        <v>2</v>
      </c>
      <c r="D11" s="7" t="s">
        <v>3</v>
      </c>
      <c r="E11" s="7" t="s">
        <v>4</v>
      </c>
      <c r="F11" s="7" t="s">
        <v>5</v>
      </c>
      <c r="G11" s="7" t="s">
        <v>6</v>
      </c>
      <c r="H11" s="7" t="s">
        <v>7</v>
      </c>
      <c r="I11" s="7" t="s">
        <v>8</v>
      </c>
      <c r="J11" s="7" t="s">
        <v>9</v>
      </c>
      <c r="K11" s="7" t="s">
        <v>10</v>
      </c>
      <c r="L11" s="7" t="s">
        <v>11</v>
      </c>
      <c r="M11" s="7" t="s">
        <v>12</v>
      </c>
      <c r="N11" s="7" t="s">
        <v>13</v>
      </c>
      <c r="O11" s="7" t="s">
        <v>14</v>
      </c>
      <c r="P11" s="7" t="s">
        <v>15</v>
      </c>
      <c r="Q11" s="7" t="s">
        <v>16</v>
      </c>
      <c r="R11" s="7" t="s">
        <v>17</v>
      </c>
      <c r="S11" s="7" t="s">
        <v>18</v>
      </c>
      <c r="T11" s="7" t="s">
        <v>19</v>
      </c>
      <c r="U11" s="7" t="s">
        <v>20</v>
      </c>
    </row>
    <row r="12" spans="1:21" x14ac:dyDescent="0.3">
      <c r="B12" s="7">
        <v>-2.2636653480351181</v>
      </c>
      <c r="C12" s="7">
        <v>-2.1928636822040346</v>
      </c>
      <c r="D12" s="7">
        <v>0.84282314052415253</v>
      </c>
      <c r="E12" s="7">
        <v>2.2211826942129744</v>
      </c>
      <c r="F12" s="7">
        <v>3.4132705451170113</v>
      </c>
      <c r="G12" s="7">
        <v>3.4008633241861714</v>
      </c>
      <c r="H12" s="7">
        <v>2.7069327195587181</v>
      </c>
      <c r="I12" s="7">
        <v>1.3627388361942783</v>
      </c>
      <c r="J12" s="7">
        <v>-0.18956839488207328</v>
      </c>
      <c r="K12" s="7">
        <v>-0.40323333652297372</v>
      </c>
      <c r="L12" s="7">
        <v>-1.0410085626119592</v>
      </c>
      <c r="M12" s="7">
        <v>-0.7693798210485282</v>
      </c>
      <c r="N12" s="7">
        <v>-1.359195473917703</v>
      </c>
      <c r="O12" s="7">
        <v>-2.3014964688017785</v>
      </c>
      <c r="P12" s="7">
        <v>-2.6615197144673539</v>
      </c>
      <c r="Q12" s="7">
        <v>-1.1532431021982603</v>
      </c>
      <c r="R12" s="7">
        <v>0.39981139918033637</v>
      </c>
      <c r="S12" s="7">
        <v>1.0024309706534014</v>
      </c>
      <c r="T12" s="7">
        <v>0.52863039733223605</v>
      </c>
      <c r="U12" s="7" t="s">
        <v>0</v>
      </c>
    </row>
    <row r="13" spans="1:21" x14ac:dyDescent="0.3">
      <c r="A13" t="s">
        <v>28</v>
      </c>
      <c r="B13" s="8" t="s">
        <v>1</v>
      </c>
      <c r="C13" s="8" t="s">
        <v>2</v>
      </c>
      <c r="D13" s="8" t="s">
        <v>3</v>
      </c>
      <c r="E13" s="8" t="s">
        <v>4</v>
      </c>
      <c r="F13" s="8" t="s">
        <v>5</v>
      </c>
      <c r="G13" s="8" t="s">
        <v>6</v>
      </c>
      <c r="H13" s="8" t="s">
        <v>7</v>
      </c>
      <c r="I13" s="8" t="s">
        <v>8</v>
      </c>
      <c r="J13" s="8" t="s">
        <v>9</v>
      </c>
      <c r="K13" s="8" t="s">
        <v>10</v>
      </c>
      <c r="L13" s="8" t="s">
        <v>11</v>
      </c>
      <c r="M13" s="8" t="s">
        <v>12</v>
      </c>
      <c r="N13" s="8" t="s">
        <v>13</v>
      </c>
      <c r="O13" s="8" t="s">
        <v>14</v>
      </c>
      <c r="P13" s="8" t="s">
        <v>15</v>
      </c>
      <c r="Q13" s="8" t="s">
        <v>16</v>
      </c>
      <c r="R13" s="8" t="s">
        <v>17</v>
      </c>
      <c r="S13" s="8" t="s">
        <v>18</v>
      </c>
      <c r="T13" s="8" t="s">
        <v>19</v>
      </c>
      <c r="U13" s="8" t="s">
        <v>20</v>
      </c>
    </row>
    <row r="14" spans="1:21" x14ac:dyDescent="0.3">
      <c r="B14" s="8">
        <v>5.0341286817021045</v>
      </c>
      <c r="C14" s="8">
        <v>4.1521268331231482</v>
      </c>
      <c r="D14" s="8">
        <v>3.2653198995491928</v>
      </c>
      <c r="E14" s="8">
        <v>1.8131206308930039</v>
      </c>
      <c r="F14" s="8">
        <v>2.7163810651004443</v>
      </c>
      <c r="G14" s="8">
        <v>1.7339006685241802</v>
      </c>
      <c r="H14" s="8">
        <v>1.7494933373188248</v>
      </c>
      <c r="I14" s="8">
        <v>3.190894842178039</v>
      </c>
      <c r="J14" s="8">
        <v>2.9906632872766754</v>
      </c>
      <c r="K14" s="8">
        <v>1.8884558245792042</v>
      </c>
      <c r="L14" s="8">
        <v>3.729955688721577</v>
      </c>
      <c r="M14" s="8">
        <v>3.9151123001456698</v>
      </c>
      <c r="N14" s="8">
        <v>3.7550220985201332</v>
      </c>
      <c r="O14" s="8">
        <v>3.0415250616103666</v>
      </c>
      <c r="P14" s="8">
        <v>3.5714250932992941</v>
      </c>
      <c r="Q14" s="8">
        <v>3.3477732475587283</v>
      </c>
      <c r="R14" s="8">
        <v>4.085003196457758</v>
      </c>
      <c r="S14" s="8">
        <v>3.421208198675354</v>
      </c>
      <c r="T14" s="8">
        <v>4.7266893241381265</v>
      </c>
      <c r="U14" s="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C4B7-EA5E-43E5-9F25-1DCE397F1970}">
  <dimension ref="A1:K29"/>
  <sheetViews>
    <sheetView zoomScale="112" zoomScaleNormal="112" workbookViewId="0">
      <selection activeCell="B27" sqref="B27:B29"/>
    </sheetView>
  </sheetViews>
  <sheetFormatPr defaultRowHeight="14.4" x14ac:dyDescent="0.3"/>
  <cols>
    <col min="1" max="1" width="10.21875" bestFit="1" customWidth="1"/>
    <col min="2" max="2" width="13.77734375" customWidth="1"/>
    <col min="3" max="3" width="17.44140625" customWidth="1"/>
    <col min="4" max="4" width="24.5546875" customWidth="1"/>
    <col min="5" max="5" width="25.44140625" customWidth="1"/>
    <col min="6" max="6" width="23.109375" customWidth="1"/>
    <col min="7" max="7" width="32.88671875" customWidth="1"/>
    <col min="8" max="8" width="33.44140625" customWidth="1"/>
  </cols>
  <sheetData>
    <row r="1" spans="1:11" s="9" customFormat="1" ht="12" x14ac:dyDescent="0.25">
      <c r="A1" s="12" t="s">
        <v>31</v>
      </c>
      <c r="B1" s="12" t="s">
        <v>43</v>
      </c>
      <c r="C1" s="12" t="s">
        <v>44</v>
      </c>
      <c r="D1" s="13" t="s">
        <v>29</v>
      </c>
      <c r="E1" s="13" t="s">
        <v>21</v>
      </c>
      <c r="F1" s="13" t="s">
        <v>22</v>
      </c>
      <c r="G1" s="13" t="s">
        <v>23</v>
      </c>
      <c r="H1" s="13" t="s">
        <v>24</v>
      </c>
      <c r="I1" s="13" t="s">
        <v>27</v>
      </c>
      <c r="J1" s="14" t="s">
        <v>28</v>
      </c>
    </row>
    <row r="2" spans="1:11" x14ac:dyDescent="0.3">
      <c r="A2" s="21">
        <v>1999</v>
      </c>
      <c r="B2" s="10">
        <v>15.5</v>
      </c>
      <c r="C2" s="10">
        <v>17.38955974351785</v>
      </c>
      <c r="D2" s="10">
        <v>13.167678268154601</v>
      </c>
      <c r="E2" s="10">
        <v>19.782690769704001</v>
      </c>
      <c r="F2" s="10">
        <v>9.5648982609793993</v>
      </c>
      <c r="G2" s="10">
        <v>11.417268217249051</v>
      </c>
      <c r="H2" s="10">
        <v>-4.2376516417124837</v>
      </c>
      <c r="I2" s="10">
        <v>-1.8523699562696516</v>
      </c>
      <c r="J2" s="11">
        <v>4.767524933605352</v>
      </c>
    </row>
    <row r="3" spans="1:11" x14ac:dyDescent="0.3">
      <c r="A3" s="21">
        <v>2000</v>
      </c>
      <c r="B3" s="10">
        <v>16.639453920351979</v>
      </c>
      <c r="C3" s="10">
        <v>18.903119268387119</v>
      </c>
      <c r="D3" s="10">
        <v>13.774855844848455</v>
      </c>
      <c r="E3" s="10">
        <v>18.767845744413055</v>
      </c>
      <c r="F3" s="10">
        <v>10.188048004379482</v>
      </c>
      <c r="G3" s="10">
        <v>12.451713352414599</v>
      </c>
      <c r="H3" s="10">
        <v>-3.6960278606239072</v>
      </c>
      <c r="I3" s="10">
        <v>-2.2636653480351181</v>
      </c>
      <c r="J3" s="11">
        <v>5.0341286817021045</v>
      </c>
    </row>
    <row r="4" spans="1:11" x14ac:dyDescent="0.3">
      <c r="A4" s="21">
        <v>2001</v>
      </c>
      <c r="B4" s="10">
        <v>16.548996612879598</v>
      </c>
      <c r="C4" s="10">
        <v>18.741860295083622</v>
      </c>
      <c r="D4" s="10">
        <v>14.559763491230388</v>
      </c>
      <c r="E4" s="10">
        <v>19.343295014046376</v>
      </c>
      <c r="F4" s="10">
        <v>12.371710669930001</v>
      </c>
      <c r="G4" s="10">
        <v>14.564574352134036</v>
      </c>
      <c r="H4" s="10">
        <v>-4.1501036059401226</v>
      </c>
      <c r="I4" s="10">
        <v>-2.1928636822040346</v>
      </c>
      <c r="J4" s="11">
        <v>4.1521268331231482</v>
      </c>
    </row>
    <row r="5" spans="1:11" x14ac:dyDescent="0.3">
      <c r="A5" s="21">
        <v>2002</v>
      </c>
      <c r="B5" s="10">
        <v>18.291902624019723</v>
      </c>
      <c r="C5" s="10">
        <v>17.449079483495566</v>
      </c>
      <c r="D5" s="10">
        <v>15.720079301493808</v>
      </c>
      <c r="E5" s="10">
        <v>19.8096623456372</v>
      </c>
      <c r="F5" s="10">
        <v>14.230590271377547</v>
      </c>
      <c r="G5" s="10">
        <v>13.387767130853392</v>
      </c>
      <c r="H5" s="10">
        <v>-1.5033845088706972</v>
      </c>
      <c r="I5" s="10">
        <v>0.84282314052415253</v>
      </c>
      <c r="J5" s="11">
        <v>3.2653198995491928</v>
      </c>
    </row>
    <row r="6" spans="1:11" x14ac:dyDescent="0.3">
      <c r="A6" s="21">
        <v>2003</v>
      </c>
      <c r="B6" s="10">
        <v>19.077871089107294</v>
      </c>
      <c r="C6" s="10">
        <v>16.856688400715221</v>
      </c>
      <c r="D6" s="10">
        <v>15.244383579412526</v>
      </c>
      <c r="E6" s="10">
        <v>19.077478493371476</v>
      </c>
      <c r="F6" s="10">
        <v>15.18078370868613</v>
      </c>
      <c r="G6" s="10">
        <v>12.959601014473154</v>
      </c>
      <c r="H6" s="10">
        <v>0.748189046560784</v>
      </c>
      <c r="I6" s="10">
        <v>2.2211826942129744</v>
      </c>
      <c r="J6" s="11">
        <v>1.8131206308930039</v>
      </c>
    </row>
    <row r="7" spans="1:11" x14ac:dyDescent="0.3">
      <c r="A7" s="21">
        <v>2004</v>
      </c>
      <c r="B7" s="10">
        <v>21.325838892482402</v>
      </c>
      <c r="C7" s="10">
        <v>17.91256834225749</v>
      </c>
      <c r="D7" s="10">
        <v>15.752770727775001</v>
      </c>
      <c r="E7" s="10">
        <v>18.467583919714318</v>
      </c>
      <c r="F7" s="10">
        <v>16.545761511935275</v>
      </c>
      <c r="G7" s="10">
        <v>13.132490966818263</v>
      </c>
      <c r="H7" s="10">
        <v>1.7536687543011928</v>
      </c>
      <c r="I7" s="10">
        <v>3.4132705451170113</v>
      </c>
      <c r="J7" s="11">
        <v>2.7163810651004443</v>
      </c>
    </row>
    <row r="8" spans="1:11" x14ac:dyDescent="0.3">
      <c r="A8" s="21">
        <v>2005</v>
      </c>
      <c r="B8" s="10">
        <v>20.605746801324649</v>
      </c>
      <c r="C8" s="10">
        <v>17.204883477138488</v>
      </c>
      <c r="D8" s="10">
        <v>16.528970498595932</v>
      </c>
      <c r="E8" s="10">
        <v>18.890001423065996</v>
      </c>
      <c r="F8" s="10">
        <v>15.243829266562347</v>
      </c>
      <c r="G8" s="10">
        <v>11.842965942376175</v>
      </c>
      <c r="H8" s="10">
        <v>1.5684367616762993</v>
      </c>
      <c r="I8" s="10">
        <v>3.4008633241861714</v>
      </c>
      <c r="J8" s="11">
        <v>1.7339006685241802</v>
      </c>
    </row>
    <row r="9" spans="1:11" x14ac:dyDescent="0.3">
      <c r="A9" s="21">
        <v>2006</v>
      </c>
      <c r="B9" s="10">
        <v>20.523406615960365</v>
      </c>
      <c r="C9" s="10">
        <v>17.816473896401661</v>
      </c>
      <c r="D9" s="10">
        <v>15.381311585524626</v>
      </c>
      <c r="E9" s="10">
        <v>19.038916937490104</v>
      </c>
      <c r="F9" s="10">
        <v>14.374316300897167</v>
      </c>
      <c r="G9" s="10">
        <v>11.667383581338449</v>
      </c>
      <c r="H9" s="10">
        <v>1.2297743570340387</v>
      </c>
      <c r="I9" s="10">
        <v>2.7069327195587181</v>
      </c>
      <c r="J9" s="11">
        <v>1.7494933373188248</v>
      </c>
    </row>
    <row r="10" spans="1:11" x14ac:dyDescent="0.3">
      <c r="A10" s="21">
        <v>2007</v>
      </c>
      <c r="B10" s="10">
        <v>21.182064806794198</v>
      </c>
      <c r="C10" s="10">
        <v>19.819325970599934</v>
      </c>
      <c r="D10" s="10">
        <v>15.775533829353339</v>
      </c>
      <c r="E10" s="10">
        <v>18.942987614893791</v>
      </c>
      <c r="F10" s="10">
        <v>13.327675103098999</v>
      </c>
      <c r="G10" s="10">
        <v>11.96493626690472</v>
      </c>
      <c r="H10" s="10">
        <v>0.11100153628972921</v>
      </c>
      <c r="I10" s="10">
        <v>1.3627388361942783</v>
      </c>
      <c r="J10" s="11">
        <v>3.190894842178039</v>
      </c>
    </row>
    <row r="11" spans="1:11" x14ac:dyDescent="0.3">
      <c r="A11" s="21">
        <v>2008</v>
      </c>
      <c r="B11" s="10">
        <v>21.429814441816248</v>
      </c>
      <c r="C11" s="10">
        <v>21.619382836698335</v>
      </c>
      <c r="D11" s="10">
        <v>15.492813731156058</v>
      </c>
      <c r="E11" s="10">
        <v>18.839392875178941</v>
      </c>
      <c r="F11" s="10">
        <v>13.534000511968303</v>
      </c>
      <c r="G11" s="10">
        <v>13.723568906850375</v>
      </c>
      <c r="H11" s="10">
        <v>-1.6624375091010106</v>
      </c>
      <c r="I11" s="10">
        <v>-0.18956839488207328</v>
      </c>
      <c r="J11" s="11">
        <v>2.9906632872766754</v>
      </c>
    </row>
    <row r="12" spans="1:11" x14ac:dyDescent="0.3">
      <c r="A12" s="21">
        <v>2009</v>
      </c>
      <c r="B12" s="10">
        <v>18.392901713721916</v>
      </c>
      <c r="C12" s="10">
        <v>18.796135050244906</v>
      </c>
      <c r="D12" s="10">
        <v>14.417531531269528</v>
      </c>
      <c r="E12" s="10">
        <v>19.650638404809602</v>
      </c>
      <c r="F12" s="10">
        <v>10.851371131423257</v>
      </c>
      <c r="G12" s="10">
        <v>11.25460446794623</v>
      </c>
      <c r="H12" s="10">
        <v>-1.4580278254243995</v>
      </c>
      <c r="I12" s="10">
        <v>-0.40323333652297372</v>
      </c>
      <c r="J12" s="11">
        <v>1.8884558245792042</v>
      </c>
    </row>
    <row r="13" spans="1:11" x14ac:dyDescent="0.3">
      <c r="A13" s="21">
        <v>2010</v>
      </c>
      <c r="B13" s="10">
        <v>20.760313002544876</v>
      </c>
      <c r="C13" s="10">
        <v>21.801321565156837</v>
      </c>
      <c r="D13" s="10">
        <v>13.623447382747958</v>
      </c>
      <c r="E13" s="10">
        <v>19.016857843347921</v>
      </c>
      <c r="F13" s="10">
        <v>10.865584774696483</v>
      </c>
      <c r="G13" s="10">
        <v>11.906593337308442</v>
      </c>
      <c r="H13" s="10">
        <v>-3.5771294263267883</v>
      </c>
      <c r="I13" s="10">
        <v>-1.0410085626119592</v>
      </c>
      <c r="J13" s="11">
        <v>3.729955688721577</v>
      </c>
    </row>
    <row r="14" spans="1:11" x14ac:dyDescent="0.3">
      <c r="A14" s="21">
        <v>2011</v>
      </c>
      <c r="B14" s="10">
        <v>21.056891285998343</v>
      </c>
      <c r="C14" s="10">
        <v>21.826271107046871</v>
      </c>
      <c r="D14" s="10">
        <v>14.220123145795089</v>
      </c>
      <c r="E14" s="10">
        <v>18.669256934152457</v>
      </c>
      <c r="F14" s="10">
        <v>11.582512678280827</v>
      </c>
      <c r="G14" s="10">
        <v>12.351892499329354</v>
      </c>
      <c r="H14" s="10">
        <v>-2.9159791751168704</v>
      </c>
      <c r="I14" s="10">
        <v>-0.7693798210485282</v>
      </c>
      <c r="J14" s="11">
        <v>3.9151123001456698</v>
      </c>
    </row>
    <row r="15" spans="1:11" x14ac:dyDescent="0.3">
      <c r="A15" s="21">
        <v>2012</v>
      </c>
      <c r="B15" s="10">
        <v>20.058029891417224</v>
      </c>
      <c r="C15" s="10">
        <v>21.417225365334929</v>
      </c>
      <c r="D15" s="10">
        <v>13.651457534795503</v>
      </c>
      <c r="E15" s="10">
        <v>18.530103265791027</v>
      </c>
      <c r="F15" s="10">
        <v>11.877539067367843</v>
      </c>
      <c r="G15" s="10">
        <v>13.236734541285546</v>
      </c>
      <c r="H15" s="10">
        <v>-3.3993363272872017</v>
      </c>
      <c r="I15" s="10">
        <v>-1.359195473917703</v>
      </c>
      <c r="J15" s="11">
        <v>3.7550220985201332</v>
      </c>
    </row>
    <row r="16" spans="1:11" x14ac:dyDescent="0.3">
      <c r="A16" s="21">
        <v>2013</v>
      </c>
      <c r="B16" s="10">
        <v>19.392255784266617</v>
      </c>
      <c r="C16" s="10">
        <v>21.6937710091008</v>
      </c>
      <c r="D16" s="10">
        <v>13.441692783022527</v>
      </c>
      <c r="E16" s="10">
        <v>18.892482544698439</v>
      </c>
      <c r="F16" s="10">
        <v>11.742232845638977</v>
      </c>
      <c r="G16" s="10">
        <v>14.043729314440757</v>
      </c>
      <c r="H16" s="10">
        <v>-3.2267852554535494</v>
      </c>
      <c r="I16" s="10">
        <v>-2.3014964688017785</v>
      </c>
      <c r="J16" s="11">
        <v>3.0415250616103666</v>
      </c>
      <c r="K16" s="8"/>
    </row>
    <row r="17" spans="1:10" x14ac:dyDescent="0.3">
      <c r="A17" s="21">
        <v>2014</v>
      </c>
      <c r="B17" s="10">
        <v>17.886904792805076</v>
      </c>
      <c r="C17" s="10">
        <v>20.54840720310284</v>
      </c>
      <c r="D17" s="10">
        <v>12.761684684999636</v>
      </c>
      <c r="E17" s="10">
        <v>19.153535397582328</v>
      </c>
      <c r="F17" s="10">
        <v>11.011940915259059</v>
      </c>
      <c r="G17" s="10">
        <v>13.673460629726414</v>
      </c>
      <c r="H17" s="10">
        <v>-4.1299409248679506</v>
      </c>
      <c r="I17" s="10">
        <v>-2.6615197144673539</v>
      </c>
      <c r="J17" s="11">
        <v>3.5714250932992941</v>
      </c>
    </row>
    <row r="18" spans="1:10" x14ac:dyDescent="0.3">
      <c r="A18" s="21">
        <v>2015</v>
      </c>
      <c r="B18" s="10">
        <v>16.258382761095415</v>
      </c>
      <c r="C18" s="10">
        <v>17.411625863293676</v>
      </c>
      <c r="D18" s="10">
        <v>12.824863263674777</v>
      </c>
      <c r="E18" s="10">
        <v>19.776819957079862</v>
      </c>
      <c r="F18" s="10">
        <v>12.900191417740489</v>
      </c>
      <c r="G18" s="10">
        <v>14.053434519938751</v>
      </c>
      <c r="H18" s="10">
        <v>-3.0225173000974874</v>
      </c>
      <c r="I18" s="10">
        <v>-1.1532431021982603</v>
      </c>
      <c r="J18" s="11">
        <v>3.3477732475587283</v>
      </c>
    </row>
    <row r="19" spans="1:10" x14ac:dyDescent="0.3">
      <c r="A19" s="21">
        <v>2016</v>
      </c>
      <c r="B19" s="10">
        <v>15.374429271102507</v>
      </c>
      <c r="C19" s="10">
        <v>14.974617871922172</v>
      </c>
      <c r="D19" s="10">
        <v>12.772948152903727</v>
      </c>
      <c r="E19" s="10">
        <v>20.386200866255372</v>
      </c>
      <c r="F19" s="10">
        <v>12.470902100697201</v>
      </c>
      <c r="G19" s="10">
        <v>12.071090701516866</v>
      </c>
      <c r="H19" s="10">
        <v>-1.3366053384325105</v>
      </c>
      <c r="I19" s="10">
        <v>0.39981139918033637</v>
      </c>
      <c r="J19" s="11">
        <v>4.085003196457758</v>
      </c>
    </row>
    <row r="20" spans="1:10" x14ac:dyDescent="0.3">
      <c r="A20" s="21">
        <v>2017</v>
      </c>
      <c r="B20" s="10">
        <v>16.038068611042423</v>
      </c>
      <c r="C20" s="10">
        <v>15.035632917968892</v>
      </c>
      <c r="D20" s="10">
        <v>12.704739724084479</v>
      </c>
      <c r="E20" s="10">
        <v>19.970778564576538</v>
      </c>
      <c r="F20" s="10">
        <v>12.573455009526471</v>
      </c>
      <c r="G20" s="10">
        <v>11.571024038873071</v>
      </c>
      <c r="H20" s="10">
        <v>-0.35230742093041673</v>
      </c>
      <c r="I20" s="10">
        <v>1.0024309706534014</v>
      </c>
      <c r="J20" s="11">
        <v>3.421208198675354</v>
      </c>
    </row>
    <row r="21" spans="1:10" x14ac:dyDescent="0.3">
      <c r="A21" s="21">
        <v>2018</v>
      </c>
      <c r="B21" s="10">
        <v>15.951355808626957</v>
      </c>
      <c r="C21" s="10">
        <v>15.422724055032042</v>
      </c>
      <c r="D21" s="10" t="s">
        <v>30</v>
      </c>
      <c r="E21" s="10">
        <v>19.716134926751565</v>
      </c>
      <c r="F21" s="10">
        <v>14.805344246121543</v>
      </c>
      <c r="G21" s="10">
        <v>14.276713848789308</v>
      </c>
      <c r="H21" s="10">
        <v>-0.80112379787256816</v>
      </c>
      <c r="I21" s="10">
        <v>0.52863039733223605</v>
      </c>
      <c r="J21" s="11">
        <v>4.7266893241381265</v>
      </c>
    </row>
    <row r="22" spans="1:10" x14ac:dyDescent="0.3">
      <c r="A22" s="22">
        <v>2019</v>
      </c>
      <c r="B22" s="15" t="s">
        <v>30</v>
      </c>
      <c r="C22" s="15" t="s">
        <v>30</v>
      </c>
      <c r="D22" s="15" t="s">
        <v>30</v>
      </c>
      <c r="E22" s="15" t="s">
        <v>30</v>
      </c>
      <c r="F22" s="15" t="s">
        <v>30</v>
      </c>
      <c r="G22" s="15" t="s">
        <v>30</v>
      </c>
      <c r="H22" s="15" t="s">
        <v>30</v>
      </c>
      <c r="I22" s="15" t="s">
        <v>30</v>
      </c>
      <c r="J22" s="16" t="s">
        <v>30</v>
      </c>
    </row>
    <row r="25" spans="1:10" x14ac:dyDescent="0.3">
      <c r="A25" t="s">
        <v>45</v>
      </c>
      <c r="B25" s="18" t="s">
        <v>43</v>
      </c>
      <c r="C25" s="18" t="s">
        <v>44</v>
      </c>
      <c r="D25" s="18" t="s">
        <v>29</v>
      </c>
      <c r="E25" s="18" t="s">
        <v>21</v>
      </c>
      <c r="F25" s="18" t="s">
        <v>22</v>
      </c>
      <c r="G25" s="18" t="s">
        <v>23</v>
      </c>
      <c r="H25" s="18" t="s">
        <v>24</v>
      </c>
      <c r="I25" s="18" t="s">
        <v>27</v>
      </c>
      <c r="J25" s="18" t="s">
        <v>28</v>
      </c>
    </row>
    <row r="26" spans="1:10" x14ac:dyDescent="0.3">
      <c r="A26" t="s">
        <v>34</v>
      </c>
      <c r="B26" s="8">
        <f>AVERAGEIF(Table1[[Year]:[Year]],"&lt;=2003",Table1[Savings (Gross Domestic Savings)])</f>
        <v>17.211644849271718</v>
      </c>
      <c r="C26" s="8">
        <f>AVERAGEIF(Table1[[Year]:[Year]],"&lt;=2003",Table1[Investment (Gross Capital Formation)])</f>
        <v>17.868061438239874</v>
      </c>
      <c r="D26">
        <f>AVERAGEIF(Table1[[Year]:[Year]],"&lt;=2003",Table1[Tax Revenue (T)])</f>
        <v>14.493352097027957</v>
      </c>
      <c r="E26" s="8">
        <f>AVERAGEIF(Table1[[Year]:[Year]],"&lt;=2003",Table1[General Government Final Expenditure (G)])</f>
        <v>19.356194473434421</v>
      </c>
      <c r="F26" s="8">
        <f>AVERAGEIF(Table1[[Year]:[Year]],"&lt;=2003",Table1[Exports of Goods &amp; Services (X)])</f>
        <v>12.307206183070512</v>
      </c>
      <c r="G26" s="8">
        <f>AVERAGEIF(Table1[[Year]:[Year]],"&lt;=2003",Table1[Imports of Goods &amp; Services (M)])</f>
        <v>12.956184813424846</v>
      </c>
      <c r="H26" s="8">
        <f>AVERAGEIF(Table1[[Year]:[Year]],"&lt;=2003",Table1[Current Account Balance (CA)])</f>
        <v>-2.5677957141172856</v>
      </c>
      <c r="I26" s="8">
        <f>AVERAGEIF(Table1[[Year]:[Year]],"&lt;=2003",Table1[External Balance of Goods &amp; Services (X-M)])</f>
        <v>-0.64897863035433556</v>
      </c>
      <c r="J26" s="8">
        <f>AVERAGEIF(Table1[[Year]:[Year]],"&lt;=2003",Table1[Foreign Direct Investment, net inflows (FDI)])</f>
        <v>3.8064441957745601</v>
      </c>
    </row>
    <row r="27" spans="1:10" x14ac:dyDescent="0.3">
      <c r="A27" s="17" t="s">
        <v>32</v>
      </c>
      <c r="B27" s="8">
        <f>AVERAGEIFS(Table1[Savings (Gross Domestic Savings)],Table1[[Year]:[Year]],"&gt;=2004",Table1[[Year]:[Year]],"&lt;=2008")</f>
        <v>21.013374311675573</v>
      </c>
      <c r="C27" s="8">
        <f>AVERAGEIFS(Table1[Investment (Gross Capital Formation)],Table1[[Year]:[Year]],"&gt;=2004",Table1[[Year]:[Year]],"&lt;=2008")</f>
        <v>18.874526904619181</v>
      </c>
      <c r="D27" s="8">
        <f>AVERAGEIFS(Table1[Tax Revenue (T)],Table1[[Year]:[Year]],"&gt;=2004",Table1[[Year]:[Year]],"&lt;=2008")</f>
        <v>15.786280074480993</v>
      </c>
      <c r="E27" s="8">
        <f>AVERAGEIFS(Table1[General Government Final Expenditure (G)],Table1[[Year]:[Year]],"&gt;=2004",Table1[[Year]:[Year]],"&lt;=2008")</f>
        <v>18.83577655406863</v>
      </c>
      <c r="F27" s="8">
        <f>AVERAGEIFS(Table1[Exports of Goods &amp; Services (X)],Table1[[Year]:[Year]],"&gt;=2004",Table1[[Year]:[Year]],"&lt;=2008")</f>
        <v>14.605116538892418</v>
      </c>
      <c r="G27" s="8">
        <f>AVERAGEIFS(Table1[Imports of Goods &amp; Services (M)],Table1[[Year]:[Year]],"&gt;=2004",Table1[[Year]:[Year]],"&lt;=2008")</f>
        <v>12.466269132857597</v>
      </c>
      <c r="H27" s="8">
        <f>AVERAGEIFS(Table1[Current Account Balance (CA)],Table1[[Year]:[Year]],"&gt;=2004",Table1[[Year]:[Year]],"&lt;=2008")</f>
        <v>0.60008878004004984</v>
      </c>
      <c r="I27" s="8">
        <f>AVERAGEIFS(Table1[External Balance of Goods &amp; Services (X-M)],Table1[[Year]:[Year]],"&gt;=2004",Table1[[Year]:[Year]],"&lt;=2008")</f>
        <v>2.138847406034821</v>
      </c>
      <c r="J27" s="8">
        <f>AVERAGEIFS(Table1[Foreign Direct Investment, net inflows (FDI)],Table1[[Year]:[Year]],"&gt;=2004",Table1[[Year]:[Year]],"&lt;=2008")</f>
        <v>2.4762666400796327</v>
      </c>
    </row>
    <row r="28" spans="1:10" x14ac:dyDescent="0.3">
      <c r="A28" t="s">
        <v>35</v>
      </c>
      <c r="B28" s="8">
        <f>AVERAGEIFS(Table1[Savings (Gross Domestic Savings)],Table1[[Year]:[Year]],"&gt;=2009",Table1[[Year]:[Year]],"&lt;=2013")</f>
        <v>19.932078335589797</v>
      </c>
      <c r="C28" s="8">
        <f>AVERAGEIFS(Table1[Investment (Gross Capital Formation)],Table1[[Year]:[Year]],"&gt;=2009",Table1[[Year]:[Year]],"&lt;=2013")</f>
        <v>21.106944819376867</v>
      </c>
      <c r="D28" s="8">
        <f>AVERAGEIFS(Table1[Tax Revenue (T)],Table1[[Year]:[Year]],"&gt;=2009",Table1[[Year]:[Year]],"&lt;=2013")</f>
        <v>13.870850475526121</v>
      </c>
      <c r="E28" s="8">
        <f>AVERAGEIFS(Table1[General Government Final Expenditure (G)],Table1[[Year]:[Year]],"&gt;=2009",Table1[[Year]:[Year]],"&lt;=2013")</f>
        <v>18.951867798559888</v>
      </c>
      <c r="F28" s="8">
        <f>AVERAGEIFS(Table1[Exports of Goods &amp; Services (X)],Table1[[Year]:[Year]],"&gt;=2009",Table1[[Year]:[Year]],"&lt;=2013")</f>
        <v>11.383848099481478</v>
      </c>
      <c r="G28" s="8">
        <f>AVERAGEIFS(Table1[Imports of Goods &amp; Services (M)],Table1[[Year]:[Year]],"&gt;=2009",Table1[[Year]:[Year]],"&lt;=2013")</f>
        <v>12.558710832062065</v>
      </c>
      <c r="H28" s="8">
        <f>AVERAGEIFS(Table1[Current Account Balance (CA)],Table1[[Year]:[Year]],"&gt;=2009",Table1[[Year]:[Year]],"&lt;=2013")</f>
        <v>-2.9154516019217618</v>
      </c>
      <c r="I28" s="8">
        <f>AVERAGEIFS(Table1[External Balance of Goods &amp; Services (X-M)],Table1[[Year]:[Year]],"&gt;=2009",Table1[[Year]:[Year]],"&lt;=2013")</f>
        <v>-1.1748627325805885</v>
      </c>
      <c r="J28" s="8">
        <f>AVERAGEIFS(Table1[Foreign Direct Investment, net inflows (FDI)],Table1[[Year]:[Year]],"&gt;=2009",Table1[[Year]:[Year]],"&lt;=2013")</f>
        <v>3.2660141947153902</v>
      </c>
    </row>
    <row r="29" spans="1:10" x14ac:dyDescent="0.3">
      <c r="A29" t="s">
        <v>33</v>
      </c>
      <c r="B29" s="8">
        <f>AVERAGEIFS(Table1[Savings (Gross Domestic Savings)],Table1[[Year]:[Year]],"&gt;=2012",Table1[[Year]:[Year]],"&lt;=2018")</f>
        <v>17.279918131479459</v>
      </c>
      <c r="C29" s="8">
        <f>AVERAGEIFS(Table1[Investment (Gross Capital Formation)],Table1[[Year]:[Year]],"&gt;=2012",Table1[[Year]:[Year]],"&lt;=2018")</f>
        <v>18.072000612250768</v>
      </c>
      <c r="D29" s="8">
        <f>AVERAGEIFS(Table1[Tax Revenue (T)],Table1[[Year]:[Year]],"&gt;=2012",Table1[[Year]:[Year]],"&lt;=2018")</f>
        <v>13.026231023913441</v>
      </c>
      <c r="E29" s="8">
        <f>AVERAGEIFS(Table1[General Government Final Expenditure (G)],Table1[[Year]:[Year]],"&gt;=2012",Table1[[Year]:[Year]],"&lt;=2018")</f>
        <v>19.489436503247873</v>
      </c>
      <c r="F29" s="8">
        <f>AVERAGEIFS(Table1[Exports of Goods &amp; Services (X)],Table1[[Year]:[Year]],"&gt;=2012",Table1[[Year]:[Year]],"&lt;=2018")</f>
        <v>12.483086514621656</v>
      </c>
      <c r="G29" s="8">
        <f>AVERAGEIFS(Table1[Imports of Goods &amp; Services (M)],Table1[[Year]:[Year]],"&gt;=2012",Table1[[Year]:[Year]],"&lt;=2018")</f>
        <v>13.275169656367245</v>
      </c>
      <c r="H29" s="8">
        <f>AVERAGEIFS(Table1[Current Account Balance (CA)],Table1[[Year]:[Year]],"&gt;=2012",Table1[[Year]:[Year]],"&lt;=2018")</f>
        <v>-2.3240880521345266</v>
      </c>
      <c r="I29" s="8">
        <f>AVERAGEIFS(Table1[External Balance of Goods &amp; Services (X-M)],Table1[[Year]:[Year]],"&gt;=2012",Table1[[Year]:[Year]],"&lt;=2018")</f>
        <v>-0.7920831417455888</v>
      </c>
      <c r="J29" s="8">
        <f>AVERAGEIFS(Table1[Foreign Direct Investment, net inflows (FDI)],Table1[[Year]:[Year]],"&gt;=2012",Table1[[Year]:[Year]],"&lt;=2018")</f>
        <v>3.7069494600371087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01C6-264A-4323-A504-8C08069DD29B}">
  <dimension ref="A1:G29"/>
  <sheetViews>
    <sheetView tabSelected="1" topLeftCell="A5" workbookViewId="0">
      <selection activeCell="A25" sqref="A25:G29"/>
    </sheetView>
  </sheetViews>
  <sheetFormatPr defaultRowHeight="14.4" x14ac:dyDescent="0.3"/>
  <cols>
    <col min="1" max="1" width="9.6640625" bestFit="1" customWidth="1"/>
    <col min="2" max="3" width="5.5546875" bestFit="1" customWidth="1"/>
    <col min="4" max="4" width="5.21875" bestFit="1" customWidth="1"/>
    <col min="5" max="5" width="4.5546875" bestFit="1" customWidth="1"/>
    <col min="6" max="6" width="5.21875" bestFit="1" customWidth="1"/>
    <col min="7" max="7" width="8.5546875" bestFit="1" customWidth="1"/>
  </cols>
  <sheetData>
    <row r="1" spans="1:7" ht="16.2" thickBot="1" x14ac:dyDescent="0.35">
      <c r="A1" s="38" t="s">
        <v>31</v>
      </c>
      <c r="B1" s="38" t="s">
        <v>46</v>
      </c>
      <c r="C1" s="38" t="s">
        <v>47</v>
      </c>
      <c r="D1" s="38" t="s">
        <v>50</v>
      </c>
      <c r="E1" s="38" t="s">
        <v>51</v>
      </c>
      <c r="F1" s="38" t="s">
        <v>52</v>
      </c>
      <c r="G1" s="38" t="s">
        <v>53</v>
      </c>
    </row>
    <row r="2" spans="1:7" x14ac:dyDescent="0.3">
      <c r="A2" s="24">
        <v>99</v>
      </c>
      <c r="B2" s="25">
        <v>15.5</v>
      </c>
      <c r="C2" s="25">
        <v>17.38955974351785</v>
      </c>
      <c r="D2" s="25">
        <v>0.46793756737825731</v>
      </c>
      <c r="E2" s="25">
        <v>1.4811120993739899</v>
      </c>
      <c r="F2" s="25">
        <v>-1.7644636441795427</v>
      </c>
      <c r="G2" s="25">
        <v>8117.5935197317522</v>
      </c>
    </row>
    <row r="3" spans="1:7" x14ac:dyDescent="0.3">
      <c r="A3" s="10">
        <v>2000</v>
      </c>
      <c r="B3" s="26">
        <v>16.639453920351979</v>
      </c>
      <c r="C3" s="26">
        <v>18.903119268387119</v>
      </c>
      <c r="D3" s="26">
        <v>4.387949442673829</v>
      </c>
      <c r="E3" s="26">
        <v>1.4241674340874799</v>
      </c>
      <c r="F3" s="26">
        <v>5.4370442724825097</v>
      </c>
      <c r="G3" s="26">
        <v>8558.9506732597401</v>
      </c>
    </row>
    <row r="4" spans="1:7" x14ac:dyDescent="0.3">
      <c r="A4" s="27">
        <v>2001</v>
      </c>
      <c r="B4" s="28">
        <v>16.548996612879598</v>
      </c>
      <c r="C4" s="28">
        <v>18.741860295083622</v>
      </c>
      <c r="D4" s="28">
        <v>1.3898964032589447</v>
      </c>
      <c r="E4" s="28">
        <v>1.3669570763530401</v>
      </c>
      <c r="F4" s="28">
        <v>-0.34734207786388538</v>
      </c>
      <c r="G4" s="28">
        <v>8529.2218361478936</v>
      </c>
    </row>
    <row r="5" spans="1:7" x14ac:dyDescent="0.3">
      <c r="A5" s="10">
        <v>2002</v>
      </c>
      <c r="B5" s="26">
        <v>18.291902624019723</v>
      </c>
      <c r="C5" s="26">
        <v>17.449079483495566</v>
      </c>
      <c r="D5" s="26">
        <v>3.0534618579525414</v>
      </c>
      <c r="E5" s="26">
        <v>1.31274418552691</v>
      </c>
      <c r="F5" s="26">
        <v>1.5571342664813841</v>
      </c>
      <c r="G5" s="26">
        <v>8662.0332720227652</v>
      </c>
    </row>
    <row r="6" spans="1:7" x14ac:dyDescent="0.3">
      <c r="A6" s="27">
        <v>2003</v>
      </c>
      <c r="B6" s="28">
        <v>19.077871089107294</v>
      </c>
      <c r="C6" s="28">
        <v>16.856688400715221</v>
      </c>
      <c r="D6" s="28">
        <v>1.1408289981000905</v>
      </c>
      <c r="E6" s="28">
        <v>1.25738273806831</v>
      </c>
      <c r="F6" s="28">
        <v>7.5770812020167E-2</v>
      </c>
      <c r="G6" s="28">
        <v>8668.5965649704322</v>
      </c>
    </row>
    <row r="7" spans="1:7" x14ac:dyDescent="0.3">
      <c r="A7" s="10">
        <v>2004</v>
      </c>
      <c r="B7" s="26">
        <v>21.325838892482402</v>
      </c>
      <c r="C7" s="26">
        <v>17.91256834225749</v>
      </c>
      <c r="D7" s="26">
        <v>5.7599646387177472</v>
      </c>
      <c r="E7" s="26">
        <v>1.2012941278805001</v>
      </c>
      <c r="F7" s="26">
        <v>4.717938125008402</v>
      </c>
      <c r="G7" s="26">
        <v>9077.5755872123427</v>
      </c>
    </row>
    <row r="8" spans="1:7" x14ac:dyDescent="0.3">
      <c r="A8" s="27">
        <v>2005</v>
      </c>
      <c r="B8" s="28">
        <v>20.605746801324649</v>
      </c>
      <c r="C8" s="28">
        <v>17.204883477138488</v>
      </c>
      <c r="D8" s="28">
        <v>3.2021313799023545</v>
      </c>
      <c r="E8" s="28">
        <v>1.14588099838722</v>
      </c>
      <c r="F8" s="28">
        <v>2.0840612790713067</v>
      </c>
      <c r="G8" s="28">
        <v>9266.7578251038631</v>
      </c>
    </row>
    <row r="9" spans="1:7" x14ac:dyDescent="0.3">
      <c r="A9" s="10">
        <v>2006</v>
      </c>
      <c r="B9" s="26">
        <v>20.523406615960365</v>
      </c>
      <c r="C9" s="26">
        <v>17.816473896401661</v>
      </c>
      <c r="D9" s="26">
        <v>3.9619887218498917</v>
      </c>
      <c r="E9" s="26">
        <v>1.0901968535216</v>
      </c>
      <c r="F9" s="26">
        <v>3.2231769151906491</v>
      </c>
      <c r="G9" s="26">
        <v>9565.4418241092335</v>
      </c>
    </row>
    <row r="10" spans="1:7" x14ac:dyDescent="0.3">
      <c r="A10" s="27">
        <v>2007</v>
      </c>
      <c r="B10" s="28">
        <v>21.182064806794198</v>
      </c>
      <c r="C10" s="28">
        <v>19.819325970599934</v>
      </c>
      <c r="D10" s="28">
        <v>6.0698706077183715</v>
      </c>
      <c r="E10" s="28">
        <v>1.0378620369675999</v>
      </c>
      <c r="F10" s="28">
        <v>5.384931052398656</v>
      </c>
      <c r="G10" s="28">
        <v>10080.534271194821</v>
      </c>
    </row>
    <row r="11" spans="1:7" x14ac:dyDescent="0.3">
      <c r="A11" s="29">
        <v>2008</v>
      </c>
      <c r="B11" s="30">
        <v>21.429814441816248</v>
      </c>
      <c r="C11" s="30">
        <v>21.619382836698335</v>
      </c>
      <c r="D11" s="30">
        <v>5.0941954473271664</v>
      </c>
      <c r="E11" s="30">
        <v>0.99431162388336602</v>
      </c>
      <c r="F11" s="30">
        <v>3.7143127791665194</v>
      </c>
      <c r="G11" s="30">
        <v>10454.95684383807</v>
      </c>
    </row>
    <row r="12" spans="1:7" x14ac:dyDescent="0.3">
      <c r="A12" s="31">
        <v>2009</v>
      </c>
      <c r="B12" s="32">
        <v>18.392901713721916</v>
      </c>
      <c r="C12" s="32">
        <v>18.796135050244906</v>
      </c>
      <c r="D12" s="32">
        <v>-0.12581199941486432</v>
      </c>
      <c r="E12" s="32">
        <v>0.96194826263908995</v>
      </c>
      <c r="F12" s="32">
        <v>-0.90512434550818455</v>
      </c>
      <c r="G12" s="32">
        <v>10360.326484132118</v>
      </c>
    </row>
    <row r="13" spans="1:7" x14ac:dyDescent="0.3">
      <c r="A13" s="27">
        <v>2010</v>
      </c>
      <c r="B13" s="28">
        <v>20.760313002544876</v>
      </c>
      <c r="C13" s="28">
        <v>21.801321565156837</v>
      </c>
      <c r="D13" s="28">
        <v>7.5282258300556322</v>
      </c>
      <c r="E13" s="28">
        <v>0.93795673750597297</v>
      </c>
      <c r="F13" s="28">
        <v>5.7390001991921764</v>
      </c>
      <c r="G13" s="28">
        <v>10954.905641693416</v>
      </c>
    </row>
    <row r="14" spans="1:7" x14ac:dyDescent="0.3">
      <c r="A14" s="10">
        <v>2011</v>
      </c>
      <c r="B14" s="26">
        <v>21.056891285998343</v>
      </c>
      <c r="C14" s="26">
        <v>21.826271107046871</v>
      </c>
      <c r="D14" s="26">
        <v>3.9744230794470212</v>
      </c>
      <c r="E14" s="26">
        <v>0.91596265631805895</v>
      </c>
      <c r="F14" s="26">
        <v>3.348356541424053</v>
      </c>
      <c r="G14" s="26">
        <v>11321.71494135389</v>
      </c>
    </row>
    <row r="15" spans="1:7" x14ac:dyDescent="0.3">
      <c r="A15" s="27">
        <v>2012</v>
      </c>
      <c r="B15" s="28">
        <v>20.058029891417224</v>
      </c>
      <c r="C15" s="28">
        <v>21.417225365334929</v>
      </c>
      <c r="D15" s="28">
        <v>1.9211759857653732</v>
      </c>
      <c r="E15" s="28">
        <v>0.89353105792259502</v>
      </c>
      <c r="F15" s="28">
        <v>1.5159397254530944</v>
      </c>
      <c r="G15" s="28">
        <v>11493.345315752435</v>
      </c>
    </row>
    <row r="16" spans="1:7" x14ac:dyDescent="0.3">
      <c r="A16" s="10">
        <v>2013</v>
      </c>
      <c r="B16" s="26">
        <v>19.392255784266617</v>
      </c>
      <c r="C16" s="26">
        <v>21.6937710091008</v>
      </c>
      <c r="D16" s="26">
        <v>3.004822669444323</v>
      </c>
      <c r="E16" s="26">
        <v>0.87360319124142505</v>
      </c>
      <c r="F16" s="26">
        <v>3.0829170715104226</v>
      </c>
      <c r="G16" s="26">
        <v>11847.67562057941</v>
      </c>
    </row>
    <row r="17" spans="1:7" x14ac:dyDescent="0.3">
      <c r="A17" s="27">
        <v>2014</v>
      </c>
      <c r="B17" s="28">
        <v>17.886904792805076</v>
      </c>
      <c r="C17" s="28">
        <v>20.54840720310284</v>
      </c>
      <c r="D17" s="28">
        <v>0.50395574024224743</v>
      </c>
      <c r="E17" s="28">
        <v>0.85579202289112599</v>
      </c>
      <c r="F17" s="28">
        <v>-1.135890517890374</v>
      </c>
      <c r="G17" s="28">
        <v>11713.098996614841</v>
      </c>
    </row>
    <row r="18" spans="1:7" x14ac:dyDescent="0.3">
      <c r="A18" s="10">
        <v>2015</v>
      </c>
      <c r="B18" s="26">
        <v>16.258382761095415</v>
      </c>
      <c r="C18" s="26">
        <v>17.411625863293676</v>
      </c>
      <c r="D18" s="26">
        <v>-3.5457633926942549</v>
      </c>
      <c r="E18" s="26">
        <v>0.83884828259309197</v>
      </c>
      <c r="F18" s="26">
        <v>-4.5230555523551885</v>
      </c>
      <c r="G18" s="26">
        <v>11183.309022095593</v>
      </c>
    </row>
    <row r="19" spans="1:7" x14ac:dyDescent="0.3">
      <c r="A19" s="27">
        <v>2016</v>
      </c>
      <c r="B19" s="28">
        <v>15.374429271102507</v>
      </c>
      <c r="C19" s="28">
        <v>14.974617871922172</v>
      </c>
      <c r="D19" s="28">
        <v>-3.3054543126685161</v>
      </c>
      <c r="E19" s="28">
        <v>0.82374823199343905</v>
      </c>
      <c r="F19" s="28">
        <v>-4.0276702905056538</v>
      </c>
      <c r="G19" s="28">
        <v>10732.882207117209</v>
      </c>
    </row>
    <row r="20" spans="1:7" x14ac:dyDescent="0.3">
      <c r="A20" s="10">
        <v>2017</v>
      </c>
      <c r="B20" s="26">
        <v>16.038068611042423</v>
      </c>
      <c r="C20" s="26">
        <v>15.035632917968892</v>
      </c>
      <c r="D20" s="26">
        <v>1.0638612592451153</v>
      </c>
      <c r="E20" s="26">
        <v>0.80714716226181904</v>
      </c>
      <c r="F20" s="26">
        <v>0.49346691148377886</v>
      </c>
      <c r="G20" s="26">
        <v>10785.845429457862</v>
      </c>
    </row>
    <row r="21" spans="1:7" x14ac:dyDescent="0.3">
      <c r="A21" s="33">
        <v>2018</v>
      </c>
      <c r="B21" s="34">
        <v>15.951355808626957</v>
      </c>
      <c r="C21" s="34">
        <v>15.422724055032042</v>
      </c>
      <c r="D21" s="34">
        <v>1.11757918028799</v>
      </c>
      <c r="E21" s="34">
        <v>0.78384757897198098</v>
      </c>
      <c r="F21" s="34">
        <v>0.6637280510122423</v>
      </c>
      <c r="G21" s="34">
        <v>10857.434111111997</v>
      </c>
    </row>
    <row r="25" spans="1:7" x14ac:dyDescent="0.3">
      <c r="A25" s="36" t="s">
        <v>45</v>
      </c>
      <c r="B25" t="s">
        <v>46</v>
      </c>
      <c r="C25" t="s">
        <v>47</v>
      </c>
      <c r="D25" t="s">
        <v>50</v>
      </c>
      <c r="E25" t="s">
        <v>51</v>
      </c>
      <c r="F25" t="s">
        <v>52</v>
      </c>
      <c r="G25" t="s">
        <v>53</v>
      </c>
    </row>
    <row r="26" spans="1:7" x14ac:dyDescent="0.3">
      <c r="A26" s="19" t="s">
        <v>34</v>
      </c>
      <c r="B26" s="39">
        <f>AVERAGEIF(Table5[[Year]:[Year]],"&lt;=2003",Table5[S])</f>
        <v>17.211644849271718</v>
      </c>
      <c r="C26" s="39">
        <f>AVERAGEIF(Table5[[Year]:[Year]],"&lt;=2003",Table5[I])</f>
        <v>17.868061438239874</v>
      </c>
      <c r="D26" s="39">
        <f>AVERAGEIF(Table5[[Year]:[Year]],"&lt;=2003",Table5[Y])</f>
        <v>2.0880148538727328</v>
      </c>
      <c r="E26" s="39">
        <f>AVERAGEIF(Table5[[Year]:[Year]],"&lt;=2003",Table5[n])</f>
        <v>1.368472706681946</v>
      </c>
      <c r="F26" s="39">
        <f>AVERAGEIF(Table5[[Year]:[Year]],"&lt;=2003",Table5[g])</f>
        <v>0.99162872578812655</v>
      </c>
      <c r="G26" s="39">
        <f>AVERAGEIF(Table5[[Year]:[Year]],"&lt;=2003",Table5[Y/L])</f>
        <v>8507.2791732265159</v>
      </c>
    </row>
    <row r="27" spans="1:7" x14ac:dyDescent="0.3">
      <c r="A27" s="37" t="s">
        <v>32</v>
      </c>
      <c r="B27" s="39">
        <f>AVERAGEIFS(Table5[S],Table5[[Year]:[Year]],"&gt;=2004",Table5[[Year]:[Year]],"&lt;=2008")</f>
        <v>21.013374311675573</v>
      </c>
      <c r="C27" s="39">
        <f>AVERAGEIFS(Table5[I],Table5[[Year]:[Year]],"&gt;=2004",Table5[[Year]:[Year]],"&lt;=2008")</f>
        <v>18.874526904619181</v>
      </c>
      <c r="D27" s="39">
        <f>AVERAGEIFS(Table5[Y],Table5[[Year]:[Year]],"&gt;=2004",Table5[[Year]:[Year]],"&lt;=2008")</f>
        <v>4.8176301591031061</v>
      </c>
      <c r="E27" s="39">
        <f>AVERAGEIFS(Table5[n],Table5[[Year]:[Year]],"&gt;=2004",Table5[[Year]:[Year]],"&lt;=2008")</f>
        <v>1.0939091281280571</v>
      </c>
      <c r="F27" s="39">
        <f>AVERAGEIFS(Table5[g],Table5[[Year]:[Year]],"&gt;=2004",Table5[[Year]:[Year]],"&lt;=2008")</f>
        <v>3.8248840301671065</v>
      </c>
      <c r="G27" s="39">
        <f>AVERAGEIFS(Table5[Y/L],Table5[[Year]:[Year]],"&gt;=2004",Table5[[Year]:[Year]],"&lt;=2008")</f>
        <v>9689.0532702916644</v>
      </c>
    </row>
    <row r="28" spans="1:7" x14ac:dyDescent="0.3">
      <c r="A28" s="19" t="s">
        <v>35</v>
      </c>
      <c r="B28" s="39">
        <f>AVERAGEIFS(Table5[S],Table5[[Year]:[Year]],"&gt;=2009",Table5[[Year]:[Year]],"&lt;=2013")</f>
        <v>19.932078335589797</v>
      </c>
      <c r="C28" s="39">
        <f>AVERAGEIFS(Table5[I],Table5[[Year]:[Year]],"&gt;=2009",Table5[[Year]:[Year]],"&lt;=2013")</f>
        <v>21.106944819376867</v>
      </c>
      <c r="D28" s="39">
        <f>AVERAGEIFS(Table5[Y],Table5[[Year]:[Year]],"&gt;=2009",Table5[[Year]:[Year]],"&lt;=2013")</f>
        <v>3.2605671130594969</v>
      </c>
      <c r="E28" s="39">
        <f>AVERAGEIFS(Table5[n],Table5[[Year]:[Year]],"&gt;=2009",Table5[[Year]:[Year]],"&lt;=2013")</f>
        <v>0.91660038112542852</v>
      </c>
      <c r="F28" s="39">
        <f>AVERAGEIFS(Table5[g],Table5[[Year]:[Year]],"&gt;=2009",Table5[[Year]:[Year]],"&lt;=2013")</f>
        <v>2.5562178384143124</v>
      </c>
      <c r="G28" s="39">
        <f>AVERAGEIFS(Table5[Y/L],Table5[[Year]:[Year]],"&gt;=2009",Table5[[Year]:[Year]],"&lt;=2013")</f>
        <v>11195.593600702254</v>
      </c>
    </row>
    <row r="29" spans="1:7" x14ac:dyDescent="0.3">
      <c r="A29" s="20" t="s">
        <v>33</v>
      </c>
      <c r="B29" s="39">
        <f>AVERAGEIFS(Table5[S],Table5[[Year]:[Year]],"&gt;=2012",Table5[[Year]:[Year]],"&lt;=2018")</f>
        <v>17.279918131479459</v>
      </c>
      <c r="C29" s="39">
        <f>AVERAGEIFS(Table5[I],Table5[[Year]:[Year]],"&gt;=2012",Table5[[Year]:[Year]],"&lt;=2018")</f>
        <v>18.072000612250768</v>
      </c>
      <c r="D29" s="39">
        <f>AVERAGEIFS(Table5[Y],Table5[[Year]:[Year]],"&gt;=2012",Table5[[Year]:[Year]],"&lt;=2018")</f>
        <v>0.10859673280318256</v>
      </c>
      <c r="E29" s="39">
        <f>AVERAGEIFS(Table5[n],Table5[[Year]:[Year]],"&gt;=2012",Table5[[Year]:[Year]],"&lt;=2018")</f>
        <v>0.83950250398221105</v>
      </c>
      <c r="F29" s="39">
        <f>AVERAGEIFS(Table5[g],Table5[[Year]:[Year]],"&gt;=2012",Table5[[Year]:[Year]],"&lt;=2018")</f>
        <v>-0.56150922875595399</v>
      </c>
      <c r="G29" s="39">
        <f>AVERAGEIFS(Table5[Y/L],Table5[[Year]:[Year]],"&gt;=2012",Table5[[Year]:[Year]],"&lt;=2018")</f>
        <v>11230.512957532765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3EE3-6D26-4D3E-A31C-FA05335A3E10}">
  <dimension ref="A1:J15"/>
  <sheetViews>
    <sheetView workbookViewId="0">
      <selection activeCell="A11" sqref="A11:C15"/>
    </sheetView>
  </sheetViews>
  <sheetFormatPr defaultRowHeight="14.4" x14ac:dyDescent="0.3"/>
  <cols>
    <col min="1" max="1" width="9.6640625" bestFit="1" customWidth="1"/>
    <col min="2" max="3" width="6.5546875" style="8" bestFit="1" customWidth="1"/>
    <col min="4" max="6" width="6.5546875" bestFit="1" customWidth="1"/>
    <col min="7" max="7" width="6.6640625" bestFit="1" customWidth="1"/>
    <col min="8" max="8" width="7.109375" bestFit="1" customWidth="1"/>
    <col min="9" max="9" width="8.109375" bestFit="1" customWidth="1"/>
    <col min="10" max="10" width="7.44140625" bestFit="1" customWidth="1"/>
  </cols>
  <sheetData>
    <row r="1" spans="1:10" x14ac:dyDescent="0.3">
      <c r="A1" s="8" t="s">
        <v>45</v>
      </c>
      <c r="B1" s="23" t="s">
        <v>46</v>
      </c>
      <c r="C1" s="23" t="s">
        <v>47</v>
      </c>
      <c r="D1" s="23" t="s">
        <v>36</v>
      </c>
      <c r="E1" s="23" t="s">
        <v>37</v>
      </c>
      <c r="F1" s="23" t="s">
        <v>38</v>
      </c>
      <c r="G1" s="23" t="s">
        <v>39</v>
      </c>
      <c r="H1" s="23" t="s">
        <v>40</v>
      </c>
      <c r="I1" s="23" t="s">
        <v>41</v>
      </c>
      <c r="J1" s="23" t="s">
        <v>42</v>
      </c>
    </row>
    <row r="2" spans="1:10" x14ac:dyDescent="0.3">
      <c r="A2" s="8" t="s">
        <v>34</v>
      </c>
      <c r="B2" s="35">
        <f>AVERAGEIF(Table1[[Year]:[Year]],"&lt;=2003",Table1[Savings (Gross Domestic Savings)])</f>
        <v>17.211644849271718</v>
      </c>
      <c r="C2" s="35">
        <f>AVERAGEIF(Table1[[Year]:[Year]],"&lt;=2003",Table1[Investment (Gross Capital Formation)])</f>
        <v>17.868061438239874</v>
      </c>
      <c r="D2" s="35">
        <f>AVERAGEIF(Table1[[Year]:[Year]],"&lt;=2003",Table1[Tax Revenue (T)])</f>
        <v>14.493352097027957</v>
      </c>
      <c r="E2" s="35">
        <f>AVERAGEIF(Table1[[Year]:[Year]],"&lt;=2003",Table1[General Government Final Expenditure (G)])</f>
        <v>19.356194473434421</v>
      </c>
      <c r="F2" s="35">
        <f>AVERAGEIF(Table1[[Year]:[Year]],"&lt;=2003",Table1[Exports of Goods &amp; Services (X)])</f>
        <v>12.307206183070512</v>
      </c>
      <c r="G2" s="35">
        <f>AVERAGEIF(Table1[[Year]:[Year]],"&lt;=2003",Table1[Imports of Goods &amp; Services (M)])</f>
        <v>12.956184813424846</v>
      </c>
      <c r="H2" s="35">
        <f>AVERAGEIF(Table1[[Year]:[Year]],"&lt;=2003",Table1[Current Account Balance (CA)])</f>
        <v>-2.5677957141172856</v>
      </c>
      <c r="I2" s="35">
        <f>AVERAGEIF(Table1[[Year]:[Year]],"&lt;=2003",Table1[External Balance of Goods &amp; Services (X-M)])</f>
        <v>-0.64897863035433556</v>
      </c>
      <c r="J2" s="35">
        <f>AVERAGEIF(Table1[[Year]:[Year]],"&lt;=2003",Table1[Foreign Direct Investment, net inflows (FDI)])</f>
        <v>3.8064441957745601</v>
      </c>
    </row>
    <row r="3" spans="1:10" x14ac:dyDescent="0.3">
      <c r="A3" s="17" t="s">
        <v>32</v>
      </c>
      <c r="B3" s="35">
        <f>AVERAGEIFS(Table1[Savings (Gross Domestic Savings)],Table1[[Year]:[Year]],"&gt;=2004",Table1[[Year]:[Year]],"&lt;=2008")</f>
        <v>21.013374311675573</v>
      </c>
      <c r="C3" s="35">
        <f>AVERAGEIFS(Table1[Investment (Gross Capital Formation)],Table1[[Year]:[Year]],"&gt;=2004",Table1[[Year]:[Year]],"&lt;=2008")</f>
        <v>18.874526904619181</v>
      </c>
      <c r="D3" s="35">
        <f>AVERAGEIFS(Table1[Tax Revenue (T)],Table1[[Year]:[Year]],"&gt;=2004",Table1[[Year]:[Year]],"&lt;=2008")</f>
        <v>15.786280074480993</v>
      </c>
      <c r="E3" s="35">
        <f>AVERAGEIFS(Table1[General Government Final Expenditure (G)],Table1[[Year]:[Year]],"&gt;=2004",Table1[[Year]:[Year]],"&lt;=2008")</f>
        <v>18.83577655406863</v>
      </c>
      <c r="F3" s="35">
        <f>AVERAGEIFS(Table1[Exports of Goods &amp; Services (X)],Table1[[Year]:[Year]],"&gt;=2004",Table1[[Year]:[Year]],"&lt;=2008")</f>
        <v>14.605116538892418</v>
      </c>
      <c r="G3" s="35">
        <f>AVERAGEIFS(Table1[Imports of Goods &amp; Services (M)],Table1[[Year]:[Year]],"&gt;=2004",Table1[[Year]:[Year]],"&lt;=2008")</f>
        <v>12.466269132857597</v>
      </c>
      <c r="H3" s="35">
        <f>AVERAGEIFS(Table1[Current Account Balance (CA)],Table1[[Year]:[Year]],"&gt;=2004",Table1[[Year]:[Year]],"&lt;=2008")</f>
        <v>0.60008878004004984</v>
      </c>
      <c r="I3" s="35">
        <f>AVERAGEIFS(Table1[External Balance of Goods &amp; Services (X-M)],Table1[[Year]:[Year]],"&gt;=2004",Table1[[Year]:[Year]],"&lt;=2008")</f>
        <v>2.138847406034821</v>
      </c>
      <c r="J3" s="35">
        <f>AVERAGEIFS(Table1[Foreign Direct Investment, net inflows (FDI)],Table1[[Year]:[Year]],"&gt;=2004",Table1[[Year]:[Year]],"&lt;=2008")</f>
        <v>2.4762666400796327</v>
      </c>
    </row>
    <row r="4" spans="1:10" x14ac:dyDescent="0.3">
      <c r="A4" s="8" t="s">
        <v>35</v>
      </c>
      <c r="B4" s="35">
        <f>AVERAGEIFS(Table1[Savings (Gross Domestic Savings)],Table1[[Year]:[Year]],"&gt;=2009",Table1[[Year]:[Year]],"&lt;=2013")</f>
        <v>19.932078335589797</v>
      </c>
      <c r="C4" s="35">
        <f>AVERAGEIFS(Table1[Investment (Gross Capital Formation)],Table1[[Year]:[Year]],"&gt;=2009",Table1[[Year]:[Year]],"&lt;=2013")</f>
        <v>21.106944819376867</v>
      </c>
      <c r="D4" s="35">
        <f>AVERAGEIFS(Table1[Tax Revenue (T)],Table1[[Year]:[Year]],"&gt;=2009",Table1[[Year]:[Year]],"&lt;=2013")</f>
        <v>13.870850475526121</v>
      </c>
      <c r="E4" s="35">
        <f>AVERAGEIFS(Table1[General Government Final Expenditure (G)],Table1[[Year]:[Year]],"&gt;=2009",Table1[[Year]:[Year]],"&lt;=2013")</f>
        <v>18.951867798559888</v>
      </c>
      <c r="F4" s="35">
        <f>AVERAGEIFS(Table1[Exports of Goods &amp; Services (X)],Table1[[Year]:[Year]],"&gt;=2009",Table1[[Year]:[Year]],"&lt;=2013")</f>
        <v>11.383848099481478</v>
      </c>
      <c r="G4" s="35">
        <f>AVERAGEIFS(Table1[Imports of Goods &amp; Services (M)],Table1[[Year]:[Year]],"&gt;=2009",Table1[[Year]:[Year]],"&lt;=2013")</f>
        <v>12.558710832062065</v>
      </c>
      <c r="H4" s="35">
        <f>AVERAGEIFS(Table1[Current Account Balance (CA)],Table1[[Year]:[Year]],"&gt;=2009",Table1[[Year]:[Year]],"&lt;=2013")</f>
        <v>-2.9154516019217618</v>
      </c>
      <c r="I4" s="35">
        <f>AVERAGEIFS(Table1[External Balance of Goods &amp; Services (X-M)],Table1[[Year]:[Year]],"&gt;=2009",Table1[[Year]:[Year]],"&lt;=2013")</f>
        <v>-1.1748627325805885</v>
      </c>
      <c r="J4" s="35">
        <f>AVERAGEIFS(Table1[Foreign Direct Investment, net inflows (FDI)],Table1[[Year]:[Year]],"&gt;=2009",Table1[[Year]:[Year]],"&lt;=2013")</f>
        <v>3.2660141947153902</v>
      </c>
    </row>
    <row r="5" spans="1:10" x14ac:dyDescent="0.3">
      <c r="A5" s="8" t="s">
        <v>33</v>
      </c>
      <c r="B5" s="35">
        <f>AVERAGEIFS(Table1[Savings (Gross Domestic Savings)],Table1[[Year]:[Year]],"&gt;=2012",Table1[[Year]:[Year]],"&lt;=2018")</f>
        <v>17.279918131479459</v>
      </c>
      <c r="C5" s="35">
        <f>AVERAGEIFS(Table1[Investment (Gross Capital Formation)],Table1[[Year]:[Year]],"&gt;=2012",Table1[[Year]:[Year]],"&lt;=2018")</f>
        <v>18.072000612250768</v>
      </c>
      <c r="D5" s="35">
        <f>AVERAGEIFS(Table1[Tax Revenue (T)],Table1[[Year]:[Year]],"&gt;=2012",Table1[[Year]:[Year]],"&lt;=2018")</f>
        <v>13.026231023913441</v>
      </c>
      <c r="E5" s="35">
        <f>AVERAGEIFS(Table1[General Government Final Expenditure (G)],Table1[[Year]:[Year]],"&gt;=2012",Table1[[Year]:[Year]],"&lt;=2018")</f>
        <v>19.489436503247873</v>
      </c>
      <c r="F5" s="35">
        <f>AVERAGEIFS(Table1[Exports of Goods &amp; Services (X)],Table1[[Year]:[Year]],"&gt;=2012",Table1[[Year]:[Year]],"&lt;=2018")</f>
        <v>12.483086514621656</v>
      </c>
      <c r="G5" s="35">
        <f>AVERAGEIFS(Table1[Imports of Goods &amp; Services (M)],Table1[[Year]:[Year]],"&gt;=2012",Table1[[Year]:[Year]],"&lt;=2018")</f>
        <v>13.275169656367245</v>
      </c>
      <c r="H5" s="35">
        <f>AVERAGEIFS(Table1[Current Account Balance (CA)],Table1[[Year]:[Year]],"&gt;=2012",Table1[[Year]:[Year]],"&lt;=2018")</f>
        <v>-2.3240880521345266</v>
      </c>
      <c r="I5" s="35">
        <f>AVERAGEIFS(Table1[External Balance of Goods &amp; Services (X-M)],Table1[[Year]:[Year]],"&gt;=2012",Table1[[Year]:[Year]],"&lt;=2018")</f>
        <v>-0.7920831417455888</v>
      </c>
      <c r="J5" s="35">
        <f>AVERAGEIFS(Table1[Foreign Direct Investment, net inflows (FDI)],Table1[[Year]:[Year]],"&gt;=2012",Table1[[Year]:[Year]],"&lt;=2018")</f>
        <v>3.7069494600371087</v>
      </c>
    </row>
    <row r="11" spans="1:10" x14ac:dyDescent="0.3">
      <c r="A11" s="36" t="s">
        <v>45</v>
      </c>
      <c r="B11" s="8" t="s">
        <v>48</v>
      </c>
      <c r="C11" s="8" t="s">
        <v>49</v>
      </c>
    </row>
    <row r="12" spans="1:10" x14ac:dyDescent="0.3">
      <c r="A12" s="19" t="s">
        <v>34</v>
      </c>
      <c r="B12" s="35">
        <f>C2-B2</f>
        <v>0.65641658896815613</v>
      </c>
      <c r="C12" s="35">
        <f>G2-F2</f>
        <v>0.64897863035433367</v>
      </c>
    </row>
    <row r="13" spans="1:10" x14ac:dyDescent="0.3">
      <c r="A13" s="37" t="s">
        <v>32</v>
      </c>
      <c r="B13" s="35">
        <f t="shared" ref="B13:B15" si="0">C3-B3</f>
        <v>-2.1388474070563923</v>
      </c>
      <c r="C13" s="35">
        <f t="shared" ref="C13:C15" si="1">G3-F3</f>
        <v>-2.1388474060348202</v>
      </c>
    </row>
    <row r="14" spans="1:10" x14ac:dyDescent="0.3">
      <c r="A14" s="19" t="s">
        <v>35</v>
      </c>
      <c r="B14" s="35">
        <f t="shared" si="0"/>
        <v>1.1748664837870706</v>
      </c>
      <c r="C14" s="35">
        <f t="shared" si="1"/>
        <v>1.1748627325805874</v>
      </c>
    </row>
    <row r="15" spans="1:10" x14ac:dyDescent="0.3">
      <c r="A15" s="20" t="s">
        <v>33</v>
      </c>
      <c r="B15" s="35">
        <f t="shared" si="0"/>
        <v>0.7920824807713096</v>
      </c>
      <c r="C15" s="35">
        <f t="shared" si="1"/>
        <v>0.79208314174558936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Part 5</vt:lpstr>
      <vt:lpstr>Pt 4</vt:lpstr>
      <vt:lpstr>Paper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Miller</dc:creator>
  <cp:lastModifiedBy>Megan Jones</cp:lastModifiedBy>
  <dcterms:created xsi:type="dcterms:W3CDTF">2019-11-10T17:30:52Z</dcterms:created>
  <dcterms:modified xsi:type="dcterms:W3CDTF">2019-11-17T17:51:56Z</dcterms:modified>
</cp:coreProperties>
</file>